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rinterSettings/printerSettings2.bin" ContentType="application/vnd.openxmlformats-officedocument.spreadsheetml.printerSettings"/>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printerSettings/printerSettings3.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printerSettings/printerSettings4.bin" ContentType="application/vnd.openxmlformats-officedocument.spreadsheetml.printerSettings"/>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printerSettings/printerSettings5.bin" ContentType="application/vnd.openxmlformats-officedocument.spreadsheetml.printerSettings"/>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65" documentId="8_{FFF58C1A-15BB-4B22-A7EF-3580ACF4273A}" xr6:coauthVersionLast="47" xr6:coauthVersionMax="47" xr10:uidLastSave="{F4D2F40B-A2D8-4BDB-8555-844378908022}"/>
  <bookViews>
    <workbookView xWindow="-120" yWindow="-120" windowWidth="20730" windowHeight="11040" tabRatio="810" firstSheet="2" activeTab="10" xr2:uid="{00000000-000D-0000-FFFF-FFFF00000000}"/>
  </bookViews>
  <sheets>
    <sheet name="Meta 5" sheetId="43" state="hidden" r:id="rId1"/>
    <sheet name="Meta 6" sheetId="45" state="hidden" r:id="rId2"/>
    <sheet name="Meta 1" sheetId="40" r:id="rId3"/>
    <sheet name="Meta 2" sheetId="41" r:id="rId4"/>
    <sheet name="Meta 3" sheetId="46" r:id="rId5"/>
    <sheet name="Meta 4" sheetId="42" r:id="rId6"/>
    <sheet name="Meta 5." sheetId="47" r:id="rId7"/>
    <sheet name="Meta 6." sheetId="48" r:id="rId8"/>
    <sheet name="Meta 7" sheetId="44" r:id="rId9"/>
    <sheet name="Meta 1..n" sheetId="1" state="hidden" r:id="rId10"/>
    <sheet name="Indicadores PA" sheetId="36" r:id="rId11"/>
    <sheet name="Territorialización PA" sheetId="37" r:id="rId12"/>
    <sheet name="Generalidades" sheetId="38" r:id="rId13"/>
    <sheet name="Instructivo" sheetId="39" r:id="rId14"/>
    <sheet name="Hoja13" sheetId="32" state="hidden" r:id="rId15"/>
    <sheet name="Hoja1" sheetId="20" state="hidden" r:id="rId16"/>
  </sheets>
  <definedNames>
    <definedName name="_xlnm._FilterDatabase" localSheetId="10" hidden="1">'Indicadores PA'!$A$12:$AY$12</definedName>
    <definedName name="_xlnm.Print_Area" localSheetId="2">'Meta 1'!$A$1:$AD$41</definedName>
    <definedName name="_xlnm.Print_Area" localSheetId="3">'Meta 2'!$A$1:$AD$43</definedName>
    <definedName name="_xlnm.Print_Area" localSheetId="4">'Meta 3'!$A$1:$AD$43</definedName>
    <definedName name="_xlnm.Print_Area" localSheetId="5">'Meta 4'!$A$1:$AD$43</definedName>
    <definedName name="_xlnm.Print_Area" localSheetId="0">'Meta 5'!$A$1:$AD$39</definedName>
    <definedName name="_xlnm.Print_Area" localSheetId="6">'Meta 5.'!$A$1:$AD$39</definedName>
    <definedName name="_xlnm.Print_Area" localSheetId="1">'Meta 6'!$A$1:$AD$43</definedName>
    <definedName name="_xlnm.Print_Area" localSheetId="7">'Meta 6.'!$A$1:$AD$43</definedName>
    <definedName name="_xlnm.Print_Area" localSheetId="8">'Meta 7'!$A$1:$AD$41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44" l="1"/>
  <c r="AD23" i="44"/>
  <c r="AD25" i="48"/>
  <c r="AD23" i="48"/>
  <c r="AD25" i="47"/>
  <c r="AD23" i="47"/>
  <c r="AD25" i="42"/>
  <c r="AD23" i="42"/>
  <c r="AD25" i="46"/>
  <c r="AD23" i="46"/>
  <c r="AD25" i="41"/>
  <c r="AD23" i="41"/>
  <c r="AD25" i="40"/>
  <c r="R68" i="37"/>
  <c r="R67" i="37"/>
  <c r="R65" i="37" s="1"/>
  <c r="AT19" i="36" l="1"/>
  <c r="AU19" i="36" l="1"/>
  <c r="AU18" i="36"/>
  <c r="AT18" i="36"/>
  <c r="AT17" i="36"/>
  <c r="AU17" i="36" s="1"/>
  <c r="AT15" i="36"/>
  <c r="AU15" i="36" s="1"/>
  <c r="AT14" i="36"/>
  <c r="AU14" i="36"/>
  <c r="AU13" i="36"/>
  <c r="J58" i="40"/>
  <c r="J11" i="37"/>
  <c r="R39" i="37"/>
  <c r="W24" i="41"/>
  <c r="P39" i="47"/>
  <c r="P35" i="41" l="1"/>
  <c r="V24" i="44" l="1"/>
  <c r="V22" i="44"/>
  <c r="V24" i="48"/>
  <c r="V22" i="48"/>
  <c r="V24" i="47"/>
  <c r="V22" i="47"/>
  <c r="V24" i="42"/>
  <c r="V22" i="42"/>
  <c r="H24" i="42"/>
  <c r="V24" i="46"/>
  <c r="V22" i="46"/>
  <c r="V24" i="41"/>
  <c r="V22" i="41"/>
  <c r="V24" i="40"/>
  <c r="V22" i="40"/>
  <c r="AC22" i="47"/>
  <c r="AC22" i="41"/>
  <c r="H24" i="46" l="1"/>
  <c r="O25" i="40"/>
  <c r="G60" i="37"/>
  <c r="P40" i="46"/>
  <c r="H60" i="46" s="1"/>
  <c r="P42" i="48"/>
  <c r="O61" i="48" s="1"/>
  <c r="B61" i="48"/>
  <c r="A61" i="48"/>
  <c r="B59" i="48"/>
  <c r="A59" i="48"/>
  <c r="B57" i="48"/>
  <c r="A57" i="48"/>
  <c r="P43" i="48"/>
  <c r="P41" i="48"/>
  <c r="P40" i="48"/>
  <c r="E59" i="48" s="1"/>
  <c r="P39" i="48"/>
  <c r="P38" i="48"/>
  <c r="H58" i="48" s="1"/>
  <c r="M58" i="48"/>
  <c r="P30" i="48"/>
  <c r="AC25" i="48"/>
  <c r="O25" i="48"/>
  <c r="AB24" i="48"/>
  <c r="AA24" i="48"/>
  <c r="Z24" i="48"/>
  <c r="Y24" i="48"/>
  <c r="X24" i="48"/>
  <c r="W24" i="48"/>
  <c r="U24" i="48"/>
  <c r="T24" i="48"/>
  <c r="D24" i="48"/>
  <c r="C24" i="48"/>
  <c r="O24" i="48"/>
  <c r="P25" i="48" s="1"/>
  <c r="AC23" i="48"/>
  <c r="O23" i="48"/>
  <c r="T22" i="48"/>
  <c r="AC22" i="48" s="1"/>
  <c r="O22" i="48"/>
  <c r="B47" i="47"/>
  <c r="A47" i="47"/>
  <c r="P30" i="47"/>
  <c r="AC25" i="47"/>
  <c r="O25" i="47"/>
  <c r="P25" i="47" s="1"/>
  <c r="D24" i="47"/>
  <c r="O24" i="47"/>
  <c r="AA24" i="47"/>
  <c r="U24" i="47"/>
  <c r="AC24" i="47" s="1"/>
  <c r="W24" i="47"/>
  <c r="Y24" i="47"/>
  <c r="AC23" i="47"/>
  <c r="O23" i="47"/>
  <c r="O22" i="47"/>
  <c r="BA14" i="36"/>
  <c r="O38" i="43"/>
  <c r="P38" i="43" s="1"/>
  <c r="BA19" i="36"/>
  <c r="BA13" i="36"/>
  <c r="BA18" i="36"/>
  <c r="BA17" i="36"/>
  <c r="O60" i="48"/>
  <c r="O62" i="48"/>
  <c r="I62" i="48"/>
  <c r="H62" i="48"/>
  <c r="J62" i="48"/>
  <c r="L57" i="48"/>
  <c r="F57" i="48"/>
  <c r="N57" i="48"/>
  <c r="O57" i="48"/>
  <c r="I58" i="48"/>
  <c r="H59" i="48"/>
  <c r="J60" i="48"/>
  <c r="I61" i="48"/>
  <c r="H57" i="48"/>
  <c r="J58" i="48"/>
  <c r="J59" i="48"/>
  <c r="J68" i="48" s="1"/>
  <c r="J69" i="48" s="1"/>
  <c r="D60" i="48"/>
  <c r="L60" i="48"/>
  <c r="M57" i="48"/>
  <c r="J57" i="48"/>
  <c r="D58" i="48"/>
  <c r="L58" i="48"/>
  <c r="K59" i="48"/>
  <c r="N62" i="48"/>
  <c r="D57" i="48"/>
  <c r="O58" i="48"/>
  <c r="J61" i="48"/>
  <c r="E61" i="48"/>
  <c r="M61" i="48"/>
  <c r="G62" i="48"/>
  <c r="O48" i="47"/>
  <c r="O55" i="47"/>
  <c r="O56" i="47"/>
  <c r="O35" i="47" s="1"/>
  <c r="G48" i="47"/>
  <c r="G55" i="47"/>
  <c r="G56" i="47" s="1"/>
  <c r="M47" i="47"/>
  <c r="M58" i="47" s="1"/>
  <c r="M59" i="47" s="1"/>
  <c r="E47" i="47"/>
  <c r="E58" i="47" s="1"/>
  <c r="E59" i="47" s="1"/>
  <c r="D48" i="47"/>
  <c r="D55" i="47" s="1"/>
  <c r="D56" i="47" s="1"/>
  <c r="I48" i="47"/>
  <c r="I55" i="47"/>
  <c r="I56" i="47" s="1"/>
  <c r="H48" i="47"/>
  <c r="F47" i="47"/>
  <c r="F58" i="47" s="1"/>
  <c r="F59" i="47" s="1"/>
  <c r="N48" i="47"/>
  <c r="N55" i="47"/>
  <c r="N56" i="47"/>
  <c r="N35" i="47" s="1"/>
  <c r="F48" i="47"/>
  <c r="F55" i="47"/>
  <c r="F56" i="47" s="1"/>
  <c r="L47" i="47"/>
  <c r="L58" i="47" s="1"/>
  <c r="L59" i="47" s="1"/>
  <c r="D47" i="47"/>
  <c r="D58" i="47" s="1"/>
  <c r="D59" i="47" s="1"/>
  <c r="H47" i="47"/>
  <c r="H58" i="47" s="1"/>
  <c r="H59" i="47" s="1"/>
  <c r="G47" i="47"/>
  <c r="G58" i="47"/>
  <c r="G59" i="47" s="1"/>
  <c r="N47" i="47"/>
  <c r="N58" i="47"/>
  <c r="N59" i="47" s="1"/>
  <c r="M48" i="47"/>
  <c r="M55" i="47"/>
  <c r="M56" i="47" s="1"/>
  <c r="M35" i="47" s="1"/>
  <c r="E48" i="47"/>
  <c r="E55" i="47"/>
  <c r="E56" i="47"/>
  <c r="K47" i="47"/>
  <c r="K58" i="47" s="1"/>
  <c r="K59" i="47" s="1"/>
  <c r="J47" i="47"/>
  <c r="J58" i="47"/>
  <c r="J59" i="47" s="1"/>
  <c r="J48" i="47"/>
  <c r="J55" i="47"/>
  <c r="J56" i="47" s="1"/>
  <c r="J35" i="47" s="1"/>
  <c r="L48" i="47"/>
  <c r="L55" i="47" s="1"/>
  <c r="L56" i="47" s="1"/>
  <c r="L35" i="47" s="1"/>
  <c r="K48" i="47"/>
  <c r="K55" i="47"/>
  <c r="K56" i="47" s="1"/>
  <c r="K35" i="47" s="1"/>
  <c r="I47" i="47"/>
  <c r="I58" i="47" s="1"/>
  <c r="I59" i="47" s="1"/>
  <c r="O47" i="47"/>
  <c r="O58" i="47"/>
  <c r="O59" i="47"/>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s="1"/>
  <c r="C24" i="44"/>
  <c r="C24" i="45"/>
  <c r="O24" i="45" s="1"/>
  <c r="C24" i="42"/>
  <c r="C24" i="46"/>
  <c r="AB24" i="44"/>
  <c r="AA24" i="44"/>
  <c r="Z24" i="44"/>
  <c r="Y24" i="44"/>
  <c r="X24" i="44"/>
  <c r="W24" i="44"/>
  <c r="U24" i="44"/>
  <c r="T24" i="44"/>
  <c r="S24" i="44"/>
  <c r="R24" i="44"/>
  <c r="Q22" i="44"/>
  <c r="AC22" i="44" s="1"/>
  <c r="T22" i="44"/>
  <c r="AA24" i="45"/>
  <c r="Y24" i="45"/>
  <c r="W24" i="45"/>
  <c r="V22" i="45"/>
  <c r="U24" i="45"/>
  <c r="T22" i="45"/>
  <c r="AC22" i="45" s="1"/>
  <c r="AB24" i="45"/>
  <c r="Z24" i="45"/>
  <c r="X24" i="45"/>
  <c r="V24" i="45"/>
  <c r="T24" i="45"/>
  <c r="AA24" i="43"/>
  <c r="Y24" i="43"/>
  <c r="W24" i="43"/>
  <c r="V22" i="43"/>
  <c r="AC22" i="43"/>
  <c r="U24" i="43"/>
  <c r="AB24" i="42"/>
  <c r="AA24" i="42"/>
  <c r="Z24" i="42"/>
  <c r="Y24" i="42"/>
  <c r="X24" i="42"/>
  <c r="W24" i="42"/>
  <c r="U24" i="42"/>
  <c r="T24" i="42"/>
  <c r="S22" i="42"/>
  <c r="AC22" i="42" s="1"/>
  <c r="T22" i="42"/>
  <c r="AB24" i="46"/>
  <c r="AA24" i="46"/>
  <c r="Z24" i="46"/>
  <c r="Y24" i="46"/>
  <c r="X24" i="46"/>
  <c r="W24" i="46"/>
  <c r="U24" i="46"/>
  <c r="T24" i="46"/>
  <c r="S22" i="46"/>
  <c r="AC22" i="46" s="1"/>
  <c r="T22" i="46"/>
  <c r="AA24" i="41"/>
  <c r="Y24" i="41"/>
  <c r="U24" i="41"/>
  <c r="AA24" i="40"/>
  <c r="Y24" i="40"/>
  <c r="W24" i="40"/>
  <c r="AC22" i="40"/>
  <c r="AF18" i="40" s="1"/>
  <c r="U24" i="40"/>
  <c r="D24" i="44"/>
  <c r="O24" i="44"/>
  <c r="D24" i="45"/>
  <c r="D24" i="43"/>
  <c r="O24" i="43" s="1"/>
  <c r="P25" i="43" s="1"/>
  <c r="D24" i="42"/>
  <c r="D24" i="46"/>
  <c r="D24" i="41"/>
  <c r="O24" i="41" s="1"/>
  <c r="D24" i="40"/>
  <c r="O24" i="40" s="1"/>
  <c r="P25" i="40" s="1"/>
  <c r="F24" i="42"/>
  <c r="F24" i="46"/>
  <c r="E24" i="42"/>
  <c r="E24" i="46"/>
  <c r="O24" i="46" s="1"/>
  <c r="G24" i="42"/>
  <c r="G24" i="46"/>
  <c r="P42" i="41"/>
  <c r="P43" i="46"/>
  <c r="P41" i="46"/>
  <c r="N59" i="46"/>
  <c r="P39" i="46"/>
  <c r="P38" i="46"/>
  <c r="P30" i="46"/>
  <c r="O25" i="46"/>
  <c r="AC25" i="46"/>
  <c r="AC23" i="46"/>
  <c r="O23" i="46"/>
  <c r="O22" i="46"/>
  <c r="P43" i="45"/>
  <c r="P42" i="45"/>
  <c r="P41" i="45"/>
  <c r="P40" i="45"/>
  <c r="J59" i="45"/>
  <c r="P39" i="45"/>
  <c r="P38" i="45"/>
  <c r="P30" i="45"/>
  <c r="AC25" i="45"/>
  <c r="O25" i="45"/>
  <c r="P25" i="45" s="1"/>
  <c r="AC23" i="45"/>
  <c r="AD25" i="45" s="1"/>
  <c r="O23" i="45"/>
  <c r="P23" i="45" s="1"/>
  <c r="O22" i="45"/>
  <c r="P41" i="44"/>
  <c r="P40" i="44"/>
  <c r="E60" i="44" s="1"/>
  <c r="P39" i="44"/>
  <c r="P38" i="44"/>
  <c r="N58" i="44"/>
  <c r="P30" i="44"/>
  <c r="AC25" i="44"/>
  <c r="O25" i="44"/>
  <c r="AC23" i="44"/>
  <c r="O23" i="44"/>
  <c r="O22" i="44"/>
  <c r="P39" i="43"/>
  <c r="P30" i="43"/>
  <c r="AC25" i="43"/>
  <c r="AD25" i="43" s="1"/>
  <c r="O25" i="43"/>
  <c r="AC23" i="43"/>
  <c r="O23" i="43"/>
  <c r="P23" i="43"/>
  <c r="O22" i="43"/>
  <c r="P43" i="42"/>
  <c r="P42" i="42"/>
  <c r="H62" i="42" s="1"/>
  <c r="H65" i="42" s="1"/>
  <c r="H66" i="42" s="1"/>
  <c r="H35" i="42" s="1"/>
  <c r="O61" i="42"/>
  <c r="P41" i="42"/>
  <c r="P40" i="42"/>
  <c r="K59" i="42" s="1"/>
  <c r="P39" i="42"/>
  <c r="P38" i="42"/>
  <c r="D58" i="42" s="1"/>
  <c r="P30" i="42"/>
  <c r="AC25" i="42"/>
  <c r="O25" i="42"/>
  <c r="AC23" i="42"/>
  <c r="O23" i="42"/>
  <c r="O22" i="42"/>
  <c r="P43" i="41"/>
  <c r="P41" i="41"/>
  <c r="P40" i="41"/>
  <c r="P39" i="41"/>
  <c r="P38" i="41"/>
  <c r="P30" i="41"/>
  <c r="AC25" i="41"/>
  <c r="O25" i="41"/>
  <c r="AC23" i="41"/>
  <c r="O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R60" i="37" s="1"/>
  <c r="AY40" i="37"/>
  <c r="AX40" i="37"/>
  <c r="S40" i="37"/>
  <c r="R40" i="37"/>
  <c r="AY39" i="37"/>
  <c r="AX39" i="37"/>
  <c r="S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AN16" i="36" s="1"/>
  <c r="AT16" i="36" s="1"/>
  <c r="AU16" i="36" s="1"/>
  <c r="K32" i="37"/>
  <c r="L32" i="37"/>
  <c r="AX14" i="37"/>
  <c r="AX15" i="37"/>
  <c r="AX16" i="37"/>
  <c r="AX17" i="37"/>
  <c r="AX18" i="37"/>
  <c r="AX19" i="37"/>
  <c r="AX20" i="37"/>
  <c r="AX21" i="37"/>
  <c r="AX22" i="37"/>
  <c r="O23" i="40"/>
  <c r="T32" i="37"/>
  <c r="U32" i="37"/>
  <c r="V32" i="37"/>
  <c r="W32" i="37"/>
  <c r="X32" i="37"/>
  <c r="AZ32" i="37"/>
  <c r="BA32" i="37"/>
  <c r="BB32" i="37"/>
  <c r="BC32" i="37"/>
  <c r="BD32" i="37"/>
  <c r="BE32" i="37"/>
  <c r="AC25" i="40"/>
  <c r="AF20" i="40" s="1"/>
  <c r="AC23" i="40"/>
  <c r="AD23" i="40" s="1"/>
  <c r="O22" i="40"/>
  <c r="P41" i="40"/>
  <c r="P40" i="40"/>
  <c r="O60" i="40" s="1"/>
  <c r="O65" i="40" s="1"/>
  <c r="O66" i="40" s="1"/>
  <c r="O35" i="40" s="1"/>
  <c r="P39" i="40"/>
  <c r="P38" i="40"/>
  <c r="N57" i="40" s="1"/>
  <c r="O57"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H57" i="46"/>
  <c r="D57" i="46"/>
  <c r="K58" i="40"/>
  <c r="D57" i="40"/>
  <c r="L58" i="40"/>
  <c r="H57" i="42"/>
  <c r="J57" i="40"/>
  <c r="E59" i="46"/>
  <c r="E58" i="42"/>
  <c r="N59" i="45"/>
  <c r="E58" i="40"/>
  <c r="O59" i="46"/>
  <c r="K58" i="43"/>
  <c r="K65" i="43"/>
  <c r="K66" i="43" s="1"/>
  <c r="K35" i="43"/>
  <c r="I58" i="43"/>
  <c r="I65" i="43"/>
  <c r="I66" i="43" s="1"/>
  <c r="I35" i="43" s="1"/>
  <c r="I57" i="40"/>
  <c r="D58" i="40"/>
  <c r="O58" i="40"/>
  <c r="N58" i="40"/>
  <c r="F58" i="40"/>
  <c r="O58" i="43"/>
  <c r="O65" i="43" s="1"/>
  <c r="O66" i="43" s="1"/>
  <c r="O35" i="43" s="1"/>
  <c r="O58" i="46"/>
  <c r="J59" i="44"/>
  <c r="F58" i="46"/>
  <c r="N58" i="46"/>
  <c r="D57" i="42"/>
  <c r="E59" i="44"/>
  <c r="E68" i="44" s="1"/>
  <c r="E69" i="44" s="1"/>
  <c r="E34" i="44" s="1"/>
  <c r="G57" i="46"/>
  <c r="K58" i="42"/>
  <c r="L60" i="44"/>
  <c r="E57" i="40"/>
  <c r="M57" i="40"/>
  <c r="I58" i="46"/>
  <c r="F61" i="42"/>
  <c r="G58" i="40"/>
  <c r="F59" i="44"/>
  <c r="F68" i="44" s="1"/>
  <c r="F69" i="44" s="1"/>
  <c r="F34" i="44" s="1"/>
  <c r="L59" i="44"/>
  <c r="H59" i="44"/>
  <c r="M59" i="44"/>
  <c r="M57" i="42"/>
  <c r="L57" i="42"/>
  <c r="M58" i="42"/>
  <c r="M61" i="46"/>
  <c r="G61" i="46"/>
  <c r="J60" i="44"/>
  <c r="O59" i="44"/>
  <c r="I59" i="44"/>
  <c r="K62" i="46"/>
  <c r="F62" i="46"/>
  <c r="F65" i="46" s="1"/>
  <c r="F66" i="46" s="1"/>
  <c r="F35" i="46" s="1"/>
  <c r="L57" i="40"/>
  <c r="J58" i="46"/>
  <c r="J65" i="46" s="1"/>
  <c r="J66" i="46" s="1"/>
  <c r="J35" i="46" s="1"/>
  <c r="K58" i="46"/>
  <c r="F59" i="46"/>
  <c r="D60" i="46"/>
  <c r="N60" i="46"/>
  <c r="O60" i="46"/>
  <c r="L59" i="46"/>
  <c r="M62" i="45"/>
  <c r="D62" i="45"/>
  <c r="G61" i="45"/>
  <c r="J62" i="45"/>
  <c r="I62" i="45"/>
  <c r="H62" i="45"/>
  <c r="L61" i="45"/>
  <c r="G62" i="45"/>
  <c r="K61" i="45"/>
  <c r="E62" i="45"/>
  <c r="I61" i="45"/>
  <c r="F57" i="40"/>
  <c r="K57" i="40"/>
  <c r="G57" i="40"/>
  <c r="H57" i="40"/>
  <c r="M58" i="40"/>
  <c r="O58" i="42"/>
  <c r="M60" i="44"/>
  <c r="N57" i="42"/>
  <c r="E57" i="42"/>
  <c r="O57" i="42"/>
  <c r="D59" i="44"/>
  <c r="F57" i="42"/>
  <c r="F58" i="42"/>
  <c r="G59" i="44"/>
  <c r="G57" i="42"/>
  <c r="H58" i="42"/>
  <c r="N59" i="44"/>
  <c r="I57" i="42"/>
  <c r="J58" i="42"/>
  <c r="F60" i="44"/>
  <c r="J57" i="42"/>
  <c r="L58" i="42"/>
  <c r="G60" i="44"/>
  <c r="G65" i="44" s="1"/>
  <c r="G66" i="44" s="1"/>
  <c r="G35" i="44" s="1"/>
  <c r="K57" i="42"/>
  <c r="N58" i="42"/>
  <c r="F58" i="45"/>
  <c r="M58" i="45"/>
  <c r="E58" i="45"/>
  <c r="O58" i="45"/>
  <c r="I57" i="45"/>
  <c r="L58" i="45"/>
  <c r="E57" i="45"/>
  <c r="N58" i="45"/>
  <c r="M57" i="45"/>
  <c r="L57" i="45"/>
  <c r="H57" i="45"/>
  <c r="D58" i="45"/>
  <c r="G57" i="45"/>
  <c r="F57" i="45"/>
  <c r="G58" i="45"/>
  <c r="O57" i="43"/>
  <c r="O68" i="43" s="1"/>
  <c r="O69" i="43"/>
  <c r="O34" i="43" s="1"/>
  <c r="N57" i="43"/>
  <c r="N68" i="43" s="1"/>
  <c r="N69" i="43"/>
  <c r="N34" i="43" s="1"/>
  <c r="L58" i="43"/>
  <c r="L65" i="43" s="1"/>
  <c r="L66" i="43" s="1"/>
  <c r="L35" i="43" s="1"/>
  <c r="F58" i="43"/>
  <c r="F65" i="43" s="1"/>
  <c r="F66" i="43" s="1"/>
  <c r="F35" i="43" s="1"/>
  <c r="H57" i="43"/>
  <c r="H68" i="43"/>
  <c r="H69" i="43" s="1"/>
  <c r="H34" i="43" s="1"/>
  <c r="G57" i="43"/>
  <c r="G68" i="43" s="1"/>
  <c r="G69" i="43" s="1"/>
  <c r="G34" i="43" s="1"/>
  <c r="M58" i="43"/>
  <c r="M65" i="43" s="1"/>
  <c r="M66" i="43" s="1"/>
  <c r="M35" i="43" s="1"/>
  <c r="D58" i="43"/>
  <c r="D65" i="43"/>
  <c r="D66" i="43" s="1"/>
  <c r="D35" i="43" s="1"/>
  <c r="L57" i="43"/>
  <c r="L68" i="43"/>
  <c r="L69" i="43" s="1"/>
  <c r="L34" i="43" s="1"/>
  <c r="K57" i="43"/>
  <c r="K68" i="43" s="1"/>
  <c r="K69" i="43" s="1"/>
  <c r="K34" i="43" s="1"/>
  <c r="H58" i="43"/>
  <c r="H65" i="43" s="1"/>
  <c r="H66" i="43"/>
  <c r="H35" i="43" s="1"/>
  <c r="D57" i="43"/>
  <c r="D68" i="43"/>
  <c r="D69" i="43" s="1"/>
  <c r="D34" i="43" s="1"/>
  <c r="M59" i="45"/>
  <c r="M68" i="45" s="1"/>
  <c r="M69" i="45" s="1"/>
  <c r="M34" i="45" s="1"/>
  <c r="L59" i="45"/>
  <c r="M60" i="45"/>
  <c r="O60" i="45"/>
  <c r="H60" i="45"/>
  <c r="G59" i="45"/>
  <c r="I60" i="45"/>
  <c r="K59" i="45"/>
  <c r="F59" i="45"/>
  <c r="K60" i="45"/>
  <c r="H59" i="45"/>
  <c r="D60" i="45"/>
  <c r="F60" i="45"/>
  <c r="F65" i="45" s="1"/>
  <c r="F66" i="45" s="1"/>
  <c r="F35" i="45" s="1"/>
  <c r="G60" i="45"/>
  <c r="I57" i="43"/>
  <c r="I68" i="43" s="1"/>
  <c r="I69" i="43"/>
  <c r="I34" i="43" s="1"/>
  <c r="E59" i="45"/>
  <c r="J58" i="43"/>
  <c r="J65" i="43" s="1"/>
  <c r="J66" i="43" s="1"/>
  <c r="J35" i="43" s="1"/>
  <c r="O60" i="44"/>
  <c r="H60" i="44"/>
  <c r="I60" i="44"/>
  <c r="I65" i="44" s="1"/>
  <c r="I66" i="44" s="1"/>
  <c r="I35" i="44" s="1"/>
  <c r="N60" i="44"/>
  <c r="D60" i="44"/>
  <c r="K59" i="44"/>
  <c r="K60" i="44"/>
  <c r="J61" i="42"/>
  <c r="I61" i="42"/>
  <c r="J62" i="42"/>
  <c r="E62" i="42"/>
  <c r="H61" i="42"/>
  <c r="O57" i="44"/>
  <c r="O68" i="44"/>
  <c r="O69" i="44" s="1"/>
  <c r="O34" i="44" s="1"/>
  <c r="I57" i="44"/>
  <c r="I68" i="44" s="1"/>
  <c r="I69" i="44" s="1"/>
  <c r="I34" i="44" s="1"/>
  <c r="D57" i="44"/>
  <c r="D68" i="44" s="1"/>
  <c r="D69" i="44" s="1"/>
  <c r="L58" i="44"/>
  <c r="L65" i="44" s="1"/>
  <c r="L66" i="44" s="1"/>
  <c r="L35" i="44" s="1"/>
  <c r="M57" i="44"/>
  <c r="M68" i="44" s="1"/>
  <c r="M69" i="44" s="1"/>
  <c r="M34" i="44" s="1"/>
  <c r="G57" i="44"/>
  <c r="G68" i="44" s="1"/>
  <c r="G69" i="44" s="1"/>
  <c r="G34" i="44" s="1"/>
  <c r="L60" i="42"/>
  <c r="N59" i="42"/>
  <c r="N68" i="42" s="1"/>
  <c r="N69" i="42" s="1"/>
  <c r="N34" i="42" s="1"/>
  <c r="G58" i="42"/>
  <c r="I58" i="42"/>
  <c r="I60" i="40"/>
  <c r="L68" i="45"/>
  <c r="L69" i="45" s="1"/>
  <c r="L34" i="45"/>
  <c r="M65" i="45"/>
  <c r="M66" i="45"/>
  <c r="M35" i="45" s="1"/>
  <c r="G68" i="45"/>
  <c r="G69" i="45" s="1"/>
  <c r="G34" i="45" s="1"/>
  <c r="E68" i="45"/>
  <c r="E69" i="45" s="1"/>
  <c r="E34" i="45" s="1"/>
  <c r="O65" i="46"/>
  <c r="O66" i="46" s="1"/>
  <c r="O35" i="46" s="1"/>
  <c r="K61" i="46"/>
  <c r="L62" i="46"/>
  <c r="M62" i="46"/>
  <c r="G62" i="46"/>
  <c r="D61" i="46"/>
  <c r="O62" i="46"/>
  <c r="N62" i="46"/>
  <c r="I62" i="46"/>
  <c r="O61" i="46"/>
  <c r="J61" i="46"/>
  <c r="H61" i="46"/>
  <c r="I61" i="46"/>
  <c r="F61" i="46"/>
  <c r="D62" i="46"/>
  <c r="E61" i="46"/>
  <c r="J60" i="42"/>
  <c r="F60" i="42"/>
  <c r="H60" i="42"/>
  <c r="M58" i="44"/>
  <c r="I58" i="44"/>
  <c r="J57" i="44"/>
  <c r="J68" i="44"/>
  <c r="J69" i="44" s="1"/>
  <c r="J34" i="44" s="1"/>
  <c r="K58" i="44"/>
  <c r="K65" i="44"/>
  <c r="K66" i="44" s="1"/>
  <c r="K35" i="44" s="1"/>
  <c r="G58" i="44"/>
  <c r="H57" i="44"/>
  <c r="H68" i="44"/>
  <c r="H69" i="44" s="1"/>
  <c r="H34" i="44" s="1"/>
  <c r="D58" i="44"/>
  <c r="D65" i="44" s="1"/>
  <c r="D66" i="44" s="1"/>
  <c r="H58" i="44"/>
  <c r="K57" i="44"/>
  <c r="K68" i="44"/>
  <c r="K69" i="44" s="1"/>
  <c r="K34" i="44" s="1"/>
  <c r="N57" i="44"/>
  <c r="N68" i="44"/>
  <c r="N69" i="44"/>
  <c r="N34" i="44" s="1"/>
  <c r="F58" i="44"/>
  <c r="F65" i="44" s="1"/>
  <c r="F66" i="44" s="1"/>
  <c r="F35" i="44" s="1"/>
  <c r="F57" i="44"/>
  <c r="E57" i="44"/>
  <c r="L61" i="46"/>
  <c r="L57" i="44"/>
  <c r="L68" i="44" s="1"/>
  <c r="L69" i="44" s="1"/>
  <c r="L34" i="44" s="1"/>
  <c r="J62" i="46"/>
  <c r="J65" i="42"/>
  <c r="J66" i="42" s="1"/>
  <c r="J35" i="42" s="1"/>
  <c r="J58" i="44"/>
  <c r="J65" i="44" s="1"/>
  <c r="J66" i="44"/>
  <c r="J35" i="44" s="1"/>
  <c r="N61" i="46"/>
  <c r="O58" i="44"/>
  <c r="O65" i="44" s="1"/>
  <c r="O66" i="44" s="1"/>
  <c r="O35" i="44" s="1"/>
  <c r="P57" i="40"/>
  <c r="K60" i="42"/>
  <c r="E58" i="44"/>
  <c r="E65" i="44"/>
  <c r="E66" i="44"/>
  <c r="E35" i="44"/>
  <c r="E62" i="46"/>
  <c r="G62" i="42"/>
  <c r="O62" i="42"/>
  <c r="N62" i="42"/>
  <c r="M62" i="42"/>
  <c r="G61" i="42"/>
  <c r="N61" i="42"/>
  <c r="M61" i="42"/>
  <c r="D61" i="42"/>
  <c r="L62" i="42"/>
  <c r="F61" i="45"/>
  <c r="P61" i="45" s="1"/>
  <c r="R61" i="45" s="1"/>
  <c r="H61" i="45"/>
  <c r="M61" i="45"/>
  <c r="K62" i="45"/>
  <c r="L62" i="45"/>
  <c r="D61" i="45"/>
  <c r="O62" i="45"/>
  <c r="O65" i="45" s="1"/>
  <c r="O66" i="45" s="1"/>
  <c r="O35" i="45" s="1"/>
  <c r="O61" i="45"/>
  <c r="F62" i="45"/>
  <c r="L60" i="46"/>
  <c r="K59" i="46"/>
  <c r="F60" i="46"/>
  <c r="H59" i="46"/>
  <c r="H68" i="46" s="1"/>
  <c r="H69" i="46" s="1"/>
  <c r="H34" i="46" s="1"/>
  <c r="G60" i="46"/>
  <c r="M59" i="46"/>
  <c r="I59" i="46"/>
  <c r="J60" i="46"/>
  <c r="I60" i="46"/>
  <c r="K60" i="46"/>
  <c r="K65" i="46" s="1"/>
  <c r="K66" i="46" s="1"/>
  <c r="K35" i="46" s="1"/>
  <c r="N62" i="45"/>
  <c r="E61" i="45"/>
  <c r="M60" i="46"/>
  <c r="AC24" i="43"/>
  <c r="J61" i="45"/>
  <c r="N61" i="45"/>
  <c r="G59" i="46"/>
  <c r="O57" i="45"/>
  <c r="H58" i="45"/>
  <c r="H65" i="45"/>
  <c r="H66" i="45" s="1"/>
  <c r="H35" i="45" s="1"/>
  <c r="K57" i="45"/>
  <c r="I58" i="45"/>
  <c r="I65" i="45"/>
  <c r="I66" i="45" s="1"/>
  <c r="I35" i="45" s="1"/>
  <c r="K58" i="45"/>
  <c r="D57" i="45"/>
  <c r="J58" i="45"/>
  <c r="J57" i="45"/>
  <c r="J68" i="45" s="1"/>
  <c r="J69" i="45" s="1"/>
  <c r="J34" i="45" s="1"/>
  <c r="N57" i="45"/>
  <c r="N68" i="45" s="1"/>
  <c r="N69" i="45" s="1"/>
  <c r="N34" i="45" s="1"/>
  <c r="P57" i="44"/>
  <c r="K65" i="45"/>
  <c r="K66" i="45"/>
  <c r="K35" i="45" s="1"/>
  <c r="P61" i="46"/>
  <c r="R61" i="46" s="1"/>
  <c r="P59" i="44" l="1"/>
  <c r="R59" i="44" s="1"/>
  <c r="H65" i="44"/>
  <c r="H66" i="44" s="1"/>
  <c r="H35" i="44" s="1"/>
  <c r="O65" i="48"/>
  <c r="O66" i="48" s="1"/>
  <c r="K60" i="48"/>
  <c r="G61" i="48"/>
  <c r="N59" i="48"/>
  <c r="N68" i="48" s="1"/>
  <c r="N69" i="48" s="1"/>
  <c r="L62" i="48"/>
  <c r="L65" i="48" s="1"/>
  <c r="L66" i="48" s="1"/>
  <c r="D61" i="48"/>
  <c r="P61" i="48" s="1"/>
  <c r="R61" i="48" s="1"/>
  <c r="E62" i="48"/>
  <c r="I60" i="48"/>
  <c r="N61" i="48"/>
  <c r="G60" i="48"/>
  <c r="H65" i="48"/>
  <c r="H66" i="48" s="1"/>
  <c r="F60" i="48"/>
  <c r="I65" i="48"/>
  <c r="I66" i="48" s="1"/>
  <c r="F59" i="48"/>
  <c r="L59" i="48"/>
  <c r="F62" i="48"/>
  <c r="I59" i="48"/>
  <c r="O68" i="48"/>
  <c r="O69" i="48" s="1"/>
  <c r="F61" i="48"/>
  <c r="M59" i="48"/>
  <c r="M68" i="48" s="1"/>
  <c r="M69" i="48" s="1"/>
  <c r="D59" i="48"/>
  <c r="L61" i="48"/>
  <c r="M62" i="48"/>
  <c r="H61" i="48"/>
  <c r="H68" i="48" s="1"/>
  <c r="H69" i="48" s="1"/>
  <c r="D62" i="48"/>
  <c r="P62" i="48" s="1"/>
  <c r="E60" i="48"/>
  <c r="K61" i="48"/>
  <c r="K62" i="48"/>
  <c r="O59" i="48"/>
  <c r="H60" i="48"/>
  <c r="I59" i="42"/>
  <c r="G60" i="42"/>
  <c r="M60" i="42"/>
  <c r="M65" i="42" s="1"/>
  <c r="M66" i="42" s="1"/>
  <c r="M35" i="42" s="1"/>
  <c r="J59" i="42"/>
  <c r="J68" i="42" s="1"/>
  <c r="J69" i="42" s="1"/>
  <c r="J34" i="42" s="1"/>
  <c r="F62" i="42"/>
  <c r="F65" i="42" s="1"/>
  <c r="F66" i="42" s="1"/>
  <c r="F35" i="42" s="1"/>
  <c r="L61" i="42"/>
  <c r="L68" i="42" s="1"/>
  <c r="L69" i="42" s="1"/>
  <c r="L34" i="42" s="1"/>
  <c r="H59" i="42"/>
  <c r="H68" i="42" s="1"/>
  <c r="H69" i="42" s="1"/>
  <c r="H34" i="42" s="1"/>
  <c r="L59" i="42"/>
  <c r="D62" i="42"/>
  <c r="E61" i="42"/>
  <c r="G59" i="42"/>
  <c r="G68" i="42" s="1"/>
  <c r="G69" i="42" s="1"/>
  <c r="G34" i="42" s="1"/>
  <c r="O60" i="42"/>
  <c r="O65" i="42" s="1"/>
  <c r="O66" i="42" s="1"/>
  <c r="O35" i="42" s="1"/>
  <c r="I62" i="42"/>
  <c r="N60" i="42"/>
  <c r="N65" i="42" s="1"/>
  <c r="N66" i="42" s="1"/>
  <c r="N35" i="42" s="1"/>
  <c r="F59" i="42"/>
  <c r="M59" i="42"/>
  <c r="M68" i="42" s="1"/>
  <c r="M69" i="42" s="1"/>
  <c r="M34" i="42" s="1"/>
  <c r="K62" i="42"/>
  <c r="I60" i="42"/>
  <c r="E59" i="42"/>
  <c r="E68" i="42" s="1"/>
  <c r="E69" i="42" s="1"/>
  <c r="E34" i="42" s="1"/>
  <c r="K61" i="42"/>
  <c r="K68" i="42" s="1"/>
  <c r="K69" i="42" s="1"/>
  <c r="K34" i="42" s="1"/>
  <c r="D59" i="42"/>
  <c r="D68" i="42" s="1"/>
  <c r="D69" i="42" s="1"/>
  <c r="D34" i="42" s="1"/>
  <c r="D60" i="42"/>
  <c r="D65" i="42" s="1"/>
  <c r="D66" i="42" s="1"/>
  <c r="D35" i="42" s="1"/>
  <c r="J59" i="46"/>
  <c r="E60" i="46"/>
  <c r="D59" i="46"/>
  <c r="M59" i="40"/>
  <c r="M68" i="40" s="1"/>
  <c r="M69" i="40" s="1"/>
  <c r="M34" i="40" s="1"/>
  <c r="G59" i="40"/>
  <c r="G68" i="40" s="1"/>
  <c r="G69" i="40" s="1"/>
  <c r="G34" i="40" s="1"/>
  <c r="E60" i="40"/>
  <c r="E65" i="40" s="1"/>
  <c r="E66" i="40" s="1"/>
  <c r="E35" i="40" s="1"/>
  <c r="F59" i="40"/>
  <c r="J59" i="40"/>
  <c r="J68" i="40" s="1"/>
  <c r="J69" i="40" s="1"/>
  <c r="J34" i="40" s="1"/>
  <c r="E59" i="40"/>
  <c r="E68" i="40" s="1"/>
  <c r="E69" i="40" s="1"/>
  <c r="E34" i="40" s="1"/>
  <c r="L60" i="40"/>
  <c r="L65" i="40" s="1"/>
  <c r="L66" i="40" s="1"/>
  <c r="L35" i="40" s="1"/>
  <c r="F60" i="40"/>
  <c r="F65" i="40" s="1"/>
  <c r="F66" i="40" s="1"/>
  <c r="F35" i="40" s="1"/>
  <c r="H60" i="40"/>
  <c r="S60" i="37"/>
  <c r="S32" i="37"/>
  <c r="AY32" i="37"/>
  <c r="AX32" i="37"/>
  <c r="AX60" i="37"/>
  <c r="AY60" i="37"/>
  <c r="R32" i="37"/>
  <c r="P60" i="46"/>
  <c r="Q60" i="46" s="1"/>
  <c r="R60" i="46" s="1"/>
  <c r="D68" i="46"/>
  <c r="D69" i="46" s="1"/>
  <c r="D34" i="46" s="1"/>
  <c r="P25" i="46"/>
  <c r="P25" i="41"/>
  <c r="AF19" i="40"/>
  <c r="N65" i="44"/>
  <c r="N66" i="44" s="1"/>
  <c r="N35" i="44" s="1"/>
  <c r="M65" i="44"/>
  <c r="M66" i="44" s="1"/>
  <c r="M35" i="44" s="1"/>
  <c r="P57" i="45"/>
  <c r="F68" i="45"/>
  <c r="F69" i="45" s="1"/>
  <c r="F34" i="45" s="1"/>
  <c r="L65" i="45"/>
  <c r="L66" i="45" s="1"/>
  <c r="L35" i="45" s="1"/>
  <c r="P58" i="45"/>
  <c r="P69" i="44"/>
  <c r="D34" i="44"/>
  <c r="P34" i="44" s="1"/>
  <c r="D35" i="44"/>
  <c r="P59" i="46"/>
  <c r="R59" i="46" s="1"/>
  <c r="G68" i="46"/>
  <c r="G69" i="46" s="1"/>
  <c r="G34" i="46" s="1"/>
  <c r="P62" i="45"/>
  <c r="K65" i="42"/>
  <c r="K66" i="42" s="1"/>
  <c r="K35" i="42" s="1"/>
  <c r="F68" i="42"/>
  <c r="F69" i="42" s="1"/>
  <c r="F34" i="42" s="1"/>
  <c r="G65" i="45"/>
  <c r="G66" i="45" s="1"/>
  <c r="G35" i="45" s="1"/>
  <c r="F68" i="40"/>
  <c r="F69" i="40" s="1"/>
  <c r="F34" i="40" s="1"/>
  <c r="BA15" i="36"/>
  <c r="P58" i="44"/>
  <c r="J65" i="45"/>
  <c r="J66" i="45" s="1"/>
  <c r="J35" i="45" s="1"/>
  <c r="K68" i="45"/>
  <c r="K69" i="45" s="1"/>
  <c r="K34" i="45" s="1"/>
  <c r="G65" i="42"/>
  <c r="G66" i="42" s="1"/>
  <c r="G35" i="42" s="1"/>
  <c r="P62" i="46"/>
  <c r="I65" i="46"/>
  <c r="I66" i="46" s="1"/>
  <c r="I35" i="46" s="1"/>
  <c r="N65" i="46"/>
  <c r="N66" i="46" s="1"/>
  <c r="N35" i="46" s="1"/>
  <c r="O68" i="45"/>
  <c r="O69" i="45" s="1"/>
  <c r="O34" i="45" s="1"/>
  <c r="P34" i="43"/>
  <c r="P59" i="47"/>
  <c r="R57" i="44"/>
  <c r="H68" i="45"/>
  <c r="H69" i="45" s="1"/>
  <c r="H34" i="45" s="1"/>
  <c r="L59" i="40"/>
  <c r="L68" i="40" s="1"/>
  <c r="L69" i="40" s="1"/>
  <c r="L34" i="40" s="1"/>
  <c r="K59" i="40"/>
  <c r="K68" i="40" s="1"/>
  <c r="K69" i="40" s="1"/>
  <c r="K34" i="40" s="1"/>
  <c r="O59" i="40"/>
  <c r="O68" i="40" s="1"/>
  <c r="O69" i="40" s="1"/>
  <c r="O34" i="40" s="1"/>
  <c r="H59" i="40"/>
  <c r="H68" i="40" s="1"/>
  <c r="H69" i="40" s="1"/>
  <c r="H34" i="40" s="1"/>
  <c r="K60" i="40"/>
  <c r="K65" i="40" s="1"/>
  <c r="K66" i="40" s="1"/>
  <c r="K35" i="40" s="1"/>
  <c r="D60" i="40"/>
  <c r="N59" i="40"/>
  <c r="N68" i="40" s="1"/>
  <c r="N69" i="40" s="1"/>
  <c r="N34" i="40" s="1"/>
  <c r="N60" i="40"/>
  <c r="N65" i="40" s="1"/>
  <c r="N66" i="40" s="1"/>
  <c r="N35" i="40" s="1"/>
  <c r="I59" i="40"/>
  <c r="I68" i="40" s="1"/>
  <c r="I69" i="40" s="1"/>
  <c r="I34" i="40" s="1"/>
  <c r="G60" i="40"/>
  <c r="G65" i="40" s="1"/>
  <c r="G66" i="40" s="1"/>
  <c r="G35" i="40" s="1"/>
  <c r="M60" i="40"/>
  <c r="M65" i="40" s="1"/>
  <c r="M66" i="40" s="1"/>
  <c r="M35" i="40" s="1"/>
  <c r="R57" i="40"/>
  <c r="H55" i="47"/>
  <c r="H56" i="47" s="1"/>
  <c r="P56" i="47" s="1"/>
  <c r="P48" i="47"/>
  <c r="D65" i="45"/>
  <c r="D66" i="45" s="1"/>
  <c r="L65" i="42"/>
  <c r="L66" i="42" s="1"/>
  <c r="L35" i="42" s="1"/>
  <c r="J60" i="40"/>
  <c r="J65" i="40" s="1"/>
  <c r="J66" i="40" s="1"/>
  <c r="J35" i="40" s="1"/>
  <c r="P60" i="44"/>
  <c r="D59" i="40"/>
  <c r="K57" i="46"/>
  <c r="K68" i="46" s="1"/>
  <c r="K69" i="46" s="1"/>
  <c r="K34" i="46" s="1"/>
  <c r="G58" i="46"/>
  <c r="G65" i="46" s="1"/>
  <c r="G66" i="46" s="1"/>
  <c r="G35" i="46" s="1"/>
  <c r="H58" i="46"/>
  <c r="J57" i="46"/>
  <c r="J68" i="46" s="1"/>
  <c r="J69" i="46" s="1"/>
  <c r="J34" i="46" s="1"/>
  <c r="M57" i="46"/>
  <c r="M68" i="46" s="1"/>
  <c r="M69" i="46" s="1"/>
  <c r="M34" i="46" s="1"/>
  <c r="M58" i="46"/>
  <c r="M65" i="46" s="1"/>
  <c r="M66" i="46" s="1"/>
  <c r="M35" i="46" s="1"/>
  <c r="O57" i="46"/>
  <c r="O68" i="46" s="1"/>
  <c r="O69" i="46" s="1"/>
  <c r="O34" i="46" s="1"/>
  <c r="F57" i="46"/>
  <c r="F68" i="46" s="1"/>
  <c r="F69" i="46" s="1"/>
  <c r="F34" i="46" s="1"/>
  <c r="D58" i="46"/>
  <c r="L57" i="46"/>
  <c r="L68" i="46" s="1"/>
  <c r="L69" i="46" s="1"/>
  <c r="L34" i="46" s="1"/>
  <c r="E57" i="46"/>
  <c r="L58" i="46"/>
  <c r="L65" i="46" s="1"/>
  <c r="L66" i="46" s="1"/>
  <c r="L35" i="46" s="1"/>
  <c r="E58" i="46"/>
  <c r="E65" i="46" s="1"/>
  <c r="E66" i="46" s="1"/>
  <c r="E35" i="46" s="1"/>
  <c r="N57" i="46"/>
  <c r="N68" i="46" s="1"/>
  <c r="N69" i="46" s="1"/>
  <c r="N34" i="46" s="1"/>
  <c r="I57" i="46"/>
  <c r="I68" i="46" s="1"/>
  <c r="I69" i="46" s="1"/>
  <c r="I34" i="46" s="1"/>
  <c r="AC24" i="45"/>
  <c r="P47" i="47"/>
  <c r="J65" i="48"/>
  <c r="J66" i="48" s="1"/>
  <c r="E60" i="42"/>
  <c r="O59" i="42"/>
  <c r="O68" i="42" s="1"/>
  <c r="O69" i="42" s="1"/>
  <c r="O34" i="42" s="1"/>
  <c r="AD23" i="43"/>
  <c r="P25" i="44"/>
  <c r="P58" i="42"/>
  <c r="P57" i="42"/>
  <c r="M57" i="43"/>
  <c r="M68" i="43" s="1"/>
  <c r="M69" i="43" s="1"/>
  <c r="M34" i="43" s="1"/>
  <c r="E58" i="43"/>
  <c r="E57" i="43"/>
  <c r="E68" i="43" s="1"/>
  <c r="E69" i="43" s="1"/>
  <c r="E34" i="43" s="1"/>
  <c r="F57" i="43"/>
  <c r="F68" i="43" s="1"/>
  <c r="F69" i="43" s="1"/>
  <c r="F34" i="43" s="1"/>
  <c r="N58" i="43"/>
  <c r="N65" i="43" s="1"/>
  <c r="N66" i="43" s="1"/>
  <c r="N35" i="43" s="1"/>
  <c r="J57" i="43"/>
  <c r="J68" i="43" s="1"/>
  <c r="J69" i="43" s="1"/>
  <c r="J34" i="43" s="1"/>
  <c r="G58" i="43"/>
  <c r="G65" i="43" s="1"/>
  <c r="G66" i="43" s="1"/>
  <c r="G35" i="43" s="1"/>
  <c r="N60" i="45"/>
  <c r="N65" i="45" s="1"/>
  <c r="N66" i="45" s="1"/>
  <c r="N35" i="45" s="1"/>
  <c r="E60" i="45"/>
  <c r="E65" i="45" s="1"/>
  <c r="E66" i="45" s="1"/>
  <c r="E35" i="45" s="1"/>
  <c r="D59" i="45"/>
  <c r="P59" i="45" s="1"/>
  <c r="R59" i="45" s="1"/>
  <c r="L60" i="45"/>
  <c r="J60" i="45"/>
  <c r="I59" i="45"/>
  <c r="I68" i="45" s="1"/>
  <c r="I69" i="45" s="1"/>
  <c r="I34" i="45" s="1"/>
  <c r="O59" i="45"/>
  <c r="I68" i="42"/>
  <c r="I69" i="42" s="1"/>
  <c r="I34" i="42" s="1"/>
  <c r="O24" i="42"/>
  <c r="P25" i="42" s="1"/>
  <c r="AD23" i="45"/>
  <c r="D65" i="48"/>
  <c r="D66" i="48" s="1"/>
  <c r="D35" i="48" s="1"/>
  <c r="G57" i="48"/>
  <c r="AC24" i="46"/>
  <c r="AC24" i="41"/>
  <c r="AC24" i="42"/>
  <c r="E58" i="48"/>
  <c r="G58" i="48"/>
  <c r="K58" i="48"/>
  <c r="E57" i="48"/>
  <c r="G59" i="48"/>
  <c r="N60" i="48"/>
  <c r="P60" i="48" s="1"/>
  <c r="H58" i="40"/>
  <c r="H65" i="40" s="1"/>
  <c r="H66" i="40" s="1"/>
  <c r="H35" i="40" s="1"/>
  <c r="H65" i="46"/>
  <c r="H66" i="46" s="1"/>
  <c r="H35" i="46" s="1"/>
  <c r="I58" i="40"/>
  <c r="I65" i="40" s="1"/>
  <c r="I66" i="40" s="1"/>
  <c r="I35" i="40" s="1"/>
  <c r="AC24" i="40"/>
  <c r="K57" i="48"/>
  <c r="N58" i="48"/>
  <c r="M60" i="48"/>
  <c r="M65" i="48" s="1"/>
  <c r="M66" i="48" s="1"/>
  <c r="I57" i="48"/>
  <c r="I68" i="48" s="1"/>
  <c r="I69" i="48" s="1"/>
  <c r="F58" i="48"/>
  <c r="AC24" i="48"/>
  <c r="AC24" i="44"/>
  <c r="P35" i="44" l="1"/>
  <c r="P66" i="44"/>
  <c r="P68" i="44"/>
  <c r="K65" i="48"/>
  <c r="K66" i="48" s="1"/>
  <c r="G65" i="48"/>
  <c r="G66" i="48" s="1"/>
  <c r="E65" i="48"/>
  <c r="E66" i="48" s="1"/>
  <c r="P59" i="48"/>
  <c r="R59" i="48" s="1"/>
  <c r="K68" i="48"/>
  <c r="K69" i="48" s="1"/>
  <c r="L68" i="48"/>
  <c r="L69" i="48" s="1"/>
  <c r="F65" i="48"/>
  <c r="F66" i="48" s="1"/>
  <c r="D68" i="48"/>
  <c r="D69" i="48" s="1"/>
  <c r="D34" i="48" s="1"/>
  <c r="F68" i="48"/>
  <c r="F69" i="48" s="1"/>
  <c r="P61" i="42"/>
  <c r="R61" i="42" s="1"/>
  <c r="P62" i="42"/>
  <c r="Q62" i="42" s="1"/>
  <c r="R62" i="42" s="1"/>
  <c r="I65" i="42"/>
  <c r="I66" i="42" s="1"/>
  <c r="P59" i="42"/>
  <c r="R59" i="42" s="1"/>
  <c r="Q60" i="48"/>
  <c r="R60" i="48" s="1"/>
  <c r="E65" i="42"/>
  <c r="E66" i="42" s="1"/>
  <c r="P60" i="42"/>
  <c r="D68" i="45"/>
  <c r="D69" i="45" s="1"/>
  <c r="P34" i="42"/>
  <c r="P69" i="43"/>
  <c r="P58" i="43"/>
  <c r="E65" i="43"/>
  <c r="E66" i="43" s="1"/>
  <c r="E68" i="46"/>
  <c r="E69" i="46" s="1"/>
  <c r="P57" i="46"/>
  <c r="Q58" i="45"/>
  <c r="R58" i="45"/>
  <c r="R47" i="47"/>
  <c r="P58" i="47"/>
  <c r="P59" i="40"/>
  <c r="D68" i="40"/>
  <c r="D69" i="40" s="1"/>
  <c r="P57" i="43"/>
  <c r="D65" i="40"/>
  <c r="D66" i="40" s="1"/>
  <c r="P60" i="40"/>
  <c r="P60" i="45"/>
  <c r="P58" i="40"/>
  <c r="R57" i="42"/>
  <c r="P58" i="46"/>
  <c r="D65" i="46"/>
  <c r="D66" i="46" s="1"/>
  <c r="Q58" i="44"/>
  <c r="R58" i="44" s="1"/>
  <c r="P65" i="44"/>
  <c r="R65" i="44" s="1"/>
  <c r="Q60" i="44"/>
  <c r="R60" i="44" s="1"/>
  <c r="Q62" i="48"/>
  <c r="R62" i="48" s="1"/>
  <c r="Q62" i="46"/>
  <c r="R62" i="46" s="1"/>
  <c r="Q62" i="45"/>
  <c r="R62" i="45" s="1"/>
  <c r="P69" i="42"/>
  <c r="P55" i="47"/>
  <c r="R55" i="47" s="1"/>
  <c r="Q48" i="47"/>
  <c r="R48" i="47" s="1"/>
  <c r="G68" i="48"/>
  <c r="G69" i="48" s="1"/>
  <c r="Q58" i="42"/>
  <c r="R58" i="42" s="1"/>
  <c r="N65" i="48"/>
  <c r="N66" i="48" s="1"/>
  <c r="P57" i="48"/>
  <c r="E68" i="48"/>
  <c r="E69" i="48" s="1"/>
  <c r="P58" i="48"/>
  <c r="P66" i="45"/>
  <c r="D35" i="45"/>
  <c r="P35" i="45" s="1"/>
  <c r="R57" i="45"/>
  <c r="P68" i="45"/>
  <c r="P69" i="48" l="1"/>
  <c r="P66" i="48"/>
  <c r="P68" i="42"/>
  <c r="P68" i="43"/>
  <c r="R57" i="43"/>
  <c r="P68" i="48"/>
  <c r="R57" i="48"/>
  <c r="E35" i="42"/>
  <c r="P35" i="42" s="1"/>
  <c r="P66" i="42"/>
  <c r="Q60" i="45"/>
  <c r="R60" i="45"/>
  <c r="P65" i="43"/>
  <c r="R65" i="43" s="1"/>
  <c r="Q58" i="43"/>
  <c r="R58" i="43" s="1"/>
  <c r="Q60" i="40"/>
  <c r="R60" i="40"/>
  <c r="Q58" i="48"/>
  <c r="R58" i="48" s="1"/>
  <c r="P65" i="48"/>
  <c r="R65" i="48" s="1"/>
  <c r="D35" i="40"/>
  <c r="P35" i="40" s="1"/>
  <c r="P66" i="40"/>
  <c r="D34" i="45"/>
  <c r="P34" i="45" s="1"/>
  <c r="P69" i="45"/>
  <c r="P65" i="42"/>
  <c r="R65" i="42" s="1"/>
  <c r="Q60" i="42"/>
  <c r="R60" i="42" s="1"/>
  <c r="D34" i="40"/>
  <c r="P34" i="40" s="1"/>
  <c r="P69" i="40"/>
  <c r="E34" i="46"/>
  <c r="P34" i="46" s="1"/>
  <c r="P69" i="46"/>
  <c r="P66" i="46"/>
  <c r="D35" i="46"/>
  <c r="P35" i="46" s="1"/>
  <c r="P65" i="46"/>
  <c r="R65" i="46" s="1"/>
  <c r="Q58" i="46"/>
  <c r="R58" i="46" s="1"/>
  <c r="P65" i="45"/>
  <c r="R65" i="45" s="1"/>
  <c r="P68" i="46"/>
  <c r="R57" i="46"/>
  <c r="Q58" i="40"/>
  <c r="P65" i="40"/>
  <c r="R65" i="40" s="1"/>
  <c r="R58" i="40"/>
  <c r="R59" i="40"/>
  <c r="P68" i="40"/>
  <c r="E35" i="43"/>
  <c r="P35" i="43" s="1"/>
  <c r="P66"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W13" authorId="1" shapeId="0" xr:uid="{857860FB-0BB6-4432-BD87-331392C8EE5C}">
      <text>
        <r>
          <rPr>
            <b/>
            <sz val="9"/>
            <color rgb="FF000000"/>
            <rFont val="Tahoma"/>
            <family val="2"/>
          </rPr>
          <t>ANGELA MARCELA FORERO RUI</t>
        </r>
        <r>
          <rPr>
            <b/>
            <sz val="11"/>
            <color rgb="FF000000"/>
            <rFont val="Tahoma"/>
            <family val="2"/>
          </rPr>
          <t>Z:</t>
        </r>
        <r>
          <rPr>
            <sz val="11"/>
            <color rgb="FF000000"/>
            <rFont val="Tahoma"/>
            <family val="2"/>
          </rPr>
          <t xml:space="preserve">
</t>
        </r>
        <r>
          <rPr>
            <sz val="11"/>
            <color rgb="FF000000"/>
            <rFont val="Tahoma"/>
            <family val="2"/>
          </rPr>
          <t>Diligenciar lo que aparece en rojo</t>
        </r>
      </text>
    </comment>
    <comment ref="AW15" authorId="1" shapeId="0" xr:uid="{E2000921-D34C-4711-A1C3-B0994299610A}">
      <text>
        <r>
          <rPr>
            <b/>
            <sz val="11"/>
            <color rgb="FF000000"/>
            <rFont val="Tahoma"/>
            <family val="2"/>
          </rPr>
          <t>ANGELA MARCELA FORERO RUIZ:</t>
        </r>
        <r>
          <rPr>
            <sz val="11"/>
            <color rgb="FF000000"/>
            <rFont val="Tahoma"/>
            <family val="2"/>
          </rPr>
          <t xml:space="preserve">
</t>
        </r>
        <r>
          <rPr>
            <sz val="11"/>
            <color rgb="FF000000"/>
            <rFont val="Tahoma"/>
            <family val="2"/>
          </rPr>
          <t xml:space="preserve">Actuailizar el dato a la fecha que es 
</t>
        </r>
        <r>
          <rPr>
            <sz val="11"/>
            <color rgb="FF000000"/>
            <rFont val="Tahoma"/>
            <family val="2"/>
          </rPr>
          <t>e han beneficiado del servicio de orientación y asesoría psico jurídica a 5.950 personas cuidadoras.</t>
        </r>
      </text>
    </comment>
    <comment ref="AV19" authorId="1" shapeId="0" xr:uid="{C3DFEC37-3663-4277-9290-FF1862D2DBAD}">
      <text>
        <r>
          <rPr>
            <b/>
            <sz val="12"/>
            <color rgb="FF000000"/>
            <rFont val="Tahoma"/>
            <family val="2"/>
          </rPr>
          <t>ANGELA MARCELA FORERO RUIZ:</t>
        </r>
        <r>
          <rPr>
            <sz val="12"/>
            <color rgb="FF000000"/>
            <rFont val="Tahoma"/>
            <family val="2"/>
          </rPr>
          <t xml:space="preserve">
</t>
        </r>
        <r>
          <rPr>
            <sz val="12"/>
            <color rgb="FF000000"/>
            <rFont val="Tahoma"/>
            <family val="2"/>
          </rPr>
          <t xml:space="preserve">Según el avance de la meta 4 corresponde a:
</t>
        </r>
        <r>
          <rPr>
            <sz val="12"/>
            <color rgb="FF000000"/>
            <rFont val="Tahoma"/>
            <family val="2"/>
          </rPr>
          <t>Orientación y asesoría psico jurídica: 1.052 cuidadoras (533 atención jurídica y 519 atención psicosocial) y no 1,.074</t>
        </r>
      </text>
    </comment>
    <comment ref="AW19" authorId="1" shapeId="0" xr:uid="{D88E4A21-2128-4E20-AB01-473E02095C22}">
      <text>
        <r>
          <rPr>
            <b/>
            <sz val="9"/>
            <color rgb="FF000000"/>
            <rFont val="Tahoma"/>
            <family val="2"/>
          </rPr>
          <t>ANGELA MARCELA FORERO RUIZ:</t>
        </r>
        <r>
          <rPr>
            <sz val="9"/>
            <color rgb="FF000000"/>
            <rFont val="Tahoma"/>
            <family val="2"/>
          </rPr>
          <t xml:space="preserve">
</t>
        </r>
        <r>
          <rPr>
            <sz val="9"/>
            <color rgb="FF000000"/>
            <rFont val="Tahoma"/>
            <family val="2"/>
          </rPr>
          <t>Se ha avanzado en un 75% de acuerdo a la programación para el año.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D96C870B-7B58-494A-BB3B-61AD8EA399A5}">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000-000001000000}">
      <text>
        <r>
          <rPr>
            <b/>
            <sz val="9"/>
            <color indexed="81"/>
            <rFont val="Tahoma"/>
            <family val="2"/>
          </rPr>
          <t>USUARIO:</t>
        </r>
        <r>
          <rPr>
            <sz val="9"/>
            <color indexed="81"/>
            <rFont val="Tahoma"/>
            <family val="2"/>
          </rPr>
          <t xml:space="preserve">
PSP</t>
        </r>
      </text>
    </comment>
    <comment ref="T22" authorId="1" shapeId="0" xr:uid="{00000000-0006-0000-0000-000002000000}">
      <text>
        <r>
          <rPr>
            <b/>
            <sz val="9"/>
            <color indexed="81"/>
            <rFont val="Tahoma"/>
            <family val="2"/>
          </rPr>
          <t>USUARIO:</t>
        </r>
        <r>
          <rPr>
            <sz val="9"/>
            <color indexed="81"/>
            <rFont val="Tahoma"/>
            <family val="2"/>
          </rPr>
          <t xml:space="preserve">
Licenciamiento</t>
        </r>
      </text>
    </comment>
    <comment ref="V22" authorId="1" shapeId="0" xr:uid="{00000000-0006-0000-0000-000003000000}">
      <text>
        <r>
          <rPr>
            <b/>
            <sz val="9"/>
            <color indexed="81"/>
            <rFont val="Tahoma"/>
            <family val="2"/>
          </rPr>
          <t>USUARIO:</t>
        </r>
        <r>
          <rPr>
            <sz val="9"/>
            <color indexed="81"/>
            <rFont val="Tahoma"/>
            <family val="2"/>
          </rPr>
          <t xml:space="preserve">
Papelería, central de medios</t>
        </r>
      </text>
    </comment>
    <comment ref="C24" authorId="1"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1" shapeId="0" xr:uid="{00000000-0006-0000-0000-000005000000}">
      <text>
        <r>
          <rPr>
            <sz val="10"/>
            <color indexed="81"/>
            <rFont val="Tahoma"/>
            <family val="2"/>
          </rPr>
          <t>Equipos tecnológicos, PSP Camilo, PSP Jonathan, adición PSP Carol Quintero, Adición PSP Ana, Adición PSP Carol Rozo, central de medios</t>
        </r>
      </text>
    </comment>
    <comment ref="R24" authorId="1"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1"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1" shapeId="0" xr:uid="{00000000-0006-0000-0000-000008000000}">
      <text>
        <r>
          <rPr>
            <b/>
            <sz val="9"/>
            <color indexed="81"/>
            <rFont val="Tahoma"/>
            <family val="2"/>
          </rPr>
          <t>USUARIO:</t>
        </r>
        <r>
          <rPr>
            <sz val="9"/>
            <color indexed="81"/>
            <rFont val="Tahoma"/>
            <family val="2"/>
          </rPr>
          <t xml:space="preserve">
PSP</t>
        </r>
      </text>
    </comment>
    <comment ref="U24" authorId="1" shapeId="0" xr:uid="{00000000-0006-0000-0000-000009000000}">
      <text>
        <r>
          <rPr>
            <b/>
            <sz val="9"/>
            <color indexed="81"/>
            <rFont val="Tahoma"/>
            <family val="2"/>
          </rPr>
          <t>USUARIO:</t>
        </r>
        <r>
          <rPr>
            <sz val="9"/>
            <color indexed="81"/>
            <rFont val="Tahoma"/>
            <family val="2"/>
          </rPr>
          <t xml:space="preserve">
PSP, licenciamiento</t>
        </r>
      </text>
    </comment>
    <comment ref="V24" authorId="1"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1"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1" shapeId="0" xr:uid="{00000000-0006-0000-0000-00000C000000}">
      <text>
        <r>
          <rPr>
            <b/>
            <sz val="9"/>
            <color indexed="81"/>
            <rFont val="Tahoma"/>
            <family val="2"/>
          </rPr>
          <t>USUARIO:</t>
        </r>
        <r>
          <rPr>
            <sz val="9"/>
            <color indexed="81"/>
            <rFont val="Tahoma"/>
            <family val="2"/>
          </rPr>
          <t xml:space="preserve">
PSP</t>
        </r>
      </text>
    </comment>
    <comment ref="Y24" authorId="1" shapeId="0" xr:uid="{00000000-0006-0000-0000-00000D000000}">
      <text>
        <r>
          <rPr>
            <b/>
            <sz val="9"/>
            <color indexed="81"/>
            <rFont val="Tahoma"/>
            <family val="2"/>
          </rPr>
          <t>USUARIO:</t>
        </r>
        <r>
          <rPr>
            <sz val="9"/>
            <color indexed="81"/>
            <rFont val="Tahoma"/>
            <family val="2"/>
          </rPr>
          <t xml:space="preserve">
PSP, central de medios</t>
        </r>
      </text>
    </comment>
    <comment ref="Z24" authorId="1" shapeId="0" xr:uid="{00000000-0006-0000-0000-00000E000000}">
      <text>
        <r>
          <rPr>
            <b/>
            <sz val="9"/>
            <color indexed="81"/>
            <rFont val="Tahoma"/>
            <family val="2"/>
          </rPr>
          <t>USUARIO:</t>
        </r>
        <r>
          <rPr>
            <sz val="9"/>
            <color indexed="81"/>
            <rFont val="Tahoma"/>
            <family val="2"/>
          </rPr>
          <t xml:space="preserve">
PSP</t>
        </r>
      </text>
    </comment>
    <comment ref="AA24" authorId="1" shapeId="0" xr:uid="{00000000-0006-0000-0000-00000F000000}">
      <text>
        <r>
          <rPr>
            <b/>
            <sz val="9"/>
            <color indexed="81"/>
            <rFont val="Tahoma"/>
            <family val="2"/>
          </rPr>
          <t>USUARIO:</t>
        </r>
        <r>
          <rPr>
            <sz val="9"/>
            <color indexed="81"/>
            <rFont val="Tahoma"/>
            <family val="2"/>
          </rPr>
          <t xml:space="preserve">
PSP, central de medios</t>
        </r>
      </text>
    </comment>
    <comment ref="AB24" authorId="1"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2"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40" authorId="0" shapeId="0" xr:uid="{67058476-7E2E-4939-AECE-43CBD29280A3}">
      <text>
        <r>
          <rPr>
            <b/>
            <sz val="11"/>
            <color rgb="FF000000"/>
            <rFont val="Tahoma"/>
            <family val="2"/>
          </rPr>
          <t>ANGELA MARCELA FORERO RUIZ:</t>
        </r>
        <r>
          <rPr>
            <sz val="11"/>
            <color rgb="FF000000"/>
            <rFont val="Tahoma"/>
            <family val="2"/>
          </rPr>
          <t xml:space="preserve">
</t>
        </r>
        <r>
          <rPr>
            <sz val="11"/>
            <color rgb="FF000000"/>
            <rFont val="Tahoma"/>
            <family val="2"/>
          </rPr>
          <t xml:space="preserve"> Incuir avance acumulado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F9AFDA23-FCA9-48AD-81C5-F0996DB87DC4}">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100-000001000000}">
      <text>
        <r>
          <rPr>
            <b/>
            <sz val="9"/>
            <color indexed="81"/>
            <rFont val="Tahoma"/>
            <family val="2"/>
          </rPr>
          <t>USUARIO:</t>
        </r>
        <r>
          <rPr>
            <sz val="9"/>
            <color indexed="81"/>
            <rFont val="Tahoma"/>
            <family val="2"/>
          </rPr>
          <t xml:space="preserve">
PSP</t>
        </r>
      </text>
    </comment>
    <comment ref="T22" authorId="1" shapeId="0" xr:uid="{00000000-0006-0000-0100-000002000000}">
      <text>
        <r>
          <rPr>
            <b/>
            <sz val="9"/>
            <color indexed="81"/>
            <rFont val="Tahoma"/>
            <family val="2"/>
          </rPr>
          <t>USUARIO:</t>
        </r>
        <r>
          <rPr>
            <sz val="9"/>
            <color indexed="81"/>
            <rFont val="Tahoma"/>
            <family val="2"/>
          </rPr>
          <t xml:space="preserve">
Licenciamiento</t>
        </r>
      </text>
    </comment>
    <comment ref="V22" authorId="1" shapeId="0" xr:uid="{00000000-0006-0000-0100-000003000000}">
      <text>
        <r>
          <rPr>
            <b/>
            <sz val="9"/>
            <color indexed="81"/>
            <rFont val="Tahoma"/>
            <family val="2"/>
          </rPr>
          <t>USUARIO:</t>
        </r>
        <r>
          <rPr>
            <sz val="9"/>
            <color indexed="81"/>
            <rFont val="Tahoma"/>
            <family val="2"/>
          </rPr>
          <t xml:space="preserve">
Papelería, central de medios</t>
        </r>
      </text>
    </comment>
    <comment ref="C24" authorId="1" shapeId="0" xr:uid="{00000000-0006-0000-0100-000004000000}">
      <text>
        <r>
          <rPr>
            <b/>
            <sz val="9"/>
            <color indexed="81"/>
            <rFont val="Tahoma"/>
            <family val="2"/>
          </rPr>
          <t>USUARIO:</t>
        </r>
        <r>
          <rPr>
            <sz val="9"/>
            <color indexed="81"/>
            <rFont val="Tahoma"/>
            <family val="2"/>
          </rPr>
          <t xml:space="preserve">
Central de Medios</t>
        </r>
      </text>
    </comment>
    <comment ref="D24" authorId="1"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1" shapeId="0" xr:uid="{00000000-0006-0000-0100-000006000000}">
      <text>
        <r>
          <rPr>
            <b/>
            <sz val="9"/>
            <color indexed="81"/>
            <rFont val="Tahoma"/>
            <family val="2"/>
          </rPr>
          <t>USUARIO:</t>
        </r>
        <r>
          <rPr>
            <sz val="9"/>
            <color indexed="81"/>
            <rFont val="Tahoma"/>
            <family val="2"/>
          </rPr>
          <t xml:space="preserve">
PSP</t>
        </r>
      </text>
    </comment>
    <comment ref="S24" authorId="1" shapeId="0" xr:uid="{00000000-0006-0000-0100-000007000000}">
      <text>
        <r>
          <rPr>
            <b/>
            <sz val="9"/>
            <color indexed="81"/>
            <rFont val="Tahoma"/>
            <family val="2"/>
          </rPr>
          <t>USUARIO:</t>
        </r>
        <r>
          <rPr>
            <sz val="9"/>
            <color indexed="81"/>
            <rFont val="Tahoma"/>
            <family val="2"/>
          </rPr>
          <t xml:space="preserve">
PSP</t>
        </r>
      </text>
    </comment>
    <comment ref="T24" authorId="1" shapeId="0" xr:uid="{00000000-0006-0000-0100-000008000000}">
      <text>
        <r>
          <rPr>
            <b/>
            <sz val="9"/>
            <color indexed="81"/>
            <rFont val="Tahoma"/>
            <family val="2"/>
          </rPr>
          <t>USUARIO:</t>
        </r>
        <r>
          <rPr>
            <sz val="9"/>
            <color indexed="81"/>
            <rFont val="Tahoma"/>
            <family val="2"/>
          </rPr>
          <t xml:space="preserve">
PSP</t>
        </r>
      </text>
    </comment>
    <comment ref="U24" authorId="1" shapeId="0" xr:uid="{00000000-0006-0000-0100-000009000000}">
      <text>
        <r>
          <rPr>
            <b/>
            <sz val="9"/>
            <color indexed="81"/>
            <rFont val="Tahoma"/>
            <family val="2"/>
          </rPr>
          <t>USUARIO:</t>
        </r>
        <r>
          <rPr>
            <sz val="9"/>
            <color indexed="81"/>
            <rFont val="Tahoma"/>
            <family val="2"/>
          </rPr>
          <t xml:space="preserve">
PSP, licenciamiento</t>
        </r>
      </text>
    </comment>
    <comment ref="V24" authorId="1" shapeId="0" xr:uid="{00000000-0006-0000-0100-00000A000000}">
      <text>
        <r>
          <rPr>
            <b/>
            <sz val="9"/>
            <color indexed="81"/>
            <rFont val="Tahoma"/>
            <family val="2"/>
          </rPr>
          <t>USUARIO:</t>
        </r>
        <r>
          <rPr>
            <sz val="9"/>
            <color indexed="81"/>
            <rFont val="Tahoma"/>
            <family val="2"/>
          </rPr>
          <t xml:space="preserve">
PSP</t>
        </r>
      </text>
    </comment>
    <comment ref="W24" authorId="1" shapeId="0" xr:uid="{00000000-0006-0000-0100-00000B000000}">
      <text>
        <r>
          <rPr>
            <b/>
            <sz val="9"/>
            <color indexed="81"/>
            <rFont val="Tahoma"/>
            <family val="2"/>
          </rPr>
          <t>USUARIO:</t>
        </r>
        <r>
          <rPr>
            <sz val="9"/>
            <color indexed="81"/>
            <rFont val="Tahoma"/>
            <family val="2"/>
          </rPr>
          <t xml:space="preserve">
PSP, papelería, central de medios</t>
        </r>
      </text>
    </comment>
    <comment ref="X24" authorId="1" shapeId="0" xr:uid="{00000000-0006-0000-0100-00000C000000}">
      <text>
        <r>
          <rPr>
            <b/>
            <sz val="9"/>
            <color indexed="81"/>
            <rFont val="Tahoma"/>
            <family val="2"/>
          </rPr>
          <t>USUARIO:</t>
        </r>
        <r>
          <rPr>
            <sz val="9"/>
            <color indexed="81"/>
            <rFont val="Tahoma"/>
            <family val="2"/>
          </rPr>
          <t xml:space="preserve">
PSP</t>
        </r>
      </text>
    </comment>
    <comment ref="Y24" authorId="1" shapeId="0" xr:uid="{00000000-0006-0000-0100-00000D000000}">
      <text>
        <r>
          <rPr>
            <b/>
            <sz val="9"/>
            <color indexed="81"/>
            <rFont val="Tahoma"/>
            <family val="2"/>
          </rPr>
          <t>USUARIO:</t>
        </r>
        <r>
          <rPr>
            <sz val="9"/>
            <color indexed="81"/>
            <rFont val="Tahoma"/>
            <family val="2"/>
          </rPr>
          <t xml:space="preserve">
PSP, central de medios</t>
        </r>
      </text>
    </comment>
    <comment ref="Z24" authorId="1" shapeId="0" xr:uid="{00000000-0006-0000-0100-00000E000000}">
      <text>
        <r>
          <rPr>
            <b/>
            <sz val="9"/>
            <color indexed="81"/>
            <rFont val="Tahoma"/>
            <family val="2"/>
          </rPr>
          <t>USUARIO:</t>
        </r>
        <r>
          <rPr>
            <sz val="9"/>
            <color indexed="81"/>
            <rFont val="Tahoma"/>
            <family val="2"/>
          </rPr>
          <t xml:space="preserve">
PSP</t>
        </r>
      </text>
    </comment>
    <comment ref="AA24" authorId="1" shapeId="0" xr:uid="{00000000-0006-0000-0100-00000F000000}">
      <text>
        <r>
          <rPr>
            <b/>
            <sz val="9"/>
            <color indexed="81"/>
            <rFont val="Tahoma"/>
            <family val="2"/>
          </rPr>
          <t>USUARIO:</t>
        </r>
        <r>
          <rPr>
            <sz val="9"/>
            <color indexed="81"/>
            <rFont val="Tahoma"/>
            <family val="2"/>
          </rPr>
          <t xml:space="preserve">
PSP, central de medios</t>
        </r>
      </text>
    </comment>
    <comment ref="AB24" authorId="1" shapeId="0" xr:uid="{00000000-0006-0000-0100-000010000000}">
      <text>
        <r>
          <rPr>
            <b/>
            <sz val="9"/>
            <color indexed="81"/>
            <rFont val="Tahoma"/>
            <family val="2"/>
          </rPr>
          <t>USUARIO:</t>
        </r>
        <r>
          <rPr>
            <sz val="9"/>
            <color indexed="81"/>
            <rFont val="Tahoma"/>
            <family val="2"/>
          </rPr>
          <t xml:space="preserve">
PSP</t>
        </r>
      </text>
    </comment>
    <comment ref="C32" authorId="2"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W34" authorId="0" shapeId="0" xr:uid="{4EE7650C-E8AB-4769-8F84-A1559EF95534}">
      <text>
        <r>
          <rPr>
            <b/>
            <sz val="11"/>
            <color rgb="FF000000"/>
            <rFont val="Tahoma"/>
            <family val="2"/>
          </rPr>
          <t>ANGELA MARCELA FORERO RUIZ:</t>
        </r>
        <r>
          <rPr>
            <sz val="11"/>
            <color rgb="FF000000"/>
            <rFont val="Tahoma"/>
            <family val="2"/>
          </rPr>
          <t xml:space="preserve">
</t>
        </r>
        <r>
          <rPr>
            <sz val="12"/>
            <color rgb="FF000000"/>
            <rFont val="Tahoma"/>
            <family val="2"/>
          </rPr>
          <t>Pasa algo con la participación de solo 12 entidades y no con las 13</t>
        </r>
      </text>
    </comment>
    <comment ref="I35" authorId="0" shapeId="0" xr:uid="{0E76FBF8-0EA5-480B-B802-5F97B0898D1D}">
      <text>
        <r>
          <rPr>
            <b/>
            <sz val="11"/>
            <color rgb="FF000000"/>
            <rFont val="Tahoma"/>
            <family val="2"/>
          </rPr>
          <t>ANGELA MARCELA FORERO RUIZ:</t>
        </r>
        <r>
          <rPr>
            <sz val="11"/>
            <color rgb="FF000000"/>
            <rFont val="Tahoma"/>
            <family val="2"/>
          </rPr>
          <t xml:space="preserve">
</t>
        </r>
        <r>
          <rPr>
            <sz val="11"/>
            <color rgb="FF000000"/>
            <rFont val="Tahoma"/>
            <family val="2"/>
          </rPr>
          <t xml:space="preserve">Porque no fueron las 13 secretarías? Mencionar en el avance porque no se cumplió la meta de las 13
</t>
        </r>
        <r>
          <rPr>
            <sz val="11"/>
            <color rgb="FF000000"/>
            <rFont val="Tahoma"/>
            <family val="2"/>
          </rPr>
          <t>En ese orden cual sería el resultado a la fecha, las 12 o 13?</t>
        </r>
      </text>
    </comment>
    <comment ref="P35" authorId="0" shapeId="0" xr:uid="{B9A4561C-A819-44FF-AF0C-5D265DC01269}">
      <text>
        <r>
          <rPr>
            <b/>
            <sz val="11"/>
            <color rgb="FF000000"/>
            <rFont val="Tahoma"/>
            <family val="2"/>
          </rPr>
          <t>ANGELA MARCELA FORERO RUIZ:</t>
        </r>
        <r>
          <rPr>
            <sz val="11"/>
            <color rgb="FF000000"/>
            <rFont val="Tahoma"/>
            <family val="2"/>
          </rPr>
          <t xml:space="preserve">
</t>
        </r>
        <r>
          <rPr>
            <sz val="11"/>
            <color rgb="FF000000"/>
            <rFont val="Tahoma"/>
            <family val="2"/>
          </rPr>
          <t>Cual sería el avance, 13 secretarías o 12?</t>
        </r>
      </text>
    </comment>
    <comment ref="Q38" authorId="0" shapeId="0" xr:uid="{320B9786-8947-48A0-BCB7-6EEE6D010562}">
      <text>
        <r>
          <rPr>
            <b/>
            <sz val="11"/>
            <color rgb="FF000000"/>
            <rFont val="Tahoma"/>
            <family val="2"/>
          </rPr>
          <t>ANGELA MARCELA FORERO RUIZ:</t>
        </r>
        <r>
          <rPr>
            <sz val="11"/>
            <color rgb="FF000000"/>
            <rFont val="Tahoma"/>
            <family val="2"/>
          </rPr>
          <t xml:space="preserve">
</t>
        </r>
        <r>
          <rPr>
            <sz val="11"/>
            <color rgb="FF000000"/>
            <rFont val="Tahoma"/>
            <family val="2"/>
          </rPr>
          <t>Incluir no  solo el avance del mes sino el acumulado a la fecha (primer semestre)</t>
        </r>
      </text>
    </comment>
    <comment ref="Q40" authorId="0" shapeId="0" xr:uid="{2BB4F6D8-FEFE-4956-AC84-4D309D0CF0D1}">
      <text>
        <r>
          <rPr>
            <b/>
            <sz val="11"/>
            <color rgb="FF000000"/>
            <rFont val="Tahoma"/>
            <family val="2"/>
          </rPr>
          <t xml:space="preserve">ANGELA MARCELA FORERO RUIZ:
</t>
        </r>
        <r>
          <rPr>
            <sz val="11"/>
            <color rgb="FF000000"/>
            <rFont val="Tahoma"/>
            <family val="2"/>
          </rPr>
          <t>Incluir no  solo el avance del mes sino el acumulado a la fecha (primer semestre)</t>
        </r>
      </text>
    </comment>
    <comment ref="Q42" authorId="0" shapeId="0" xr:uid="{A79EB417-44D6-473A-A14A-50DC52D7B456}">
      <text>
        <r>
          <rPr>
            <b/>
            <sz val="11"/>
            <color rgb="FF000000"/>
            <rFont val="Tahoma"/>
            <family val="2"/>
          </rPr>
          <t xml:space="preserve">ANGELA MARCELA FORERO RUIZ:
</t>
        </r>
        <r>
          <rPr>
            <sz val="11"/>
            <color rgb="FF000000"/>
            <rFont val="Tahoma"/>
            <family val="2"/>
          </rPr>
          <t xml:space="preserve">Incluir no  solo el avance del mes sino el acumulado a la fecha (primer semestre)
</t>
        </r>
        <r>
          <rPr>
            <sz val="11"/>
            <color rgb="FF000000"/>
            <rFont val="Tahoma"/>
            <family val="2"/>
          </rPr>
          <t xml:space="preserve">
</t>
        </r>
        <r>
          <rPr>
            <sz val="11"/>
            <color rgb="FF000000"/>
            <rFont val="Tahoma"/>
            <family val="2"/>
          </rPr>
          <t>Adicionalmente aclarar si se gestionó, se realizó la tercera sesión, falta la palabra al inicio del párrafo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EE6CA02F-AD05-4208-B2B6-0E8E52257249}">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200-000001000000}">
      <text>
        <r>
          <rPr>
            <b/>
            <sz val="9"/>
            <color indexed="81"/>
            <rFont val="Tahoma"/>
            <family val="2"/>
          </rPr>
          <t>USUARIO:</t>
        </r>
        <r>
          <rPr>
            <sz val="9"/>
            <color indexed="81"/>
            <rFont val="Tahoma"/>
            <family val="2"/>
          </rPr>
          <t xml:space="preserve">
PSP</t>
        </r>
      </text>
    </comment>
    <comment ref="S22" authorId="1"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1" shapeId="0" xr:uid="{00000000-0006-0000-0200-000004000000}">
      <text>
        <r>
          <rPr>
            <b/>
            <sz val="9"/>
            <color indexed="81"/>
            <rFont val="Tahoma"/>
            <family val="2"/>
          </rPr>
          <t>USUARIO:</t>
        </r>
        <r>
          <rPr>
            <sz val="9"/>
            <color indexed="81"/>
            <rFont val="Tahoma"/>
            <family val="2"/>
          </rPr>
          <t xml:space="preserve">
papeleria, central de medios</t>
        </r>
      </text>
    </comment>
    <comment ref="W22" authorId="1" shapeId="0" xr:uid="{00000000-0006-0000-0200-000005000000}">
      <text>
        <r>
          <rPr>
            <b/>
            <sz val="9"/>
            <color indexed="81"/>
            <rFont val="Tahoma"/>
            <family val="2"/>
          </rPr>
          <t>USUARIO:</t>
        </r>
        <r>
          <rPr>
            <sz val="9"/>
            <color indexed="81"/>
            <rFont val="Tahoma"/>
            <family val="2"/>
          </rPr>
          <t xml:space="preserve">
Mobiliario</t>
        </r>
      </text>
    </comment>
    <comment ref="C24" authorId="1"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1"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1"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1"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1" shapeId="0" xr:uid="{00000000-0006-0000-0200-00000A000000}">
      <text>
        <r>
          <rPr>
            <b/>
            <sz val="9"/>
            <color indexed="81"/>
            <rFont val="Tahoma"/>
            <family val="2"/>
          </rPr>
          <t>USUARIO:</t>
        </r>
        <r>
          <rPr>
            <sz val="9"/>
            <color indexed="81"/>
            <rFont val="Tahoma"/>
            <family val="2"/>
          </rPr>
          <t xml:space="preserve">
Lineas celular, internet</t>
        </r>
      </text>
    </comment>
    <comment ref="H24" authorId="1" shapeId="0" xr:uid="{00000000-0006-0000-0200-00000B000000}">
      <text>
        <r>
          <rPr>
            <b/>
            <sz val="9"/>
            <color indexed="81"/>
            <rFont val="Tahoma"/>
            <family val="2"/>
          </rPr>
          <t>USUARIO:</t>
        </r>
        <r>
          <rPr>
            <sz val="9"/>
            <color indexed="81"/>
            <rFont val="Tahoma"/>
            <family val="2"/>
          </rPr>
          <t xml:space="preserve">
Internet</t>
        </r>
      </text>
    </comment>
    <comment ref="I24" authorId="1" shapeId="0" xr:uid="{00000000-0006-0000-0200-00000C000000}">
      <text>
        <r>
          <rPr>
            <b/>
            <sz val="9"/>
            <color indexed="81"/>
            <rFont val="Tahoma"/>
            <family val="2"/>
          </rPr>
          <t>USUARIO:</t>
        </r>
        <r>
          <rPr>
            <sz val="9"/>
            <color indexed="81"/>
            <rFont val="Tahoma"/>
            <family val="2"/>
          </rPr>
          <t xml:space="preserve">
Internet</t>
        </r>
      </text>
    </comment>
    <comment ref="N24" authorId="1" shapeId="0" xr:uid="{00000000-0006-0000-0200-00000D000000}">
      <text>
        <r>
          <rPr>
            <b/>
            <sz val="9"/>
            <color indexed="81"/>
            <rFont val="Tahoma"/>
            <family val="2"/>
          </rPr>
          <t>USUARIO:</t>
        </r>
        <r>
          <rPr>
            <sz val="9"/>
            <color indexed="81"/>
            <rFont val="Tahoma"/>
            <family val="2"/>
          </rPr>
          <t xml:space="preserve">
Rezago Aseo y Cafeteria</t>
        </r>
      </text>
    </comment>
    <comment ref="R24" authorId="1" shapeId="0" xr:uid="{00000000-0006-0000-0200-00000E000000}">
      <text>
        <r>
          <rPr>
            <b/>
            <sz val="9"/>
            <color indexed="81"/>
            <rFont val="Tahoma"/>
            <family val="2"/>
          </rPr>
          <t>USUARIO:</t>
        </r>
        <r>
          <rPr>
            <sz val="9"/>
            <color indexed="81"/>
            <rFont val="Tahoma"/>
            <family val="2"/>
          </rPr>
          <t xml:space="preserve">
PSP</t>
        </r>
      </text>
    </comment>
    <comment ref="S24" authorId="1" shapeId="0" xr:uid="{00000000-0006-0000-0200-00000F000000}">
      <text>
        <r>
          <rPr>
            <b/>
            <sz val="9"/>
            <color indexed="81"/>
            <rFont val="Tahoma"/>
            <family val="2"/>
          </rPr>
          <t>USUARIO:</t>
        </r>
        <r>
          <rPr>
            <sz val="9"/>
            <color indexed="81"/>
            <rFont val="Tahoma"/>
            <family val="2"/>
          </rPr>
          <t xml:space="preserve">
PSP</t>
        </r>
      </text>
    </comment>
    <comment ref="T24" authorId="1"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1"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1"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1"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1"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1"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1"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1" shapeId="0" xr:uid="{00000000-0006-0000-0200-000017000000}">
      <text>
        <r>
          <rPr>
            <b/>
            <sz val="9"/>
            <color rgb="FF000000"/>
            <rFont val="Tahoma"/>
            <family val="2"/>
          </rPr>
          <t>USUARIO:</t>
        </r>
        <r>
          <rPr>
            <sz val="9"/>
            <color rgb="FF000000"/>
            <rFont val="Tahoma"/>
            <family val="2"/>
          </rPr>
          <t xml:space="preserve">
</t>
        </r>
        <r>
          <rPr>
            <sz val="9"/>
            <color rgb="FF000000"/>
            <rFont val="Tahoma"/>
            <family val="2"/>
          </rPr>
          <t>PSP, transporte, operador logistico, aseo y cafeteria, internet, central de medios, lineas celular</t>
        </r>
      </text>
    </comment>
    <comment ref="AB24" authorId="1"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2"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P41" authorId="0" shapeId="0" xr:uid="{7B358A00-A3A3-4E28-BCF6-33DD2D66B74C}">
      <text>
        <r>
          <rPr>
            <b/>
            <sz val="9"/>
            <color indexed="81"/>
            <rFont val="Tahoma"/>
            <family val="2"/>
          </rPr>
          <t>ANGELA MARCELA FORERO RUIZ:</t>
        </r>
        <r>
          <rPr>
            <sz val="9"/>
            <color indexed="81"/>
            <rFont val="Tahoma"/>
            <family val="2"/>
          </rPr>
          <t xml:space="preserve">
</t>
        </r>
        <r>
          <rPr>
            <sz val="11"/>
            <color indexed="81"/>
            <rFont val="Tahoma"/>
            <family val="2"/>
          </rPr>
          <t>NO se puede ejecutar mas del 100%</t>
        </r>
      </text>
    </comment>
    <comment ref="Q42" authorId="0" shapeId="0" xr:uid="{A11CED0B-3B7A-4110-9C41-BC24DBED40CB}">
      <text>
        <r>
          <rPr>
            <b/>
            <sz val="11"/>
            <color rgb="FF000000"/>
            <rFont val="Tahoma"/>
            <family val="2"/>
          </rPr>
          <t>ANGELA MARCELA FORERO RUIZ:</t>
        </r>
        <r>
          <rPr>
            <sz val="11"/>
            <color rgb="FF000000"/>
            <rFont val="Tahoma"/>
            <family val="2"/>
          </rPr>
          <t xml:space="preserve">
</t>
        </r>
        <r>
          <rPr>
            <sz val="11"/>
            <color rgb="FF000000"/>
            <rFont val="Tahoma"/>
            <family val="2"/>
          </rPr>
          <t xml:space="preserve">Especificar si del mes que hacen mención es junio o es abril. 
</t>
        </r>
        <r>
          <rPr>
            <sz val="11"/>
            <color rgb="FF000000"/>
            <rFont val="Tahoma"/>
            <family val="2"/>
          </rPr>
          <t>Se sugiere que sea caro que se hizo en junio y finamente como indica el parrafo que acumulado del semestre van 86 sesiones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78FF3053-14B4-4B9B-91B6-7CDCAA75913C}">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300-000001000000}">
      <text>
        <r>
          <rPr>
            <b/>
            <sz val="9"/>
            <color indexed="81"/>
            <rFont val="Tahoma"/>
            <family val="2"/>
          </rPr>
          <t>USUARIO:</t>
        </r>
        <r>
          <rPr>
            <sz val="9"/>
            <color indexed="81"/>
            <rFont val="Tahoma"/>
            <family val="2"/>
          </rPr>
          <t xml:space="preserve">
PSP</t>
        </r>
      </text>
    </comment>
    <comment ref="S22" authorId="1"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300-000004000000}">
      <text>
        <r>
          <rPr>
            <b/>
            <sz val="9"/>
            <color indexed="81"/>
            <rFont val="Tahoma"/>
            <family val="2"/>
          </rPr>
          <t>USUARIO:</t>
        </r>
        <r>
          <rPr>
            <sz val="9"/>
            <color indexed="81"/>
            <rFont val="Tahoma"/>
            <family val="2"/>
          </rPr>
          <t xml:space="preserve">
papeleria, central de medios</t>
        </r>
      </text>
    </comment>
    <comment ref="C24" authorId="1"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1"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1"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1"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1" shapeId="0" xr:uid="{00000000-0006-0000-0300-000009000000}">
      <text>
        <r>
          <rPr>
            <b/>
            <sz val="9"/>
            <color indexed="81"/>
            <rFont val="Tahoma"/>
            <family val="2"/>
          </rPr>
          <t>USUARIO:</t>
        </r>
        <r>
          <rPr>
            <sz val="9"/>
            <color indexed="81"/>
            <rFont val="Tahoma"/>
            <family val="2"/>
          </rPr>
          <t xml:space="preserve">
Lineas celular, internet</t>
        </r>
      </text>
    </comment>
    <comment ref="H24" authorId="1" shapeId="0" xr:uid="{00000000-0006-0000-0300-00000A000000}">
      <text>
        <r>
          <rPr>
            <b/>
            <sz val="9"/>
            <color indexed="81"/>
            <rFont val="Tahoma"/>
            <family val="2"/>
          </rPr>
          <t>USUARIO:</t>
        </r>
        <r>
          <rPr>
            <sz val="9"/>
            <color indexed="81"/>
            <rFont val="Tahoma"/>
            <family val="2"/>
          </rPr>
          <t xml:space="preserve">
Internet</t>
        </r>
      </text>
    </comment>
    <comment ref="I24" authorId="1" shapeId="0" xr:uid="{00000000-0006-0000-0300-00000B000000}">
      <text>
        <r>
          <rPr>
            <b/>
            <sz val="9"/>
            <color indexed="81"/>
            <rFont val="Tahoma"/>
            <family val="2"/>
          </rPr>
          <t>USUARIO:</t>
        </r>
        <r>
          <rPr>
            <sz val="9"/>
            <color indexed="81"/>
            <rFont val="Tahoma"/>
            <family val="2"/>
          </rPr>
          <t xml:space="preserve">
Internet</t>
        </r>
      </text>
    </comment>
    <comment ref="R24" authorId="1" shapeId="0" xr:uid="{00000000-0006-0000-0300-00000C000000}">
      <text>
        <r>
          <rPr>
            <b/>
            <sz val="9"/>
            <color indexed="81"/>
            <rFont val="Tahoma"/>
            <family val="2"/>
          </rPr>
          <t>USUARIO:</t>
        </r>
        <r>
          <rPr>
            <sz val="9"/>
            <color indexed="81"/>
            <rFont val="Tahoma"/>
            <family val="2"/>
          </rPr>
          <t xml:space="preserve">
PSP</t>
        </r>
      </text>
    </comment>
    <comment ref="S24" authorId="1" shapeId="0" xr:uid="{00000000-0006-0000-0300-00000D000000}">
      <text>
        <r>
          <rPr>
            <b/>
            <sz val="9"/>
            <color indexed="81"/>
            <rFont val="Tahoma"/>
            <family val="2"/>
          </rPr>
          <t>USUARIO:</t>
        </r>
        <r>
          <rPr>
            <sz val="9"/>
            <color indexed="81"/>
            <rFont val="Tahoma"/>
            <family val="2"/>
          </rPr>
          <t xml:space="preserve">
PSP</t>
        </r>
      </text>
    </comment>
    <comment ref="T24" authorId="1" shapeId="0" xr:uid="{00000000-0006-0000-0300-00000E000000}">
      <text>
        <r>
          <rPr>
            <b/>
            <sz val="9"/>
            <color indexed="81"/>
            <rFont val="Tahoma"/>
            <family val="2"/>
          </rPr>
          <t>USUARIO:</t>
        </r>
        <r>
          <rPr>
            <sz val="9"/>
            <color indexed="81"/>
            <rFont val="Tahoma"/>
            <family val="2"/>
          </rPr>
          <t xml:space="preserve">
PSP, transporte, internet</t>
        </r>
      </text>
    </comment>
    <comment ref="U24" authorId="1"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1"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1"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1"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1"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1"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1"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1"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2"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T34" authorId="0" shapeId="0" xr:uid="{D9D75B3A-34A9-47FB-8CF4-DE1B9939A1BF}">
      <text>
        <r>
          <rPr>
            <b/>
            <sz val="11"/>
            <color rgb="FF000000"/>
            <rFont val="Tahoma"/>
            <family val="2"/>
          </rPr>
          <t>ANGELA MARCELA FORERO RUIZ:</t>
        </r>
        <r>
          <rPr>
            <sz val="11"/>
            <color rgb="FF000000"/>
            <rFont val="Tahoma"/>
            <family val="2"/>
          </rPr>
          <t xml:space="preserve">
</t>
        </r>
        <r>
          <rPr>
            <sz val="11"/>
            <color rgb="FF000000"/>
            <rFont val="Tahoma"/>
            <family val="2"/>
          </rPr>
          <t xml:space="preserve">Revisar los totales dado que en la hoja indicadores PA se habla de "Durante lo corrido del año, se ha logrado que 1.396 cuidadoras se graduen en cursos de formación complementaria. y en cuanto al proceso de Homologación de Saberes, se han certificado a 306 cuidadoras. En este sentido, el balance total es de 1.702"
</t>
        </r>
        <r>
          <rPr>
            <sz val="11"/>
            <color rgb="FF000000"/>
            <rFont val="Tahoma"/>
            <family val="2"/>
          </rPr>
          <t xml:space="preserve">
</t>
        </r>
        <r>
          <rPr>
            <sz val="11"/>
            <color rgb="FF000000"/>
            <rFont val="Tahoma"/>
            <family val="2"/>
          </rPr>
          <t>Los datos de beneficiarias por localidad se incluye en la hoja Territorializacion PA. Verificar que la suma corresponda a las 1702 mujeres (graduadas mas homologaciones) En este parrafo solo mencionan la distribucioon de 1.387 mujeres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B11A015D-CF8B-4BA8-B575-9855816BBC30}">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B9B9FE4-79C0-5D48-8F04-F2566F688E4D}">
      <text>
        <r>
          <rPr>
            <b/>
            <sz val="9"/>
            <color indexed="81"/>
            <rFont val="Tahoma"/>
            <family val="2"/>
          </rPr>
          <t>USUARIO:</t>
        </r>
        <r>
          <rPr>
            <sz val="9"/>
            <color indexed="81"/>
            <rFont val="Tahoma"/>
            <family val="2"/>
          </rPr>
          <t xml:space="preserve">
PSP</t>
        </r>
      </text>
    </comment>
    <comment ref="T22" authorId="1" shapeId="0" xr:uid="{C24F8766-804A-B74C-8840-BF0FA977C91B}">
      <text>
        <r>
          <rPr>
            <b/>
            <sz val="9"/>
            <color indexed="81"/>
            <rFont val="Tahoma"/>
            <family val="2"/>
          </rPr>
          <t>USUARIO:</t>
        </r>
        <r>
          <rPr>
            <sz val="9"/>
            <color indexed="81"/>
            <rFont val="Tahoma"/>
            <family val="2"/>
          </rPr>
          <t xml:space="preserve">
Licenciamiento</t>
        </r>
      </text>
    </comment>
    <comment ref="V22" authorId="1" shapeId="0" xr:uid="{8FF217B0-A300-F145-B7C6-05E4CC6065F2}">
      <text>
        <r>
          <rPr>
            <b/>
            <sz val="9"/>
            <color indexed="81"/>
            <rFont val="Tahoma"/>
            <family val="2"/>
          </rPr>
          <t>USUARIO:</t>
        </r>
        <r>
          <rPr>
            <sz val="9"/>
            <color indexed="81"/>
            <rFont val="Tahoma"/>
            <family val="2"/>
          </rPr>
          <t xml:space="preserve">
Papeleria, central de medios</t>
        </r>
      </text>
    </comment>
    <comment ref="C24" authorId="1" shapeId="0" xr:uid="{3AC2F764-B360-D94A-B77F-421CCA39690E}">
      <text>
        <r>
          <rPr>
            <b/>
            <sz val="9"/>
            <color indexed="81"/>
            <rFont val="Tahoma"/>
            <family val="2"/>
          </rPr>
          <t>USUARIO:</t>
        </r>
        <r>
          <rPr>
            <sz val="9"/>
            <color indexed="81"/>
            <rFont val="Tahoma"/>
            <family val="2"/>
          </rPr>
          <t xml:space="preserve">
Central de Medios</t>
        </r>
      </text>
    </comment>
    <comment ref="D24" authorId="1" shapeId="0" xr:uid="{2AEEF1B5-CB04-8941-925A-EC658A124522}">
      <text>
        <r>
          <rPr>
            <b/>
            <sz val="9"/>
            <color indexed="81"/>
            <rFont val="Tahoma"/>
            <family val="2"/>
          </rPr>
          <t>USUARIO:</t>
        </r>
        <r>
          <rPr>
            <sz val="9"/>
            <color indexed="81"/>
            <rFont val="Tahoma"/>
            <family val="2"/>
          </rPr>
          <t xml:space="preserve">
PSP Derly, Adición PSP Ana, Adición PSP Carol Rozo, Central de Medios</t>
        </r>
      </text>
    </comment>
    <comment ref="R24" authorId="1" shapeId="0" xr:uid="{3B8B047E-59B2-0243-980B-B9D1D2E4C9D0}">
      <text>
        <r>
          <rPr>
            <b/>
            <sz val="9"/>
            <color indexed="81"/>
            <rFont val="Tahoma"/>
            <family val="2"/>
          </rPr>
          <t>USUARIO:</t>
        </r>
        <r>
          <rPr>
            <sz val="9"/>
            <color indexed="81"/>
            <rFont val="Tahoma"/>
            <family val="2"/>
          </rPr>
          <t xml:space="preserve">
PSP</t>
        </r>
      </text>
    </comment>
    <comment ref="S24" authorId="1" shapeId="0" xr:uid="{7308AA7A-84A7-FA4D-AE8D-1F45ED1E6414}">
      <text>
        <r>
          <rPr>
            <b/>
            <sz val="9"/>
            <color indexed="81"/>
            <rFont val="Tahoma"/>
            <family val="2"/>
          </rPr>
          <t>USUARIO:</t>
        </r>
        <r>
          <rPr>
            <sz val="9"/>
            <color indexed="81"/>
            <rFont val="Tahoma"/>
            <family val="2"/>
          </rPr>
          <t xml:space="preserve">
PSP</t>
        </r>
      </text>
    </comment>
    <comment ref="T24" authorId="1" shapeId="0" xr:uid="{93899F26-24E2-1B42-9B77-0E1461A2ECB5}">
      <text>
        <r>
          <rPr>
            <b/>
            <sz val="9"/>
            <color indexed="81"/>
            <rFont val="Tahoma"/>
            <family val="2"/>
          </rPr>
          <t>USUARIO:</t>
        </r>
        <r>
          <rPr>
            <sz val="9"/>
            <color indexed="81"/>
            <rFont val="Tahoma"/>
            <family val="2"/>
          </rPr>
          <t xml:space="preserve">
PSP</t>
        </r>
      </text>
    </comment>
    <comment ref="U24" authorId="1" shapeId="0" xr:uid="{4C84F406-96B9-254A-8067-5563F8C45D41}">
      <text>
        <r>
          <rPr>
            <b/>
            <sz val="9"/>
            <color indexed="81"/>
            <rFont val="Tahoma"/>
            <family val="2"/>
          </rPr>
          <t>USUARIO:</t>
        </r>
        <r>
          <rPr>
            <sz val="9"/>
            <color indexed="81"/>
            <rFont val="Tahoma"/>
            <family val="2"/>
          </rPr>
          <t xml:space="preserve">
PSP, licenciamiento</t>
        </r>
      </text>
    </comment>
    <comment ref="V24" authorId="1" shapeId="0" xr:uid="{281CE66B-1AE1-5A44-9EE8-DEF0D90FA257}">
      <text>
        <r>
          <rPr>
            <b/>
            <sz val="9"/>
            <color indexed="81"/>
            <rFont val="Tahoma"/>
            <family val="2"/>
          </rPr>
          <t>USUARIO:</t>
        </r>
        <r>
          <rPr>
            <sz val="9"/>
            <color indexed="81"/>
            <rFont val="Tahoma"/>
            <family val="2"/>
          </rPr>
          <t xml:space="preserve">
PSP</t>
        </r>
      </text>
    </comment>
    <comment ref="W24" authorId="1" shapeId="0" xr:uid="{91CD3B0F-F421-5445-B494-42894F843A0A}">
      <text>
        <r>
          <rPr>
            <b/>
            <sz val="9"/>
            <color indexed="81"/>
            <rFont val="Tahoma"/>
            <family val="2"/>
          </rPr>
          <t>USUARIO:</t>
        </r>
        <r>
          <rPr>
            <sz val="9"/>
            <color indexed="81"/>
            <rFont val="Tahoma"/>
            <family val="2"/>
          </rPr>
          <t xml:space="preserve">
PSP, papeleria, central de medios</t>
        </r>
      </text>
    </comment>
    <comment ref="X24" authorId="1" shapeId="0" xr:uid="{8309DD05-9A58-794D-8225-DF0E85EDF032}">
      <text>
        <r>
          <rPr>
            <b/>
            <sz val="9"/>
            <color indexed="81"/>
            <rFont val="Tahoma"/>
            <family val="2"/>
          </rPr>
          <t>USUARIO:</t>
        </r>
        <r>
          <rPr>
            <sz val="9"/>
            <color indexed="81"/>
            <rFont val="Tahoma"/>
            <family val="2"/>
          </rPr>
          <t xml:space="preserve">
PSP</t>
        </r>
      </text>
    </comment>
    <comment ref="Y24" authorId="1" shapeId="0" xr:uid="{4BF8DBF7-21CF-6B49-8B42-FA344FE4E76B}">
      <text>
        <r>
          <rPr>
            <b/>
            <sz val="9"/>
            <color indexed="81"/>
            <rFont val="Tahoma"/>
            <family val="2"/>
          </rPr>
          <t>USUARIO:</t>
        </r>
        <r>
          <rPr>
            <sz val="9"/>
            <color indexed="81"/>
            <rFont val="Tahoma"/>
            <family val="2"/>
          </rPr>
          <t xml:space="preserve">
PSP, central de medios</t>
        </r>
      </text>
    </comment>
    <comment ref="Z24" authorId="1" shapeId="0" xr:uid="{35C3ED67-0F44-234A-A38E-151FF293C283}">
      <text>
        <r>
          <rPr>
            <b/>
            <sz val="9"/>
            <color indexed="81"/>
            <rFont val="Tahoma"/>
            <family val="2"/>
          </rPr>
          <t>USUARIO:</t>
        </r>
        <r>
          <rPr>
            <sz val="9"/>
            <color indexed="81"/>
            <rFont val="Tahoma"/>
            <family val="2"/>
          </rPr>
          <t xml:space="preserve">
PSP</t>
        </r>
      </text>
    </comment>
    <comment ref="AA24" authorId="1" shapeId="0" xr:uid="{772639D7-5162-E649-8340-96FA728CC3F8}">
      <text>
        <r>
          <rPr>
            <b/>
            <sz val="9"/>
            <color indexed="81"/>
            <rFont val="Tahoma"/>
            <family val="2"/>
          </rPr>
          <t>USUARIO:</t>
        </r>
        <r>
          <rPr>
            <sz val="9"/>
            <color indexed="81"/>
            <rFont val="Tahoma"/>
            <family val="2"/>
          </rPr>
          <t xml:space="preserve">
PSP, central de medios</t>
        </r>
      </text>
    </comment>
    <comment ref="AB24" authorId="1" shapeId="0" xr:uid="{C9AAFB46-38FC-BC4B-B25E-AD2223BC045E}">
      <text>
        <r>
          <rPr>
            <b/>
            <sz val="9"/>
            <color indexed="81"/>
            <rFont val="Tahoma"/>
            <family val="2"/>
          </rPr>
          <t>USUARIO:</t>
        </r>
        <r>
          <rPr>
            <sz val="9"/>
            <color indexed="81"/>
            <rFont val="Tahoma"/>
            <family val="2"/>
          </rPr>
          <t xml:space="preserve">
PSP</t>
        </r>
      </text>
    </comment>
    <comment ref="C32" authorId="2" shapeId="0" xr:uid="{0FE5CF96-BE50-B148-A40A-D9A5098325C2}">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8FCEEBE-4942-B14B-82B2-5D80C783224B}">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O38" authorId="4" shapeId="0" xr:uid="{6EB6BF81-4F63-4D95-80E4-C62DD7117130}">
      <text>
        <r>
          <rPr>
            <b/>
            <sz val="11"/>
            <color rgb="FF000000"/>
            <rFont val="Tahoma"/>
            <family val="2"/>
          </rPr>
          <t>Angela Marcela Forero Ruiz:</t>
        </r>
        <r>
          <rPr>
            <sz val="11"/>
            <color rgb="FF000000"/>
            <rFont val="Tahoma"/>
            <family val="2"/>
          </rPr>
          <t xml:space="preserve">
</t>
        </r>
        <r>
          <rPr>
            <sz val="11"/>
            <color rgb="FF000000"/>
            <rFont val="Tahoma"/>
            <family val="2"/>
          </rPr>
          <t>Mantener la programación que se tenía programada, en las actividades no aplica la meta creciente.</t>
        </r>
      </text>
    </comment>
    <comment ref="Q38" authorId="0" shapeId="0" xr:uid="{CE2CD0F5-FD6F-45ED-838C-DBB1B56C095E}">
      <text>
        <r>
          <rPr>
            <b/>
            <sz val="9"/>
            <color rgb="FF000000"/>
            <rFont val="Tahoma"/>
            <family val="2"/>
          </rPr>
          <t>ANGELA MARCELA FORERO RUIZ</t>
        </r>
        <r>
          <rPr>
            <b/>
            <sz val="11"/>
            <color rgb="FF000000"/>
            <rFont val="Tahoma"/>
            <family val="2"/>
          </rPr>
          <t>:</t>
        </r>
        <r>
          <rPr>
            <sz val="11"/>
            <color rgb="FF000000"/>
            <rFont val="Tahoma"/>
            <family val="2"/>
          </rPr>
          <t xml:space="preserve">
</t>
        </r>
        <r>
          <rPr>
            <sz val="11"/>
            <color rgb="FF000000"/>
            <rFont val="Tahoma"/>
            <family val="2"/>
          </rPr>
          <t xml:space="preserve">Es necesario que el avance del mes se evidencie claramente, que de lo que mencionan se reailzó en el mes de junio
</t>
        </r>
        <r>
          <rPr>
            <sz val="11"/>
            <color rgb="FF000000"/>
            <rFont val="Tahoma"/>
            <family val="2"/>
          </rPr>
          <t>Adicionalmente, incluir el avance acumulado correspondiente al primer semestre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47E567F2-633C-45A1-A962-2EA627085048}">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17115C2-A172-AB41-87DC-48A4A7ACBE77}">
      <text>
        <r>
          <rPr>
            <b/>
            <sz val="9"/>
            <color indexed="81"/>
            <rFont val="Tahoma"/>
            <family val="2"/>
          </rPr>
          <t>USUARIO:</t>
        </r>
        <r>
          <rPr>
            <sz val="9"/>
            <color indexed="81"/>
            <rFont val="Tahoma"/>
            <family val="2"/>
          </rPr>
          <t xml:space="preserve">
PSP</t>
        </r>
      </text>
    </comment>
    <comment ref="S22" authorId="1" shapeId="0" xr:uid="{04DB8BE9-A4A7-7B45-9A76-AE848F87D74A}">
      <text>
        <r>
          <rPr>
            <b/>
            <sz val="9"/>
            <color indexed="81"/>
            <rFont val="Tahoma"/>
            <family val="2"/>
          </rPr>
          <t>USUARIO:</t>
        </r>
        <r>
          <rPr>
            <sz val="9"/>
            <color indexed="81"/>
            <rFont val="Tahoma"/>
            <family val="2"/>
          </rPr>
          <t xml:space="preserve">
Transporte</t>
        </r>
      </text>
    </comment>
    <comment ref="T22" authorId="1" shapeId="0" xr:uid="{8200768A-139A-2749-824F-FA86494B88F0}">
      <text>
        <r>
          <rPr>
            <b/>
            <sz val="9"/>
            <color indexed="81"/>
            <rFont val="Tahoma"/>
            <family val="2"/>
          </rPr>
          <t>USUARIO:</t>
        </r>
        <r>
          <rPr>
            <sz val="9"/>
            <color indexed="81"/>
            <rFont val="Tahoma"/>
            <family val="2"/>
          </rPr>
          <t xml:space="preserve">
Operador logistico, licenciamiento</t>
        </r>
      </text>
    </comment>
    <comment ref="V22" authorId="1" shapeId="0" xr:uid="{372CC988-56A3-AA4C-89F7-0374F5C51CD5}">
      <text>
        <r>
          <rPr>
            <b/>
            <sz val="9"/>
            <color indexed="81"/>
            <rFont val="Tahoma"/>
            <family val="2"/>
          </rPr>
          <t>USUARIO:</t>
        </r>
        <r>
          <rPr>
            <sz val="9"/>
            <color indexed="81"/>
            <rFont val="Tahoma"/>
            <family val="2"/>
          </rPr>
          <t xml:space="preserve">
papeleria, central de medios</t>
        </r>
      </text>
    </comment>
    <comment ref="C24" authorId="1" shapeId="0" xr:uid="{B9611FEC-2D75-A04F-85F3-70B3036C5E29}">
      <text>
        <r>
          <rPr>
            <b/>
            <sz val="9"/>
            <color indexed="81"/>
            <rFont val="Tahoma"/>
            <family val="2"/>
          </rPr>
          <t>USUARIO:</t>
        </r>
        <r>
          <rPr>
            <sz val="9"/>
            <color indexed="81"/>
            <rFont val="Tahoma"/>
            <family val="2"/>
          </rPr>
          <t xml:space="preserve">
Impresos, operador logistico, Central de Medios</t>
        </r>
      </text>
    </comment>
    <comment ref="D24" authorId="1" shapeId="0" xr:uid="{3D08E083-A605-5945-ADC6-9EDC7A94D44E}">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1" shapeId="0" xr:uid="{0F494500-B80A-2F43-80DD-0ABCB6866A28}">
      <text>
        <r>
          <rPr>
            <b/>
            <sz val="9"/>
            <color indexed="81"/>
            <rFont val="Tahoma"/>
            <family val="2"/>
          </rPr>
          <t>USUARIO:</t>
        </r>
        <r>
          <rPr>
            <sz val="9"/>
            <color indexed="81"/>
            <rFont val="Tahoma"/>
            <family val="2"/>
          </rPr>
          <t xml:space="preserve">
Adición operador logistico</t>
        </r>
      </text>
    </comment>
    <comment ref="F24" authorId="1" shapeId="0" xr:uid="{DD18A177-078F-B444-98F9-8C69AAE69638}">
      <text>
        <r>
          <rPr>
            <b/>
            <sz val="9"/>
            <color indexed="81"/>
            <rFont val="Tahoma"/>
            <family val="2"/>
          </rPr>
          <t>USUARIO:</t>
        </r>
        <r>
          <rPr>
            <sz val="9"/>
            <color indexed="81"/>
            <rFont val="Tahoma"/>
            <family val="2"/>
          </rPr>
          <t xml:space="preserve">
Adición operador logistico</t>
        </r>
      </text>
    </comment>
    <comment ref="R24" authorId="1" shapeId="0" xr:uid="{928FB3A8-2B9A-7F4D-98AB-C731B975F910}">
      <text>
        <r>
          <rPr>
            <b/>
            <sz val="9"/>
            <color indexed="81"/>
            <rFont val="Tahoma"/>
            <family val="2"/>
          </rPr>
          <t>USUARIO:</t>
        </r>
        <r>
          <rPr>
            <sz val="9"/>
            <color indexed="81"/>
            <rFont val="Tahoma"/>
            <family val="2"/>
          </rPr>
          <t xml:space="preserve">
PSP</t>
        </r>
      </text>
    </comment>
    <comment ref="S24" authorId="1" shapeId="0" xr:uid="{53E9FF31-24C2-E84E-8E1D-3A03DC453C2A}">
      <text>
        <r>
          <rPr>
            <b/>
            <sz val="9"/>
            <color indexed="81"/>
            <rFont val="Tahoma"/>
            <family val="2"/>
          </rPr>
          <t>USUARIO:</t>
        </r>
        <r>
          <rPr>
            <sz val="9"/>
            <color indexed="81"/>
            <rFont val="Tahoma"/>
            <family val="2"/>
          </rPr>
          <t xml:space="preserve">
PSP</t>
        </r>
      </text>
    </comment>
    <comment ref="T24" authorId="1" shapeId="0" xr:uid="{B129119E-F2D3-764C-8B4C-092E89E493ED}">
      <text>
        <r>
          <rPr>
            <b/>
            <sz val="9"/>
            <color indexed="81"/>
            <rFont val="Tahoma"/>
            <family val="2"/>
          </rPr>
          <t>USUARIO:</t>
        </r>
        <r>
          <rPr>
            <sz val="9"/>
            <color indexed="81"/>
            <rFont val="Tahoma"/>
            <family val="2"/>
          </rPr>
          <t xml:space="preserve">
PSP, transporte</t>
        </r>
      </text>
    </comment>
    <comment ref="U24" authorId="1" shapeId="0" xr:uid="{9EA4449F-44C8-A944-89C0-9EA4E0F50A19}">
      <text>
        <r>
          <rPr>
            <b/>
            <sz val="9"/>
            <color indexed="81"/>
            <rFont val="Tahoma"/>
            <family val="2"/>
          </rPr>
          <t>USUARIO:</t>
        </r>
        <r>
          <rPr>
            <sz val="9"/>
            <color indexed="81"/>
            <rFont val="Tahoma"/>
            <family val="2"/>
          </rPr>
          <t xml:space="preserve">
PSP, transporte, operador logistico, licenciamiento</t>
        </r>
      </text>
    </comment>
    <comment ref="V24" authorId="1" shapeId="0" xr:uid="{1487F7C4-C232-F744-AAA7-096049711983}">
      <text>
        <r>
          <rPr>
            <b/>
            <sz val="9"/>
            <color indexed="81"/>
            <rFont val="Tahoma"/>
            <family val="2"/>
          </rPr>
          <t>USUARIO:</t>
        </r>
        <r>
          <rPr>
            <sz val="9"/>
            <color indexed="81"/>
            <rFont val="Tahoma"/>
            <family val="2"/>
          </rPr>
          <t xml:space="preserve">
PSP, transporte, operador logistico</t>
        </r>
      </text>
    </comment>
    <comment ref="W24" authorId="1" shapeId="0" xr:uid="{36AE6568-0A05-1943-8298-AFE3A1694A37}">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E0F0BC43-2F71-5342-80DD-47B5A8CADF1F}">
      <text>
        <r>
          <rPr>
            <b/>
            <sz val="9"/>
            <color indexed="81"/>
            <rFont val="Tahoma"/>
            <family val="2"/>
          </rPr>
          <t>USUARIO:</t>
        </r>
        <r>
          <rPr>
            <sz val="9"/>
            <color indexed="81"/>
            <rFont val="Tahoma"/>
            <family val="2"/>
          </rPr>
          <t xml:space="preserve">
PSP, transporte, operador logistico</t>
        </r>
      </text>
    </comment>
    <comment ref="Y24" authorId="1" shapeId="0" xr:uid="{69264D0C-4384-6A47-8ED7-000FFD90741A}">
      <text>
        <r>
          <rPr>
            <b/>
            <sz val="9"/>
            <color indexed="81"/>
            <rFont val="Tahoma"/>
            <family val="2"/>
          </rPr>
          <t>USUARIO:</t>
        </r>
        <r>
          <rPr>
            <sz val="9"/>
            <color indexed="81"/>
            <rFont val="Tahoma"/>
            <family val="2"/>
          </rPr>
          <t xml:space="preserve">
PSP, transporte, operador logistico, central de medios</t>
        </r>
      </text>
    </comment>
    <comment ref="Z24" authorId="1" shapeId="0" xr:uid="{4E629920-08DA-DB42-A771-B677A92F7D81}">
      <text>
        <r>
          <rPr>
            <b/>
            <sz val="9"/>
            <color indexed="81"/>
            <rFont val="Tahoma"/>
            <family val="2"/>
          </rPr>
          <t>USUARIO:</t>
        </r>
        <r>
          <rPr>
            <sz val="9"/>
            <color indexed="81"/>
            <rFont val="Tahoma"/>
            <family val="2"/>
          </rPr>
          <t xml:space="preserve">
PSP, transporte, operador logistico</t>
        </r>
      </text>
    </comment>
    <comment ref="AA24" authorId="1" shapeId="0" xr:uid="{6DC1FF73-FF78-1147-93A3-16D0E3BA43CB}">
      <text>
        <r>
          <rPr>
            <b/>
            <sz val="9"/>
            <color indexed="81"/>
            <rFont val="Tahoma"/>
            <family val="2"/>
          </rPr>
          <t>USUARIO:</t>
        </r>
        <r>
          <rPr>
            <sz val="9"/>
            <color indexed="81"/>
            <rFont val="Tahoma"/>
            <family val="2"/>
          </rPr>
          <t xml:space="preserve">
PSP, transporte, operador logistico, central de medios</t>
        </r>
      </text>
    </comment>
    <comment ref="AB24" authorId="1" shapeId="0" xr:uid="{FB92FC34-1DC9-434C-BECD-7A4C8EC09259}">
      <text>
        <r>
          <rPr>
            <b/>
            <sz val="9"/>
            <color indexed="81"/>
            <rFont val="Tahoma"/>
            <family val="2"/>
          </rPr>
          <t>USUARIO:</t>
        </r>
        <r>
          <rPr>
            <sz val="9"/>
            <color indexed="81"/>
            <rFont val="Tahoma"/>
            <family val="2"/>
          </rPr>
          <t xml:space="preserve">
PSP, transporte, operador logistico</t>
        </r>
      </text>
    </comment>
    <comment ref="C32" authorId="2" shapeId="0" xr:uid="{7EA78C79-5CE5-0748-AD0B-A4BF9740CA1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6BD0BCC5-5FC3-4D4A-87E8-18998F175D59}">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DEBD36C4-9D0E-CA43-BE23-44AFA2E7AED3}">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0" shapeId="0" xr:uid="{E84D26F1-A46D-4CD1-9C09-29174C1CC7A3}">
      <text>
        <r>
          <rPr>
            <b/>
            <sz val="9"/>
            <color rgb="FF000000"/>
            <rFont val="Tahoma"/>
            <family val="2"/>
          </rPr>
          <t>ANGELA MARCELA FORERO RUIZ:</t>
        </r>
        <r>
          <rPr>
            <sz val="10"/>
            <color rgb="FF000000"/>
            <rFont val="Tahoma"/>
            <family val="2"/>
          </rPr>
          <t xml:space="preserve">
</t>
        </r>
        <r>
          <rPr>
            <sz val="11"/>
            <color rgb="FF000000"/>
            <rFont val="Tahoma"/>
            <family val="2"/>
          </rPr>
          <t>No se entiende la nota de la salvedad y porque se presenta la inconsistencia. Por favor ajustar la redacción</t>
        </r>
      </text>
    </comment>
    <comment ref="J35" authorId="0" shapeId="0" xr:uid="{2231C15C-0DC7-4C6F-B062-0B72C3EDB502}">
      <text>
        <r>
          <rPr>
            <b/>
            <sz val="9"/>
            <color rgb="FF000000"/>
            <rFont val="Tahoma"/>
            <family val="2"/>
          </rPr>
          <t>ANGELA MARCELA FORERO RUIZ:</t>
        </r>
        <r>
          <rPr>
            <sz val="9"/>
            <color rgb="FF000000"/>
            <rFont val="Tahoma"/>
            <family val="2"/>
          </rPr>
          <t xml:space="preserve">
</t>
        </r>
        <r>
          <rPr>
            <sz val="11"/>
            <color rgb="FF000000"/>
            <rFont val="Tahoma"/>
            <family val="2"/>
          </rPr>
          <t>Incluir avance cuantitativo</t>
        </r>
      </text>
    </comment>
    <comment ref="Q38" authorId="0" shapeId="0" xr:uid="{4DACDA38-8C4E-4796-9EDA-B910F5F0AE7E}">
      <text>
        <r>
          <rPr>
            <b/>
            <sz val="11"/>
            <color rgb="FF000000"/>
            <rFont val="Tahoma"/>
            <family val="2"/>
          </rPr>
          <t>ANGELA MARCELA FORERO RUIZ:</t>
        </r>
        <r>
          <rPr>
            <sz val="11"/>
            <color rgb="FF000000"/>
            <rFont val="Tahoma"/>
            <family val="2"/>
          </rPr>
          <t xml:space="preserve">
</t>
        </r>
        <r>
          <rPr>
            <sz val="11"/>
            <color rgb="FF000000"/>
            <rFont val="Tahoma"/>
            <family val="2"/>
          </rPr>
          <t xml:space="preserve">Revisar y ajustara la redacción de lo que aparece en rojo
</t>
        </r>
      </text>
    </comment>
    <comment ref="P46" authorId="0" shapeId="0" xr:uid="{F79E95A9-7A32-6842-83C0-3597F47E9EF3}">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2945871A-6B26-40F0-ABE7-9450BDC27B33}">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600-000001000000}">
      <text>
        <r>
          <rPr>
            <b/>
            <sz val="9"/>
            <color indexed="81"/>
            <rFont val="Tahoma"/>
            <family val="2"/>
          </rPr>
          <t>USUARIO:</t>
        </r>
        <r>
          <rPr>
            <sz val="9"/>
            <color indexed="81"/>
            <rFont val="Tahoma"/>
            <family val="2"/>
          </rPr>
          <t xml:space="preserve">
PSP, Unidades Moviles</t>
        </r>
      </text>
    </comment>
    <comment ref="S22" authorId="1" shapeId="0" xr:uid="{00000000-0006-0000-0600-000002000000}">
      <text>
        <r>
          <rPr>
            <b/>
            <sz val="9"/>
            <color indexed="81"/>
            <rFont val="Tahoma"/>
            <family val="2"/>
          </rPr>
          <t>USUARIO:</t>
        </r>
        <r>
          <rPr>
            <sz val="9"/>
            <color indexed="81"/>
            <rFont val="Tahoma"/>
            <family val="2"/>
          </rPr>
          <t xml:space="preserve">
Transporte</t>
        </r>
      </text>
    </comment>
    <comment ref="T22" authorId="1"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600-000004000000}">
      <text>
        <r>
          <rPr>
            <b/>
            <sz val="9"/>
            <color indexed="81"/>
            <rFont val="Tahoma"/>
            <family val="2"/>
          </rPr>
          <t>USUARIO:</t>
        </r>
        <r>
          <rPr>
            <sz val="9"/>
            <color indexed="81"/>
            <rFont val="Tahoma"/>
            <family val="2"/>
          </rPr>
          <t xml:space="preserve">
papeleria, central de medios</t>
        </r>
      </text>
    </comment>
    <comment ref="C24" authorId="1"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1"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1" shapeId="0" xr:uid="{00000000-0006-0000-0600-000007000000}">
      <text>
        <r>
          <rPr>
            <b/>
            <sz val="9"/>
            <color indexed="81"/>
            <rFont val="Tahoma"/>
            <family val="2"/>
          </rPr>
          <t>USUARIO:</t>
        </r>
        <r>
          <rPr>
            <sz val="9"/>
            <color indexed="81"/>
            <rFont val="Tahoma"/>
            <family val="2"/>
          </rPr>
          <t xml:space="preserve">
Adición operador logistico</t>
        </r>
      </text>
    </comment>
    <comment ref="F24" authorId="1" shapeId="0" xr:uid="{00000000-0006-0000-0600-000008000000}">
      <text>
        <r>
          <rPr>
            <b/>
            <sz val="9"/>
            <color indexed="81"/>
            <rFont val="Tahoma"/>
            <family val="2"/>
          </rPr>
          <t>USUARIO:</t>
        </r>
        <r>
          <rPr>
            <sz val="9"/>
            <color indexed="81"/>
            <rFont val="Tahoma"/>
            <family val="2"/>
          </rPr>
          <t xml:space="preserve">
Adición operador logistico</t>
        </r>
      </text>
    </comment>
    <comment ref="R24" authorId="1" shapeId="0" xr:uid="{00000000-0006-0000-0600-000009000000}">
      <text>
        <r>
          <rPr>
            <b/>
            <sz val="9"/>
            <color indexed="81"/>
            <rFont val="Tahoma"/>
            <family val="2"/>
          </rPr>
          <t>USUARIO:</t>
        </r>
        <r>
          <rPr>
            <sz val="9"/>
            <color indexed="81"/>
            <rFont val="Tahoma"/>
            <family val="2"/>
          </rPr>
          <t xml:space="preserve">
PSP</t>
        </r>
      </text>
    </comment>
    <comment ref="S24" authorId="1" shapeId="0" xr:uid="{00000000-0006-0000-0600-00000A000000}">
      <text>
        <r>
          <rPr>
            <b/>
            <sz val="9"/>
            <color indexed="81"/>
            <rFont val="Tahoma"/>
            <family val="2"/>
          </rPr>
          <t>USUARIO:</t>
        </r>
        <r>
          <rPr>
            <sz val="9"/>
            <color indexed="81"/>
            <rFont val="Tahoma"/>
            <family val="2"/>
          </rPr>
          <t xml:space="preserve">
PSP</t>
        </r>
      </text>
    </comment>
    <comment ref="T24" authorId="1" shapeId="0" xr:uid="{00000000-0006-0000-0600-00000B000000}">
      <text>
        <r>
          <rPr>
            <b/>
            <sz val="9"/>
            <color indexed="81"/>
            <rFont val="Tahoma"/>
            <family val="2"/>
          </rPr>
          <t>USUARIO:</t>
        </r>
        <r>
          <rPr>
            <sz val="9"/>
            <color indexed="81"/>
            <rFont val="Tahoma"/>
            <family val="2"/>
          </rPr>
          <t xml:space="preserve">
PSP, Transporte</t>
        </r>
      </text>
    </comment>
    <comment ref="U24" authorId="1"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1"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1"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1"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1"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1"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1"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2"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List>
</comments>
</file>

<file path=xl/sharedStrings.xml><?xml version="1.0" encoding="utf-8"?>
<sst xmlns="http://schemas.openxmlformats.org/spreadsheetml/2006/main" count="2433" uniqueCount="588">
  <si>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</si>
  <si>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</si>
  <si>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</si>
  <si>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</si>
  <si>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</si>
  <si>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</si>
  <si>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</si>
  <si>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</si>
  <si>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</si>
  <si>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</si>
  <si>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</si>
  <si>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</si>
  <si>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</si>
  <si>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</si>
  <si>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</si>
  <si>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</si>
  <si>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</si>
  <si>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</si>
  <si>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</si>
  <si>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</si>
  <si>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</si>
  <si>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</si>
  <si>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</si>
  <si>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</si>
  <si>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para la implementación de la estrategia pedagógica para la valoración, la resignificación, el reconocimiento y la redistribución del trabajo de cuidado no remunerado que realizan las mujeres en Bogotá</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</si>
  <si>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</si>
  <si>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</si>
  <si>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</si>
  <si>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</si>
  <si>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</si>
  <si>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</si>
  <si>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</si>
  <si>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</si>
  <si>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</si>
  <si>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</si>
  <si>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</si>
  <si>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</si>
  <si>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</si>
  <si>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</si>
  <si>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</si>
  <si>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</si>
  <si>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</si>
  <si>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</si>
  <si>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PROGRAMACION DE COMPROMISOS</t>
  </si>
  <si>
    <t>COMPROMISOS</t>
  </si>
  <si>
    <t>PROGRAMACION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</si>
  <si>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</si>
  <si>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</si>
  <si>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</si>
  <si>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</si>
  <si>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</si>
  <si>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</si>
  <si>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</si>
  <si>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</si>
  <si>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5. Diseñar 1 documento para la implementación de la estrategia pedagógica para la valoración, la resignificación, el reconocimiento y la redistribución del trabajo de cuidado no remunerado que realizan las mujeres en Bogotá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</si>
  <si>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</si>
  <si>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</si>
  <si>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</si>
  <si>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</si>
  <si>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</si>
  <si>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</si>
  <si>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</si>
  <si>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</si>
  <si>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</si>
  <si>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</si>
  <si>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</si>
  <si>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</si>
  <si>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</si>
  <si>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</si>
  <si>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</si>
  <si>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</si>
  <si>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</si>
  <si>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</si>
  <si>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</si>
  <si>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</si>
  <si>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</si>
  <si>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</si>
  <si>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</si>
  <si>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</si>
  <si>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</si>
  <si>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</si>
  <si>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</si>
  <si>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</si>
  <si>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</si>
  <si>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</si>
  <si>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</si>
  <si>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</si>
  <si>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</si>
  <si>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12. Diseñar, publicar y socializar una caja de herramientas de la Estrategia Pedagógica y de Cambio Cultural.  </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</si>
  <si>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</si>
  <si>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*Incluir tantas filas sean necesarias</t>
  </si>
  <si>
    <t>DESCRIPCIÓN DE LA ACTIVIDAD</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</si>
  <si>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</si>
  <si>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</si>
  <si>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</si>
  <si>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Durante el primer trimestre se han beneficiado a 670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</si>
  <si>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</si>
  <si>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</si>
  <si>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677 beneficiarios vinculados. </t>
  </si>
  <si>
    <t>14. Implementar la Red de Alianzas del Cuidado</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</si>
  <si>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</si>
  <si>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15. Convocar y gestionar las sesiones de la Mesa de Transformación Cultural de la Unidad Técnica de Apoyo de la Comisión Intersectorial del Sistema de Cuidado</t>
  </si>
  <si>
    <r>
      <t xml:space="preserve">En el marco de las gestiones realizadas en el mes de febrero, en la cual se realizaron las convocatoria y gestiones pertinentes, se logro que se realizara el 16 de marzo la primera Mesa técnica de Transformación Cultural. </t>
    </r>
    <r>
      <rPr>
        <sz val="11"/>
        <color rgb="FFFF0000"/>
        <rFont val="Times New Roman"/>
        <family val="1"/>
      </rPr>
      <t xml:space="preserve">En este sentido, a lo largo del primer trimestre se han desarrollado las gestiones pertinentes, las cuales permitieron el cumplimiento de realizar la seseión trimestral programada </t>
    </r>
  </si>
  <si>
    <t xml:space="preserve">DIRECCIONAMIENTO ESTRATÉGICO </t>
  </si>
  <si>
    <t>FORMULACIÓN</t>
  </si>
  <si>
    <t>ACTUALIZACIÓN</t>
  </si>
  <si>
    <t xml:space="preserve">Teniendo en cuenta que el indicador implica que las mujeres reciban el certificado del cusro de formación complementaría; como estos son realizados por el SENA y requiere de un proceso de verificación y autenticación de los datos de las cursantes, el proceso de emisión de los certificados presenta un rezago. Sin embargo, dentro de la planeación se tiene contemplado la estabilización de dicho proceso con la finalidad de dar cumplimiento a la meta.    </t>
  </si>
  <si>
    <t>Diseñar 1 documento de lineamientos técnicos para la formulación de las bases del sistema distrital de cuidado. (Objetivo 1) (Indicador 2. Meta PDD)</t>
  </si>
  <si>
    <t>PROGRAMACIÓN DE COMPROMISOS</t>
  </si>
  <si>
    <t>PROGRAMACIÓN DE GIROS</t>
  </si>
  <si>
    <t xml:space="preserve">                        -  </t>
  </si>
  <si>
    <t xml:space="preserve">1. Diseñar 1 documento de lineamientos técnicos para la formulación de las bases del sistema distrital de cuidado. </t>
  </si>
  <si>
    <t>Retrasos y alternativas de solución (1.000 caracteres)</t>
  </si>
  <si>
    <t>Durante el mes de julio se realizaron 9 jornadas de socialización del Sistema Distrital de Cuidado y sus lineamientos técnicos.</t>
  </si>
  <si>
    <t>Durante los meses de enero a julio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Usme y Bosa - Porvenir, en lo que respecta a la Secretaría Distrital de la Mujer. La realización de 44 jornadas de socialización del Sistema Distrital de Cuidado y sus lineamientos técnicos. La Elaboración de la estrategia "Pactos locales de cuidado", cuyo objetivo es la apropiación de las Manzanas del Cuidado por parte de la ciudadanía.</t>
  </si>
  <si>
    <t>En lo referente a diseñar un documento de lineamientos técnicos para la formulación de las bases del Sistema Distrital de Cuidado, de enero a julio de 2023 no se han presentado dificultades que alteren la normal ejecución de esta meta.
A propósito del seguimiento a la implementación del Convenio Marco Interadministrativo 913 de 2021, se evidencia que este implica, no solo la suscripción de dicho Convenio y sus Anexos I y II, sino también la suscripción de los Acuerdos de Coordinación entre las entidades que concurren en las Manzanas del Cuidado; lo cual no necesariamente pasa por la SDMujer y, por tanto, exige mayor articulación entre las delegaciones de las entidades que integran el Sistema Distrital de Cuidado a la Mesa Intersectorial de Seguimiento al Convenio en cuestión. Para fortalecer esta articulación se realizó la segunda sesión anual y quinta sesión general de la mencionada Mesa, así como la actualización de tales delegación y la elaboración de una matriz de seguimiento adicional.</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</si>
  <si>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</si>
  <si>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 xml:space="preserve">1. Socializar los lineamientos técnicos del Sistema Distrital de Cuidado con espacios e instancias de participación y ciudadanía en general. </t>
  </si>
  <si>
    <t>Durante el mes de julio de 2023 se realizaron 9 jornadas de socialización del Sistema Distrital de Cuidado (43 en lo corrido del año) y sus lineamientos técnicos:
1) 05-07-2023: Socialización con la Casa Libelulosa.
2) 05-07-2023: Socialización con la Fundación Propace.
3) 05-07-2023: Socialización con la Fundación Los Dinámicos.
4) 06-07-2023: Socialización con el Jardín Infantil Tierra de Gigantes.
5) 11-07-2023: Socialización con El Círculo Hip Hop.
6) 12-07-2023: Socialización con la Fundación Keralty.
7) 18-07-2023: Socialización con Asojuntas de Barrios Unidos.
8) 21-07-2023: Socialización con la Fundación Vased.
9) 25-07-2023: Socialización con la Junta de Acción Comunal (JAC) del barrio Santa Cecilia de la localidad de Suba.</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</si>
  <si>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</si>
  <si>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Durante el mes de julio de 2023 se realizaron 4 acciones de seguimiento a la implementación del Convenio Marco Interadministrativo 913 de 2021:
1) Realización de la segunda sesión anual y quinta sesión general de la Mesa Intersectorial de Seguimiento al Convenio Marco Interadministrativo 913 de 2021. 
2) Consolidación de la base de datos de las delegaciones de cada entidad que integra el Sistema Distrital de Cuidado a la Mesa Intersectorial de Seguimiento al Convenio Marco Interadministrativo 913 de 2021.
3) Consolidación de la matriz de seguimiento a la suscripción y firma de los Anexos II del Convenio Marco Interadministrativo 913 de 2021 por parte de las entidades que concurren en las Manzanas del Cuidado.
4) Realización de una sesión de seguimiento a la suscripción y firma de los Anexos II del Convenio Marco Interadministrativo 913 de 2021 por parte de la Secretaría Distrital de Ambiente.</t>
  </si>
  <si>
    <t>Coordinar y articular 13 secretarías del nivel distrital para la implementación del sistema distrital de cuidado. (Objetivo 1) (Indicador 2. Meta PDD)</t>
  </si>
  <si>
    <t xml:space="preserve">2. Coordinar y articular 13 secretarías del nivel distrital para la implementación del sistema distrital de cuidado. </t>
  </si>
  <si>
    <t xml:space="preserve">Se articularon 12 entidades del Sector Central, 6 entidades del Sector Descentralizado, 1 entidad del Sector de las Localidades y el equipo Delivery Unit de la Alcaldía Mayor de Bogotá así como el PNUD (Programa de Asistencia Domiciliaria), en una (1) sesión ordinaria de la Unidad Técnica de Apoyo (14.07.23) y una sesión de la Mesa de Trabajo de la Unidad Técnica de Apoyo: Relevos Domiciliarios (25.07.23), donde se avanzó lo pertinente para la inauguración de la Manzana del Cuidado de Antonio Nariño (la número 20 en el Distrito Capital) y el funcionamiento de los diferentes modelos de operación del Sistema Distrital del Cuidado, de tal manera que se cumplió con lo establecido en el Decreto 237 de 2020 en aras de coordinar, articular y hacer la gestión intersectorial de las entidades que hacen parte del Sistema Distrital de Cuidado para definirlo, implementarlo y hacerle seguimiento. Además, se elaboró, convalidó, suscribió y publicó el acta No. 36 de la UTA realizada el 26 de junio del año en vigencia. </t>
  </si>
  <si>
    <t>A. Articulación de las entidades de la Administración Distrital para avanzar en la implementación y seguimiento de Sistema Distrital de Cuidado, tanto a nivel distrital como territorial, para la inauguración de las Manzana del Cuidado de Antonio Nariño prevista para el 02 de agosto de 2023. Además, se están implementando 19 manzanas del cuidado, el ciclo V de los buses del cuidado urbano y rural en 6 localidades, 3 zonas urbanas y 3 zonas rurales, y tres proyectos/programas de asistencia domiciliaria en el D.C. B. Se está avanzando en la reglamentación del Acuerdo 893 de 2023 “Por el cual se institucionaliza el Sistema Distrital de Cuidado y se dictan otras disposiciones”. C.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</si>
  <si>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Retrasos: En lo referente a la coordinación y articulación de las 13 Secretarías, de enero a mayo de 2023 no se han presentado dificultades que alteren la normal ejecución de esta meta. En todo caso, se evidencia que cuando se realizan visitas técnicas presenciales a equipamientos ancla en el marco de las sesiones de la Unidad Técnica de Apoyo, no participan todas las entidades que integran la Comisión, en especial las que no lideran el equipamiento o no prestan servicios. En el caso del mes de julio, la Secretaría de Hacienda no participó en la sesión virtual de la UTA.  	
Alternativas de solución: Se realiza la convocatoria con suficiente tiempo de anticipación por correo electrónico y se refuerza con llamadas telefónicas y mensajes de WhatsApp. Se confirma asistencia de las delegaciones de las entidades que integran la UTA y de las entidades que son invitadas permanentes.  	</t>
  </si>
  <si>
    <t xml:space="preserve">Las personas cuidadoras en sus diferencias y diversidades y las personas que requieren cuidado y apoyo cuentan con 19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y recientemente inició la implementación del ciclo V, con recursos de la Administración Distrital, así como a ofertas que brindan servicios a personas cuidadoras, personas con discapacidad y mayores directamente en sus casas. Además de los programas/proyectos de las Secretarías de Salud e Integración Social, ya inició la focalización para la implementación del Programa de Asistencia Domiciliaria con recursos de Bloomberg liderado por el PNUD, en las localidades de Bosa, Kennedy y Ciudad Bolívar. </t>
  </si>
  <si>
    <t>3. Convocar y gestionar las sesiones de la Comisión Intersectorial del Sistema de Cuidado según lo establecido en el Decreto 237 de 2020</t>
  </si>
  <si>
    <t>4. Convocar y gestionar las sesiones de la Unidad Técnica de Apoyo de la Comisión Intersectorial del Sistema de Cuidado según lo establecido en el Decreto 237 de 2020</t>
  </si>
  <si>
    <t>5. Convocar y gestionar las sesiones del Mecanismo de Participación y Seguimiento de la Comisión Intersectorial del Sistema de Cuidado según lo establecido en el Decreto 237 de 2020</t>
  </si>
  <si>
    <t>Durante el mes de julio el Mecanismo de Participación y Seguimiento de la Comisión Intersectorial del Sistema Distrital de Cuidado no sesionó ni de manera ordinaria ni extraordinaria. Al respecto, es importante tener en cuenta lo establecido en el artículo 10 del Decreto 237 de 2020: “El Mecanismo de Participación y Seguimiento se reunirá dos (2) veces al año, previa convocatoria realizada por la Secretaría Técnica de la Comisión Intersectorial, con el fin de realizar seguimiento y recomendaciones a la labor de la Comisión Intersectorial.”.</t>
  </si>
  <si>
    <t>Diseñar e implementar 1 estrategia de cuidado a cuidadoras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</si>
  <si>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t>
  </si>
  <si>
    <t>4. Diseñar e implementar 1 estrategia de cuidado a cuidadoras</t>
  </si>
  <si>
    <t>En el mes de julio de 2023 se obtuvieron los siguientes logros en el proceso de formación de la Estrategia Cuidado a Cuidadoras: 
Formación Complementaria: 176 cuidadoras graduadas. 
Homologación de Saberes: 42 cuidadoras certificadas.
Número de Espacios Respiro: (6) seis
Atención Espacios Respiros: (102) ciento dos atenciones.
Orientación y asesoría psico jurídica: 1.052 cuidadoras (533 atención jurídica y 519 atención psicosocial).</t>
  </si>
  <si>
    <t xml:space="preserve">En lo que respecta a la implementación del Plan Integral de Acciones Afirmativas se avanzó en proyección de espacios a realizar y atendiendo los requerimientos diferenciales, étnicos y a la disponibilidad de garantías con operador logístico. Cabe señalar que no se logró avanzar según la planeación prevista para julio porque el inicio de ejecución del contrato con el operador se dio  el 24.07.23; motivo por el cual se reprogramaron los espacios proyectados para mujeres cuidadoras afrodescendientes, negras e indígenas consultivo 612. </t>
  </si>
  <si>
    <t xml:space="preserve">Las cuidadoras apropian contenidos orientados al reconocimiento de su trabajo de cuidado y avanzan en el manejo de las tecnologías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 
Las cuidadoras gitanas culminaron un proceso de ocho sesiones para las dos organizaciones con gran permanencia y con los sectores corresponsables. </t>
  </si>
  <si>
    <t>9. Implementar el componente de formación para cuidadoras</t>
  </si>
  <si>
    <r>
      <rPr>
        <sz val="11"/>
        <color rgb="FF000000"/>
        <rFont val="Times New Roman"/>
        <family val="1"/>
      </rPr>
      <t xml:space="preserve">Programación y realización de 15 cursos de Formación Complementaria en julio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en formación complementaria ofrecida por el Servicio Nacional de Aprendizaje con contenidos en Ofimática e Inglés, con duración de 40 horas e implementación por parte de tutores SENA con acompañamiento de las formadoras SDMujer.
El número total de cuidadoras graduadas en el mes de julio fue de </t>
    </r>
    <r>
      <rPr>
        <b/>
        <sz val="11"/>
        <color rgb="FF000000"/>
        <rFont val="Times New Roman"/>
        <family val="1"/>
      </rPr>
      <t>176</t>
    </r>
    <r>
      <rPr>
        <sz val="11"/>
        <color rgb="FF000000"/>
        <rFont val="Times New Roman"/>
        <family val="1"/>
      </rPr>
      <t xml:space="preserve">. La distribución por localidad de prestación del servicio expresa el siguiente comportamiento: Kennedy: 30; Tunjuelito: 19; La Candelaria: 14; Chapinero: 12; Los Mártires: 12; Usme: 12; Engativá: 10; Fontibón: 10; Ciudad Bolívar Mochuelo: 10; San Cristóbal Juan Rey: 10; Puente Aranda: 9; Barrios Unidos: 7; Santa Fe: 7 y Ciudad Bolívar Manitas: 5. Respecto de la dinámica de los buses, se logró en Bus del Cuidado Rural:9. 
En cuanto al proceso de Homologación de Saberes, se certificaron </t>
    </r>
    <r>
      <rPr>
        <b/>
        <sz val="11"/>
        <color rgb="FF000000"/>
        <rFont val="Times New Roman"/>
        <family val="1"/>
      </rPr>
      <t>42</t>
    </r>
    <r>
      <rPr>
        <sz val="11"/>
        <color rgb="FF000000"/>
        <rFont val="Times New Roman"/>
        <family val="1"/>
      </rPr>
      <t xml:space="preserve"> cuidadoras certificadas en el mes de julio
Lo anterior da como balance acumulado de </t>
    </r>
    <r>
      <rPr>
        <b/>
        <sz val="11"/>
        <color rgb="FF000000"/>
        <rFont val="Times New Roman"/>
        <family val="1"/>
      </rPr>
      <t>1.396</t>
    </r>
    <r>
      <rPr>
        <sz val="11"/>
        <color rgb="FF000000"/>
        <rFont val="Times New Roman"/>
        <family val="1"/>
      </rPr>
      <t xml:space="preserve"> cuidadoras graduadas y en homologación de saberes, </t>
    </r>
    <r>
      <rPr>
        <b/>
        <sz val="11"/>
        <color rgb="FF000000"/>
        <rFont val="Times New Roman"/>
        <family val="1"/>
      </rPr>
      <t>306</t>
    </r>
    <r>
      <rPr>
        <sz val="11"/>
        <color rgb="FF000000"/>
        <rFont val="Times New Roman"/>
        <family val="1"/>
      </rPr>
      <t xml:space="preserve"> certificadas (</t>
    </r>
    <r>
      <rPr>
        <b/>
        <sz val="11"/>
        <color rgb="FF000000"/>
        <rFont val="Times New Roman"/>
        <family val="1"/>
      </rPr>
      <t>1.702</t>
    </r>
    <r>
      <rPr>
        <sz val="11"/>
        <color rgb="FF000000"/>
        <rFont val="Times New Roman"/>
        <family val="1"/>
      </rPr>
      <t xml:space="preserve"> en total). </t>
    </r>
  </si>
  <si>
    <t xml:space="preserve">10. Implementar el componente de orientación psicojurídica para cuidadoras </t>
  </si>
  <si>
    <t xml:space="preserve">11. Implementar, monitorear y hacer seguimiento al Plan Integral de Acciones Afirmativas </t>
  </si>
  <si>
    <r>
      <rPr>
        <sz val="11"/>
        <color rgb="FF000000"/>
        <rFont val="Times New Roman"/>
        <family val="1"/>
      </rPr>
      <t>Durante el mes de julio se implementaron seis (</t>
    </r>
    <r>
      <rPr>
        <b/>
        <sz val="11"/>
        <color rgb="FF000000"/>
        <rFont val="Times New Roman"/>
        <family val="1"/>
      </rPr>
      <t>6</t>
    </r>
    <r>
      <rPr>
        <sz val="11"/>
        <color rgb="FF000000"/>
        <rFont val="Times New Roman"/>
        <family val="1"/>
      </rPr>
      <t>) espacios respiro, logrando ciento dos (</t>
    </r>
    <r>
      <rPr>
        <b/>
        <sz val="11"/>
        <color rgb="FF000000"/>
        <rFont val="Times New Roman"/>
        <family val="1"/>
      </rPr>
      <t>102</t>
    </r>
    <r>
      <rPr>
        <sz val="11"/>
        <color rgb="FF000000"/>
        <rFont val="Times New Roman"/>
        <family val="1"/>
      </rPr>
      <t xml:space="preserve">) así: 1) Un (1) Espacio: espacio respiro mujeres gestantes - Atenciones: 19 cuidadoras gitanas, 2) Un (1) Espacio: espacio respiro salida a mundo aventura - Atenciones: 43 cuidadoras gitanas, 3) Un (1) Espacio: espacio respiro Natación Unión Romaní - Atenciones: 10 cuidadoras gitanas, 4) Un (1) Espacio: espacio respiro Natación Pro Rrom - Atenciones: 9 cuidadoras gitanas, 5) Un (1) Espacio: espacio respiro Natación Unión Romaní - Atenciones: 9 cuidadoras gitanas y 6) Un (1) Espacio: espacio respiro Natación Pro Rrom - Atenciones: 11 cuidadoras gitanas. En este sentido, a la fecha el balance en la implementación de espacios respiro asciende a </t>
    </r>
    <r>
      <rPr>
        <b/>
        <sz val="11"/>
        <color rgb="FF000000"/>
        <rFont val="Times New Roman"/>
        <family val="1"/>
      </rPr>
      <t>41</t>
    </r>
    <r>
      <rPr>
        <sz val="11"/>
        <color rgb="FF000000"/>
        <rFont val="Times New Roman"/>
        <family val="1"/>
      </rPr>
      <t xml:space="preserve"> y en atenciones a </t>
    </r>
    <r>
      <rPr>
        <b/>
        <sz val="11"/>
        <color rgb="FF000000"/>
        <rFont val="Times New Roman"/>
        <family val="1"/>
      </rPr>
      <t>512.</t>
    </r>
    <r>
      <rPr>
        <sz val="11"/>
        <color rgb="FF000000"/>
        <rFont val="Times New Roman"/>
        <family val="1"/>
      </rPr>
      <t xml:space="preserve">  </t>
    </r>
  </si>
  <si>
    <t>Gestionar 1 estrategia para la adecuación de infraestructura de manzanas de cuidado</t>
  </si>
  <si>
    <t xml:space="preserve">3. Gestionar 1 estrategia para la adecuación de infraestructura de manzanas de cuidado </t>
  </si>
  <si>
    <t>Durante el mes de julio de 2023, se logró avanzar en las gestiones para la  inauguración de la Manzana del Cuidado en la localidad de Antonio Nariño, la cual está proyectada para la cuarta semana de Agosto del 2023. Así mismo, se lograron llevar a cabo las acciones de articulación intersectorial requeridas para la concertación y aprobación de la ficha técnica que establece los servicios ofertados por el Distrito en la cesión ordinaria de la unidad técnica de apoyo No 37, en beneficio de las personas cuidadoras y de las personas que requieren cuidados en esta localidad.</t>
  </si>
  <si>
    <t>Con la programación de la inauguración de la Manzana el Cuidado de la localidad de Antonio Nariño , Bogotá pasará de 19 a 20 Manzanas de cuidado. A le fecha se encuentran en operación 19 manzanas de cuidado en el Distrito.</t>
  </si>
  <si>
    <t>La inauguración de la manzana del cuidado de Antonio Nariño  se programó para la cuarta semana de Agosto de acuerdo a la agenda de la Alcaldesa mayor de Bogotá.</t>
  </si>
  <si>
    <t>Las 19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</si>
  <si>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</si>
  <si>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Desde la Estrategia Territorial de las Manzanas del Cuidado se implementaron 158 actividades de difusión y socialización del Sistema Distrital del Cuidado y los servicios de las Manzanas del Cuidado en 18 localidades de Bogotá, a saber: Antonio Nariño, Bosa, Centro (Santa Fe-Candelaria), Chapinero, Ciudad Bolívar, Engativá, Fontibón, Kennedy, Mártires, Puente Aranda, Rafael Uribe Uribe, San Cristóbal, Suba, Tunjuelito, Teusaquillo, Usaquén y Usme. La difusión a nivel territorial se desarrollaron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actividades desarrolladas durante la vigencia 2023 es de 581 actividades.													
												</t>
  </si>
  <si>
    <t>7. Articular las acciones intersectoriales para la puesta en operación de cinco (5) manzanas del cuidado</t>
  </si>
  <si>
    <t xml:space="preserve">Se gestionó la inauguración de la manzana de cuidado número 20, la cual estará ubicada en la localidad de Antonio Nariño. Para tal fin se validaron los servicios de la ficha técnica de esta manzana en la unidad técnica de apoyo correspondiente al mes de julio y se avanzó en gestiones con entidades alidadas para definir el equipamiento ancla y los equipamientos complementarios, además de avanzar con la preparación para el evento inaugural con la Alcaldía Mayor de Bogotá, se realizó avanzada con operador logístico. Por el momento, a la fecha se tiene en funcionamiento 19 manzanas del cuidado.													
</t>
  </si>
  <si>
    <t>8. Convocar y gestionar las sesiones de las Mesas Locales de las Manzanas del Cuidado que se encuentran en funcionamiento</t>
  </si>
  <si>
    <t>Durante el mes de julio se efectuaron 19 sesiones de las Mesas Locales de las Manzanas del Cuidado e informes trimestrales de 1-Bosa - Porvenir, Bosa -2 Campo Verde, 3 Kennedy, 4Ciudad Bolívar - Manitas,5 Usme, 6 San Cristóbal - CEFE,7 Mártires,8 Usaquén,9 Centro,10 Engativá,11 Rafael Uribe Uribe,12 Ciudad Bolívar - Mochuelos,13 Tunjuelito,14 San Cristóbal - Juan Rey, 15 Chapinero, 16 Fontibón ,17 Suba, 18 Puente Aranda y 19 Teusaquillo. En dichas sesiones, se monitorearon las acciones intersectoriales de los sectores representados, el estado de la operación de los servicios implementados y el balance mensual de las atenciones prestadas. A la fecha se lleva un acumulado de 86 sesiones.</t>
  </si>
  <si>
    <t>En el marco del diseño de un documento que abarque la implementación de la Estrategia Pedagógica y de Cambio Cultural para la valoración, resignificación, reconocimiento y redistribución del trabajo de cuidado no remunerado que realizan las mujeres en Bogotá, en el mes de julio se realizaron las actividades requeridas dentro del diseño de la caja de herramientas de la Estrategia Pedagógica y de Cambio Cultural, logrando así la unificación y finalización del documento “Caja de herramientas EPCC” para su revisión y posterior envío a diagramación con el equipo de comunicaciones.</t>
  </si>
  <si>
    <t xml:space="preserve">Durante lo corrido del primer semestre y el primer mes del segundo semestre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t>
  </si>
  <si>
    <t>En lo referente a diseñar un documento para la implementación de la estrategia pedagógica para la valoración, la resignificación, el reconocimiento y la redistribución del trabajo de cuidado no remunerado que realizan las mujeres en Bogotá, entre enero a julio del 2023 no se han presentado dificultades que alteren la normal ejecución de esta meta.</t>
  </si>
  <si>
    <t>Durante el mes de julio, se realizó la revisión y perfeccionamiento de las metodologías contenidas en la caja de herramientas, permitió la consolidación de manera formal del documento “Caja de herramientas EPCC”; como un esfuerzo conjunto del Equipo de Cambio Cultural de la Dirección. En este documento reposa un compendio de conocimientos pedagógicos que permiten orientar el actuar de las y los profesionales de la Estrategia, así como el de cualquier persona o profesional que desee consultar lo relacionado a lo desarrollado con cuidado y trabajo no remunerado.</t>
  </si>
  <si>
    <t xml:space="preserve">Durante el mes de julio  se logró remitir el documento “Acta de compromiso” a 13 potenciales aliados, de igual manera se remitió el “Portafolio RAC” a 5 organizaciones que ya se encuentran vinculadas a las Estrategia Sello de Igualdad. Si bien no se ha podido concretar la firma por ambas partes de ninguna organización, ya se encuentran en revisión del área jurídica los documentos de una entidad pública y de una institución educativa y se recibieron los documentos de dos empresas del sector privado y de una fundación. A través de la RAC se ha avanzado en el pre agendamiento de talleres “ A cuidar se aprende” para los aliados que confirmen el cumplimiento de los requisitos de vinculación a la Red.
</t>
  </si>
  <si>
    <t>10.5%</t>
  </si>
  <si>
    <t xml:space="preserve">Para el mes de julio se avanzó en la remisión de actas de compromiso a los potenciales aliados y se recibieron documentos de cuatro organizaciones, de las cuales dos se encuentran en revisión por parte del acompañamiento jurídico. Si bien se ha encontrado un marcado interés por hacer parte de la RAC únicamente el 10% de las organizaciones han remitido los documentos para la vinculación oficial.
</t>
  </si>
  <si>
    <t>De acuerdo a la programación bimensual de la meta, para el periodo de julio no se presenta avance frente a las acciones de convocar y gestionar las sesiones de la mesa de transformación cultural</t>
  </si>
  <si>
    <t>Gestionar la implementación de 1 estrategia de unidades móviles de cuidado</t>
  </si>
  <si>
    <t> </t>
  </si>
  <si>
    <t>7. Gestionar la implementación de 1 estrategia de unidades móviles de cuidado</t>
  </si>
  <si>
    <t>Durante el mes de julio, las acciones desarrolladas fueron las siguientes:
BUS DEL CUIDADO URBANO: Se dio inicio a los siguientes servicios en las localidades de Antonio Nariño, Barrios Unidos y Kennedy: 
1) Secretaría de Hábitat: talleres de educación financiera para la adquisición de vivienda. 
2)Secretaría de la Mujer:  formación complementaria en el curso de Herramientas ofimáticas en alianza con el SENA y los talleres de transformación cultural.
3) Secretaría de Educación: proceso de formalización de matrícula para el desarrollo de los ciclos de Educación flexible.
4) Secretaría de Salud: servicio de Prevención y promoción de la salud colectiva, acciones ejecutadas por cada una de las subredes.
BUS DEL CUIDADO RURAL: Se dio inicio a los siguientes servicios en las localidades Ciudad Bolívar, Santafé y Usaquén:
1) Secretaría de la Mujer:  formación complementaria con el curso de Herramientas ofimáticas y talleres de transformación cultural. 
2) Secretaría de Hábitat: cursos de educación financiera para la adquisición de vivienda. 
3) Secretaría de Educación: inició la recepción de documentos para la formalización de matrículas y con la realización de talleres introductorios acerca del Sistema Distrital de Cuidado. 
4) Secretaría de Salud: se programó acciones para la promoción y prevención de salud colectiva realizando tamizajes en salud mental, riesgo cardiovascular, crónicos, enfermedades de transmisión sexual, entre otros.</t>
  </si>
  <si>
    <t>Durante los siete meses de ejecución de la estrategia, se llegó a  la implementación del Ciclo V de operación y la estrategia ha llegado a seis localidades: Barrios Unidos, Antonio Nariño, Kennedy, Usaquén, Ciudad Bolívar y Santafé. Bajo esta operación, se logró la prestación de servicios en las localidades  de: Barrios Unidos, Antonio Nariño y Santafé; a las cuales es la primera vez que se llega con esta estrategia. En este sentido, desde el inicio de la estrategia en el año 2021, el servicios de los buses del Cuidado logra llegar con su operación a 14 de las 20 localidades de conforman la ciudad de Bogotá.</t>
  </si>
  <si>
    <t>A la fecha no ha sido posible la firma del Anexo 2 de la Unidad Móvil Rural, por parte de componente técnico se envió la alerta vía correo electrónico el día 27 de mayo 2023 a Karen Rosero, líder del equipo jurídico de la Dirección del Sistema de Cuidado</t>
  </si>
  <si>
    <t>Presencia del Sistema Distrital de Cuidado en zonas rurales y urbanas prestando servicios de  formación, respiro, generación de ingresos y cuidado. Con la implementación del CicloV, la estrategia de Buses del Cuidado llegó a todas las localidades con suelo rural y a dos localidades en las que hasta la fecha no hay Manzana del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</si>
  <si>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</si>
  <si>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 xml:space="preserve">En el marco del contrato de prestación de servicios 928 de 2022 se relacionan, entre otras, las siguientes actividades:
1. Reporte PIGA Semestral por parte de la supervisión del contrato 928 de 2022, con ocasión del memorando 3-2023-002916 de fecha 7 -06- 2023 procedente de la Oficina Asesora de Planeación, relacionada con la solicitud de información para reporte de informe del Plan Institucional de Gestión Ambiental – PIGA, conforme a la Resolución 242 de 2014. (Anexo 1)
2. Actualización del certificado de personal en condición de discapacidad expedido por el Ministerio del Trabajo, con el que el contratista Feeling Company S.A.S continúa cumpliendo con el criterio diferencial establecido en la normativa vigente. (Anexo 2)
3. Remisión por parte de la supervisión del contrato 928 de 2022 del lineamiento de la entidad contentivo del instructivo de pago a proveedores para radicación de cuentas para tramite de pagos a través de la ventanilla virtual. (Anexo 3)
4. Revisión y aprobación por parte de la supervisión del reemplazo del Vehículo automotor tipo VAN en cumplimiento de lo señalado en la obligación específica del contratista 3.16. (Anexo 4)
5. Revisión y aprobación por parte de la supervisión del informe de actividades correspondiente al décimo pago presentado por el contratista Feeling Company SAS, el cual fue remitido a la Dirección Administrativa y Financiera para el correspondiente trámite.  </t>
  </si>
  <si>
    <t>17. Convocar y gestionar las sesiones de las Mesa de Unidades Móviles de Servicios del Cuidado</t>
  </si>
  <si>
    <t xml:space="preserve">En el mes de julio de convoco a la sexta Mesa Local de Buses de Cuidado para la actual vigencia donde se abordó la siguiente agenda: 1. Verificación del quorum  2. Aprobación orden del día  3. Seguimiento a los compromisos  4. Precisiones sobre InfoCuidado  5. Atenciones Buses del Cuidado ciclo VI  6. Presentación por sectores de inscripciones a servicios  7. Hitos Julio 2023  8. Varios y compromisos.
</t>
  </si>
  <si>
    <t>Código: DE-FO-05</t>
  </si>
  <si>
    <t xml:space="preserve">FORMULACIÓN Y SEGUIMIENTO PLAN DE ACCIÓN </t>
  </si>
  <si>
    <t>ANEXO - TERRITORIALIZACIÓN</t>
  </si>
  <si>
    <t>Página 3 de 3</t>
  </si>
  <si>
    <t xml:space="preserve">PROGRAMACIÓN </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</si>
  <si>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</si>
  <si>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</si>
  <si>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</si>
  <si>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</si>
  <si>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</si>
  <si>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</si>
  <si>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</si>
  <si>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</si>
  <si>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</si>
  <si>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</si>
  <si>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</si>
  <si>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</si>
  <si>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</si>
  <si>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</si>
  <si>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</si>
  <si>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</si>
  <si>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</si>
  <si>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</si>
  <si>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</si>
  <si>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</si>
  <si>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</si>
  <si>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</si>
  <si>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</si>
  <si>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</si>
  <si>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</si>
  <si>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</si>
  <si>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</si>
  <si>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</si>
  <si>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</si>
  <si>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</si>
  <si>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</si>
  <si>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</si>
  <si>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</si>
  <si>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</si>
  <si>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</si>
  <si>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</si>
  <si>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</si>
  <si>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</si>
  <si>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</si>
  <si>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</si>
  <si>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</si>
  <si>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</si>
  <si>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</si>
  <si>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</si>
  <si>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</si>
  <si>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</si>
  <si>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</si>
  <si>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</si>
  <si>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</si>
  <si>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</si>
  <si>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</si>
  <si>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</si>
  <si>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</si>
  <si>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</si>
  <si>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</si>
  <si>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</si>
  <si>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</si>
  <si>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</si>
  <si>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</si>
  <si>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</si>
  <si>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</si>
  <si>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</si>
  <si>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</si>
  <si>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</si>
  <si>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</si>
  <si>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</si>
  <si>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</si>
  <si>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</si>
  <si>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</si>
  <si>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</si>
  <si>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</si>
  <si>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</si>
  <si>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</si>
  <si>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</si>
  <si>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</si>
  <si>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</si>
  <si>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</si>
  <si>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</si>
  <si>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</si>
  <si>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</si>
  <si>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</si>
  <si>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</si>
  <si>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</si>
  <si>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</si>
  <si>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</si>
  <si>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</si>
  <si>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</si>
  <si>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</si>
  <si>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</si>
  <si>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</si>
  <si>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</si>
  <si>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</si>
  <si>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</si>
  <si>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</si>
  <si>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</si>
  <si>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</si>
  <si>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</si>
  <si>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</si>
  <si>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</si>
  <si>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</si>
  <si>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 xml:space="preserve"> Trimestral</t>
  </si>
  <si>
    <t xml:space="preserve">Documento consolidado del Sistema Distrital de Cuidado </t>
  </si>
  <si>
    <t>Para el mes de julio, por efecto de la periodicidad de la Meta,no se tiene programado avances a reportar</t>
  </si>
  <si>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</si>
  <si>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</si>
  <si>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</si>
  <si>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</si>
  <si>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</si>
  <si>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</si>
  <si>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Durante lo corrido del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Usme y Bosa - Porvenir, en lo que respecta a la Secretaría Distrital de la Mujer. La realización de 44 jornadas de socialización del Sistema Distrital de Cuidado y sus lineamientos técnicos. La Elaboración de la estrategia "Pactos locales de cuidado", cuyo objetivo es la apropiación de las Manzanas del Cuidado por parte de la ciudadanía.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</si>
  <si>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</si>
  <si>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</si>
  <si>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la estrategia para la adecuación de infraestructura de manzanas de
cuidado</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</si>
  <si>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</si>
  <si>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</si>
  <si>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</si>
  <si>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</si>
  <si>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</si>
  <si>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 xml:space="preserve">           -  </t>
  </si>
  <si>
    <t>Mensual</t>
  </si>
  <si>
    <t>SiMisional</t>
  </si>
  <si>
    <t xml:space="preserve">El número total de cuidadoras graduadas en el mes de julio fue de 176
En cuanto al proceso de Homologación de Saberes, se certificaron 42 cuidadoras certificadas en el mes de julio. </t>
  </si>
  <si>
    <t>Durante lo corrido del año, se ha logrado que 1.396 cuidadoras se graduen en cursos de formación complementaria. y en cuanto al proceso de Homologación de Saberes, se han certificado a 306 cuidadoras. En este sentido, el balance total es de 1.702</t>
  </si>
  <si>
    <t>De acuerdo a la programación, a julio se deberian terener 2.400 mujeres unicas formadas y certificadas. Sin embargo la ejecución acumulada es de 1.702 lo que representa un avance del 70,9%. Este retraso se presenta por efecto de que los cursos son dictados y certificados por un tercero, lo que conlleva a que el proceso de validar la información de los beneficuarios toma un tiempo. No osbtante, se esta trabajando en agilizar el proceson en este sentido.</t>
  </si>
  <si>
    <t>Se están realizando las acciones pertinentes para agilizar los procesos de validación de las beneficiarias del curso por parte del SENA</t>
  </si>
  <si>
    <t>Número de personas vinculadas a los talleres de cambio cultural</t>
  </si>
  <si>
    <t>Personas vinculadas</t>
  </si>
  <si>
    <t xml:space="preserve">Número de personas vinculadas en talleres presenciales y virtual de cambio cultural.  </t>
  </si>
  <si>
    <t>Durante lo corrido del año, se han vinculado en talleres de cambio cultural a 3.226 beneficiarios.</t>
  </si>
  <si>
    <t>Número de manzanas inauguradas</t>
  </si>
  <si>
    <t>Manzanas puestas en operación</t>
  </si>
  <si>
    <t>Número de manzanas del cuidado puestas en operación en Bogotá</t>
  </si>
  <si>
    <t>Se realizó la reprogramación de las actividades.</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</si>
  <si>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</si>
  <si>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</si>
  <si>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</si>
  <si>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</si>
  <si>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</si>
  <si>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</si>
  <si>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</si>
  <si>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</si>
  <si>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</si>
  <si>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</si>
  <si>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</si>
  <si>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</si>
  <si>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</si>
  <si>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Constanza Liliana Gomez Romero</t>
  </si>
  <si>
    <t>Nombre: Angie Paola Mesa Rojas</t>
  </si>
  <si>
    <t>Nombre:</t>
  </si>
  <si>
    <t>Nombre: Catalina Campos Romero</t>
  </si>
  <si>
    <t>Cargo:  Profesional Universitario</t>
  </si>
  <si>
    <t>Cargo: Directora del Sistema de Cuidado</t>
  </si>
  <si>
    <t xml:space="preserve">Cargo:  Subsecretaría del Cuidado y Políticas de Igualdad </t>
  </si>
  <si>
    <t xml:space="preserve">Cargo: </t>
  </si>
  <si>
    <t>Cargo: Jefa Oficina Asesora de Planeación</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</si>
  <si>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</si>
  <si>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</si>
  <si>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</si>
  <si>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</si>
  <si>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</si>
  <si>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</si>
  <si>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</si>
  <si>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</si>
  <si>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</si>
  <si>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</si>
  <si>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</si>
  <si>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</si>
  <si>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</si>
  <si>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</si>
  <si>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</si>
  <si>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</si>
  <si>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</si>
  <si>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</si>
  <si>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</si>
  <si>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</si>
  <si>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</si>
  <si>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</si>
  <si>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</si>
  <si>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</si>
  <si>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</si>
  <si>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</si>
  <si>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</si>
  <si>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</si>
  <si>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</si>
  <si>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</si>
  <si>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</si>
  <si>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</si>
  <si>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</si>
  <si>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</si>
  <si>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</si>
  <si>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</si>
  <si>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</si>
  <si>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</si>
  <si>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</si>
  <si>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</si>
  <si>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</si>
  <si>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</si>
  <si>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</si>
  <si>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</si>
  <si>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</si>
  <si>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</si>
  <si>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</si>
  <si>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</si>
  <si>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</si>
  <si>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</si>
  <si>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</si>
  <si>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</si>
  <si>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</si>
  <si>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</si>
  <si>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</si>
  <si>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</si>
  <si>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</si>
  <si>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</si>
  <si>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</si>
  <si>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</si>
  <si>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</si>
  <si>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</si>
  <si>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</si>
  <si>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</si>
  <si>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</si>
  <si>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</si>
  <si>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</si>
  <si>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</si>
  <si>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</si>
  <si>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</si>
  <si>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</si>
  <si>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</si>
  <si>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</si>
  <si>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</si>
  <si>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</si>
  <si>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</si>
  <si>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</si>
  <si>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</si>
  <si>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</si>
  <si>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</si>
  <si>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</si>
  <si>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</si>
  <si>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</si>
  <si>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</si>
  <si>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</si>
  <si>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</si>
  <si>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</si>
  <si>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</si>
  <si>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</si>
  <si>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</si>
  <si>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</si>
  <si>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</si>
  <si>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</si>
  <si>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</si>
  <si>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</si>
  <si>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</si>
  <si>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</si>
  <si>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</si>
  <si>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</si>
  <si>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</si>
  <si>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</si>
  <si>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</si>
  <si>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</si>
  <si>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</si>
  <si>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</si>
  <si>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</si>
  <si>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</si>
  <si>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</si>
  <si>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</si>
  <si>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</si>
  <si>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</si>
  <si>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</si>
  <si>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</si>
  <si>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</si>
  <si>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</si>
  <si>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</si>
  <si>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</si>
  <si>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</si>
  <si>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</si>
  <si>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</si>
  <si>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</si>
  <si>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</si>
  <si>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</si>
  <si>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</si>
  <si>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</si>
  <si>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</si>
  <si>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</si>
  <si>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</si>
  <si>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</si>
  <si>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</si>
  <si>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</si>
  <si>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</si>
  <si>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</si>
  <si>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</si>
  <si>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</si>
  <si>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</si>
  <si>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</si>
  <si>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</si>
  <si>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</si>
  <si>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</si>
  <si>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</si>
  <si>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</si>
  <si>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</si>
  <si>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</si>
  <si>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</si>
  <si>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</si>
  <si>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</si>
  <si>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</si>
  <si>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</si>
  <si>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</si>
  <si>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</si>
  <si>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</si>
  <si>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</si>
  <si>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</si>
  <si>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</si>
  <si>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</si>
  <si>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</si>
  <si>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</si>
  <si>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</si>
  <si>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</si>
  <si>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</si>
  <si>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</si>
  <si>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</si>
  <si>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</si>
  <si>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</si>
  <si>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</si>
  <si>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</si>
  <si>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</si>
  <si>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</si>
  <si>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</si>
  <si>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</si>
  <si>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</si>
  <si>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</si>
  <si>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</si>
  <si>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</si>
  <si>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</si>
  <si>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</si>
  <si>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</si>
  <si>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</si>
  <si>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</si>
  <si>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</si>
  <si>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</si>
  <si>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</si>
  <si>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</si>
  <si>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</si>
  <si>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</si>
  <si>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</si>
  <si>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</si>
  <si>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</si>
  <si>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</si>
  <si>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</si>
  <si>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</si>
  <si>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</si>
  <si>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</si>
  <si>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</si>
  <si>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</si>
  <si>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</si>
  <si>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</si>
  <si>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</si>
  <si>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</si>
  <si>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</si>
  <si>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</si>
  <si>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</si>
  <si>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</si>
  <si>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</si>
  <si>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</si>
  <si>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</si>
  <si>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</si>
  <si>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</si>
  <si>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</si>
  <si>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</si>
  <si>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</si>
  <si>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</si>
  <si>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</si>
  <si>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</si>
  <si>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</si>
  <si>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</si>
  <si>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</si>
  <si>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</si>
  <si>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</si>
  <si>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</si>
  <si>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</si>
  <si>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</si>
  <si>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</si>
  <si>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</si>
  <si>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</si>
  <si>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</si>
  <si>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</si>
  <si>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</si>
  <si>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</si>
  <si>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</si>
  <si>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</si>
  <si>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</si>
  <si>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</si>
  <si>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</si>
  <si>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</si>
  <si>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</si>
  <si>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Con la programación de la inauguración de la Manzana el Cuidado de la localidad de Antonio Nariño, Bogotá pasará de 19 a 20 Manzanas de cuidado. A le fecha se encuentran en operación 19 manzanas de cuidado en el Distrito.</t>
  </si>
  <si>
    <t>En el mes de julio se implementaron 46 talleres Cambio Cultural, a través de los cuales se vincularon 517 beneficiarias</t>
  </si>
  <si>
    <t xml:space="preserve">De acuerdo con lo establecido en el Decreto 237 de 2020, en el artículo 7: "La Comisión se reunirá ordinariamente cada trimestre, es decir, cuatro (4) veces al año". De acuerdo con lo anterior, en el mes de julio no se convocó sesión de esta instancia de coordinación. Se elaboró el segundo informe trimestral del año en vigencia, de la Comisión Intersectorial del Sistema de Cuidado y se remitió para revisión de la directora del Sistema de Cuidado, quien ejerce la Secretaría Técnica de esta instancia de coordinación (21.07.23). En este sentido, a la fecha se han realizado dos sesiones ordinarias  </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</si>
  <si>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liquidación.</t>
  </si>
  <si>
    <t>A. Se realizó una sesión ordinaria de la UTA (14.07.23), la No. 37 desde que se expidió el Decreto 237 de 2020 y la novena sesión del año, En esta sesión se desarrolló esta agenda: 2. Aprobación de fichas técnicas de los buses del cuidado urbano y rural para el ciclo V. 3. Aprobación de la Ficha Técnica de la Manzana del Cuidado de Antonio Nariño. 4. Aprobación del minuto a minuto de la inauguración de la Manzana del Cuidado de Antonio Nariño. 5. Seguimiento a compromisos establecidos en la UTA del 26 de junio. 6. Varios: a. Espacios comunitarios en fichas técnicas de las manzanas del cuidado. b. Auditoría de Regularidad de la Controlaría al Sistema Distrital de Cuidado. Participaron de manera virtual 55 directivas y personas delegadas (35 mujeres y 20 hombres) de 12 Sectores de la Administración Distrital (12 Secretarías de Salud, Integración Social, Educación, Gobierno, Planeación, Desarrollo Económico, Cultura, Recreación y Deporte-BibloRed, Hábitat, Movilidad, Ambiente, Jurídica y Mujer; 6 entidades del Sector Descentralizado: Institutos de las Artes, Recreación y Deporte, Protección y Bienestar Animal, y Turismo, JBB y UAESP), 1 entidad del Sector de las Localidades (Alcaldía de Antonio Nariño) y el equipo Delivery Unit - Alcaldía Mayor. B. Se convalidó acta de la UTA No. 36 realizada el 26 de junio (13.07.23). Se solicitaron ajustes por Gobierno y SDAmbiente (13 y 14.07.23), se realizaron trámites de suscripción (21.07.23) y publicación (21, 28 y 31.07.23). C. Se realizó la 6ta sesión del año (la No. 13 desde que se creó por la UTA) de la Mesa de Relevos Domiciliarios (25.07.23). Se desarrolló esta agenda: 2. Revisión de compromisos. 3. Avances Salud. 4. Avances SDIS. 5. Avances SDMujer (Bloomberg). 6. Revisión propuestas metodología para documento a entregar a próxima Administración. Participaron 12 mujeres de las Secretarías de Salud, Integración Social, Gobierno y la Mujer, y PNUD (Bloomberg).</t>
  </si>
  <si>
    <t xml:space="preserve">Al mes de julio del 2023, se han beneficiado a 3.226 personas en los talleres de cambio cultural.
Por otra parte, se estableció contacto con 19 organizaciones. De las cuales 6 son empresas del sector privado, 3 son entidades del sector público, 5 son fundaciones, asociaciones, corporaciones y cooperativas y 5 son instituciones educativas. Finalmente, se han liderado tres (3) Mesas de Trabajo de Transformación Cultural siguiendo el calendario </t>
  </si>
  <si>
    <t>Con el objetivo de reconocer y visibilizar el trabajo de cuidados que realizan las mujeres en nuestra sociedad, sirven de ejemplo para la promoción y desarrollo de políticas en materia de redistribución y reducción del trabajo de cuidados</t>
  </si>
  <si>
    <t xml:space="preserve">En el mes de julio, según el reporte enviado por Gestión del Conocimiento, se logró beneficiar a 517 personas en los talleres de cambio cultural.
Durante el mes de julio se realizaron las siguientes actividades en el marco de la Red de Alianzas del Cuidado: Confirmación Ruta de vinculación a Aliados Red Alianzas del Cuidado, se logró definir y confirmar con el acompañamiento de la Dirección de Contratación, la ruta para la vinculación de entidades y organizaciones a la Red de Alianzas del Cuidado, así como los documentos soporte que cada una de las organizaciones debe remitir para confirmar la alianza. De igual manera, se avanzó en la definición de la ruta de acción para las organizaciones vinculadas a la Estrategia Sello de Igualdad, lo que genera que quienes ya han firmado el “Pacto por la Igualdad” no deben suscribir el Acta de Compromiso RAC.
</t>
  </si>
  <si>
    <r>
      <t xml:space="preserve">En el mes de julio se implementaron 46 talleres de Cambio Cultural, a través de los cuales se vincularon 517 beneficiarias de la siguiente manera: Nivel Distrital 43 personas;  Usaquén 17 personas;  Santa Fe 57 personas;  San Cristobal 47 personas; Usme 28 personas; Tunjuelito 13 personas; Bosa 47 personas;  Kennedy 78 personas;  Fontibón 6 personas;  Engativá 30 personas; Suba 9 personas; Barrios Unidos 51 personas; Los Mártires 18 personas;  Antonio Nariño 20 personas; Puente Aranda 15 personas;  La Candelaria 18 personas; Rafael Uribe Uribe 18 personas; y Ciudad Bolívar 12 personas. A través de estás atenciones, el balance en lo corrido del año, es 3.226 personas bebeficiadas. </t>
    </r>
    <r>
      <rPr>
        <b/>
        <sz val="11"/>
        <color rgb="FFFF0000"/>
        <rFont val="Times New Roman"/>
        <family val="1"/>
      </rPr>
      <t xml:space="preserve">
</t>
    </r>
  </si>
  <si>
    <t>La reducción y redistribución del trabajo de cuidado no remunerado conlleva importantes beneficios para el desarrollo económico, la reducción de la pobreza, la mejora del bienestar y el capital humano</t>
  </si>
  <si>
    <r>
      <t xml:space="preserve">Durante lo corrido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t>
    </r>
    <r>
      <rPr>
        <sz val="11"/>
        <rFont val="Times New Roman"/>
        <family val="1"/>
      </rPr>
      <t xml:space="preserve">Por otro lado, se han beneficiado a 3.226 personas con los talleres de cambio cultural. </t>
    </r>
  </si>
  <si>
    <t>psicosociales</t>
  </si>
  <si>
    <t>psicojurídicas</t>
  </si>
  <si>
    <t xml:space="preserve">En relación con la oferta de atención psico jurídica en el mes de JULIO, se benefició un totak de 1.052 personas cuidadoras, de las cuales 533 recibieron orientación y asesoría jurídica en las localidades de: Antonio Nariño 14, Barrios Unidos 4, Bosa 92, Chapinero 56, Ciudad Bolívar 60, Engativá 27, Fontibón 8, Fuera de Bogotá 1, Kennedy 50, Puente Aranda 16, Rafael Uribe Uribe 32, San Cristóbal 35, Santa Fe 10, Suba 23, Teusaquillo 5, Tunjuelito 4, Usaquén 41, Usme 55.  Y 519 personas cuidadoras recibieron orientación psicosocial, distribuidas a lo largo de las localidades de la siguiente manera: Antonio Nariño 12, Barrios Unidos 4, Bosa 102, Chapinero 48, Ciudad Bolívar 48, Engativá 32, Fontibón 10, Fuera de Bogotá 1, Kennedy 45, Puente Aranda 36, Rafael Uribe 27, San Cristóbal 36, Santa Fe 7, Suba 21, Teusaquillo 5,  Tunjuelito 3, Usaquén 29, Usme 53. </t>
  </si>
  <si>
    <r>
      <t>Durante lo corrido del 2023, en el marco de la gestión de las manzanas y unidades de cuidado se ha logrado que Bogotá tenga en operación 19 Manzanas. Por otra partem en el marco de los procesos realizados por el SIDICU en la vigencia referida al reporte, se han beneficiado del servicio de orientación y asesoría psicojurídica y psicosocial a:</t>
    </r>
    <r>
      <rPr>
        <b/>
        <sz val="11"/>
        <color rgb="FFFF0000"/>
        <rFont val="Times New Roman"/>
        <family val="1"/>
      </rPr>
      <t xml:space="preserve"> </t>
    </r>
    <r>
      <rPr>
        <b/>
        <sz val="11"/>
        <rFont val="Times New Roman"/>
        <family val="1"/>
      </rPr>
      <t>5.978 cuidadoras.</t>
    </r>
  </si>
  <si>
    <r>
      <rPr>
        <sz val="11"/>
        <rFont val="Times New Roman"/>
        <family val="1"/>
      </rPr>
      <t xml:space="preserve">Con la implementación del proceso de formación de la Estrategia Cuidado a Cuidadoras, en lo corrido de la vigencia 2023 se han desarrollado 101 cursos de formación complementaria graduando a 1.396 mujeres en "Herramientas para Cuidadoras en el Reconocimiento de su Trabajo de Cuidado" a través del Aula Virtual de la SDMujer y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La distribución de las cuidadoras graduadas según localidad, es la siguiente: Kennedy: 158; Puente Aranda: 85; Suba: 79; Bosa: 79; Rafael Uribe Uribe: 70; Los Mártires: 68; Usme: 66; Fontibón: 65; Ciudad Bolívar Mochuelo: 63; Engativá: 60; Chapinero: 59; Antonio Nariño: 58; Ciudad Bolívar Manitas: 50; Tunjuelito: 50; Barrios Unidos: 49; San Cristóbal Juan Rey: 49; Usaquén: 44; La Candelaria: 33; Santa Fe: 25; San Cristóbal La Felicidad: 24; Teusaquillo: 13; Bus del Cuidado Urbano: 65  y Bus del Cuidado Rural: 75.
</t>
    </r>
    <r>
      <rPr>
        <b/>
        <sz val="11"/>
        <color rgb="FFFF0000"/>
        <rFont val="Times New Roman"/>
        <family val="1"/>
      </rPr>
      <t xml:space="preserve"> 
</t>
    </r>
    <r>
      <rPr>
        <sz val="11"/>
        <color rgb="FF000000"/>
        <rFont val="Times New Roman"/>
        <family val="1"/>
      </rPr>
      <t xml:space="preserve">Respecto de los procesos de Homologación de Saberes, el acumulado de la vigencia 2023 es de 306 cuidadoras certificadas en el Distrito Capital a través de 13 grupos conformados, uno (1) en marzo, uno (1) en abril, cinco (5) en mayo,  cuatro (4) en junio y dos (2) en julio de 2023.
En el marco de los procesos realizados por el SIDICU en la vigencia referida al reporte, se han beneficiado del servicio de orientación y asesoría psico jurídica a 5.950 personas cuidadoras.
Respecto de los espacios respiro adelantados entre febrero y julio de 2023, se ha logrado la realización de cuarenta y cuatro (44) espacios respiro, con participación de ciento veintiséis (126) cuidadoras pertenecientes a la comunidad étnica Afro y Negra, veinticinco (25) que hacen parte de los Pueblos Indígenas que integran el proceso 612 de 2015, ciento ochenta y siete (187) pertenecientes a la comunidad Raizal y doscientos diecisiete (217) pertenecientes al pueblo Gitano. Las atenciones registradas en el marco del desarrollo del Plan Integral de Acciones Afirmativas ascienden en acumulado a quinientos cincuenta y cinco (555). </t>
    </r>
  </si>
  <si>
    <t xml:space="preserve">Durante el mes de julio de 2023, se logró avanzar en las gestiones para la  inauguración de la Manzana del Cuidado en la localidad de Antonio Nariño. Con relación a los talleres de cambio cultural, a traves de estos se logró antender 517 personas y frente a las orientaciones psicosociales, jurídicas y psico jurídicas, se logro atender a 1.074 personas. </t>
  </si>
  <si>
    <t xml:space="preserve">En el marco de implementación del Sistema Distrital de Cuidado durante la vigencia anual se ha obtenido un cumplimiento del 75% de la programación para la implementación del SIDICU dado el funcionamiento de las dos unidades móviles y las 19 Manzana del Cuidado que se encuentran en operación. Por otra parte, frente al componente de coordinación intersectorial, se ha llevado a cabo las sesiones con la comisión intersectorial junto con la unidad de apoyo técnico y en el marco de la actividad asociada a las orientaciones psicosociales y psicourídicas, en lo corrdio del 2023 se lleva un acumulado de 6.668 beneficiarias y con relación a los talleres de cambio cultural, se ha logrado antender a 3.226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</si>
</sst>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0"/>
    <numFmt numFmtId="181" formatCode="0.0000"/>
  </numFmts>
  <fonts count="6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i/>
      <sz val="11"/>
      <color rgb="FF00000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sz val="11"/>
      <color theme="0"/>
      <name val="Times New Roman"/>
      <family val="1"/>
    </font>
    <font>
      <b/>
      <sz val="11"/>
      <color theme="0"/>
      <name val="Arial Narrow"/>
      <family val="2"/>
    </font>
    <font>
      <sz val="11"/>
      <color rgb="FF000000"/>
      <name val="Calibri"/>
      <family val="2"/>
    </font>
    <font>
      <b/>
      <sz val="11"/>
      <color indexed="81"/>
      <name val="Tahoma"/>
      <family val="2"/>
    </font>
    <font>
      <sz val="11"/>
      <color indexed="81"/>
      <name val="Tahoma"/>
      <family val="2"/>
    </font>
    <font>
      <sz val="11"/>
      <color rgb="FF000000"/>
      <name val="Times New Roman"/>
      <family val="1"/>
    </font>
    <font>
      <sz val="10"/>
      <color rgb="FF000000"/>
      <name val="Times New Roman"/>
      <family val="1"/>
    </font>
    <font>
      <sz val="12"/>
      <color rgb="FF000000"/>
      <name val="Tahoma"/>
      <family val="2"/>
    </font>
    <font>
      <b/>
      <sz val="11"/>
      <color rgb="FFFF0000"/>
      <name val="Times New Roman"/>
      <family val="1"/>
    </font>
    <font>
      <b/>
      <sz val="12"/>
      <color rgb="FF000000"/>
      <name val="Tahoma"/>
      <family val="2"/>
    </font>
    <font>
      <b/>
      <sz val="11"/>
      <name val="Calibri"/>
      <family val="2"/>
      <scheme val="minor"/>
    </font>
  </fonts>
  <fills count="3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
      <patternFill patternType="solid">
        <fgColor theme="6" tint="0.79998168889431442"/>
        <bgColor indexed="64"/>
      </patternFill>
    </fill>
    <fill>
      <patternFill patternType="solid">
        <fgColor theme="2"/>
        <bgColor indexed="64"/>
      </patternFill>
    </fill>
    <fill>
      <patternFill patternType="solid">
        <fgColor rgb="FFF2F2F2"/>
        <bgColor rgb="FF000000"/>
      </patternFill>
    </fill>
    <fill>
      <patternFill patternType="solid">
        <fgColor rgb="FFEBF1DE"/>
        <bgColor rgb="FF000000"/>
      </patternFill>
    </fill>
    <fill>
      <patternFill patternType="solid">
        <fgColor theme="0" tint="-4.9989318521683403E-2"/>
        <bgColor indexed="64"/>
      </patternFill>
    </fill>
    <fill>
      <patternFill patternType="solid">
        <fgColor theme="0" tint="-4.9989318521683403E-2"/>
        <bgColor rgb="FF000000"/>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style="thin">
        <color indexed="64"/>
      </top>
      <bottom style="thin">
        <color indexed="64"/>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6" borderId="0" applyNumberFormat="0" applyProtection="0">
      <alignment horizontal="left" wrapText="1" indent="4"/>
    </xf>
    <xf numFmtId="0" fontId="33" fillId="6" borderId="0" applyNumberFormat="0" applyProtection="0">
      <alignment horizontal="left" wrapText="1" indent="4"/>
    </xf>
    <xf numFmtId="0" fontId="31" fillId="5"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6" borderId="0" applyNumberFormat="0" applyBorder="0" applyProtection="0">
      <alignment horizontal="left" indent="1"/>
    </xf>
  </cellStyleXfs>
  <cellXfs count="100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3" fontId="27" fillId="0" borderId="1" xfId="10" applyNumberFormat="1" applyFont="1" applyFill="1" applyBorder="1" applyAlignment="1">
      <alignment vertical="center"/>
    </xf>
    <xf numFmtId="9" fontId="11" fillId="19" borderId="1" xfId="29" applyFont="1" applyFill="1" applyBorder="1" applyAlignment="1" applyProtection="1">
      <alignment horizontal="center" vertical="center" wrapText="1"/>
      <protection locked="0"/>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79" fontId="24" fillId="25" borderId="0" xfId="0" applyNumberFormat="1" applyFont="1" applyFill="1" applyAlignment="1">
      <alignment horizontal="center" vertical="center"/>
    </xf>
    <xf numFmtId="0" fontId="39" fillId="0" borderId="0" xfId="0" applyFont="1" applyAlignment="1">
      <alignment horizontal="justify" vertical="center" wrapText="1"/>
    </xf>
    <xf numFmtId="179"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79" fontId="25" fillId="26" borderId="0" xfId="0" applyNumberFormat="1" applyFont="1" applyFill="1" applyAlignment="1">
      <alignment horizontal="center" vertical="center"/>
    </xf>
    <xf numFmtId="179" fontId="24" fillId="26" borderId="0" xfId="0" applyNumberFormat="1" applyFont="1" applyFill="1" applyAlignment="1">
      <alignment horizontal="center" vertical="center"/>
    </xf>
    <xf numFmtId="179"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79"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79"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0"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1" fontId="25" fillId="28" borderId="0" xfId="0" applyNumberFormat="1" applyFont="1" applyFill="1" applyAlignment="1">
      <alignment horizontal="center" vertical="center"/>
    </xf>
    <xf numFmtId="179"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3"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9" fontId="39"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1" fillId="0" borderId="0" xfId="22" applyNumberFormat="1" applyFont="1" applyAlignment="1">
      <alignment vertical="center" wrapText="1"/>
    </xf>
    <xf numFmtId="9" fontId="39" fillId="19" borderId="1" xfId="29" applyFont="1" applyFill="1" applyBorder="1" applyAlignment="1" applyProtection="1">
      <alignment horizontal="center" vertical="center" wrapText="1"/>
      <protection locked="0"/>
    </xf>
    <xf numFmtId="0" fontId="12" fillId="0" borderId="97" xfId="22" applyFont="1" applyBorder="1" applyAlignment="1">
      <alignment horizontal="center" vertical="center" wrapText="1"/>
    </xf>
    <xf numFmtId="1" fontId="39" fillId="9" borderId="10" xfId="30" applyNumberFormat="1" applyFont="1" applyFill="1" applyBorder="1" applyAlignment="1" applyProtection="1">
      <alignment horizontal="center" vertical="center" wrapText="1"/>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11" fillId="19" borderId="4" xfId="29" applyNumberFormat="1" applyFont="1" applyFill="1" applyBorder="1" applyAlignment="1" applyProtection="1">
      <alignment horizontal="center" vertical="center" wrapText="1"/>
      <protection locked="0"/>
    </xf>
    <xf numFmtId="174" fontId="12" fillId="30" borderId="40" xfId="0" applyNumberFormat="1" applyFont="1" applyFill="1" applyBorder="1" applyAlignment="1">
      <alignment horizontal="center" vertical="center" wrapText="1"/>
    </xf>
    <xf numFmtId="174" fontId="12" fillId="0" borderId="25" xfId="28" applyNumberFormat="1" applyFont="1" applyFill="1" applyBorder="1" applyAlignment="1" applyProtection="1">
      <alignment horizontal="center" vertical="center" wrapText="1"/>
    </xf>
    <xf numFmtId="174" fontId="12" fillId="0" borderId="4" xfId="28" applyNumberFormat="1" applyFont="1" applyFill="1" applyBorder="1" applyAlignment="1" applyProtection="1">
      <alignment horizontal="center" vertical="center" wrapText="1"/>
    </xf>
    <xf numFmtId="174" fontId="12" fillId="0" borderId="34" xfId="28" applyNumberFormat="1" applyFont="1" applyFill="1" applyBorder="1" applyAlignment="1" applyProtection="1">
      <alignment horizontal="center" vertical="center" wrapText="1"/>
    </xf>
    <xf numFmtId="174" fontId="12" fillId="0" borderId="14" xfId="28" applyNumberFormat="1" applyFont="1" applyFill="1" applyBorder="1" applyAlignment="1" applyProtection="1">
      <alignment horizontal="center" vertical="center" wrapText="1"/>
    </xf>
    <xf numFmtId="174" fontId="12" fillId="9" borderId="40" xfId="28"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4" fontId="12" fillId="9" borderId="33" xfId="28" applyNumberFormat="1" applyFont="1" applyFill="1" applyBorder="1" applyAlignment="1" applyProtection="1">
      <alignment horizontal="center" vertical="center" wrapText="1"/>
    </xf>
    <xf numFmtId="174" fontId="12" fillId="9" borderId="39" xfId="28" applyNumberFormat="1" applyFont="1" applyFill="1" applyBorder="1" applyAlignment="1" applyProtection="1">
      <alignment horizontal="center" vertical="center" wrapText="1"/>
    </xf>
    <xf numFmtId="2" fontId="12" fillId="9" borderId="19" xfId="22" applyNumberFormat="1" applyFont="1" applyFill="1" applyBorder="1" applyAlignment="1">
      <alignment horizontal="left" vertical="center" wrapText="1"/>
    </xf>
    <xf numFmtId="2" fontId="12" fillId="20" borderId="19" xfId="22" applyNumberFormat="1" applyFont="1" applyFill="1" applyBorder="1" applyAlignment="1">
      <alignment horizontal="center" vertical="center" wrapText="1"/>
    </xf>
    <xf numFmtId="0" fontId="11" fillId="0" borderId="0" xfId="0" applyFont="1" applyAlignment="1">
      <alignment vertical="center"/>
    </xf>
    <xf numFmtId="0" fontId="34" fillId="0" borderId="0" xfId="0" applyFont="1" applyAlignment="1">
      <alignment vertical="center"/>
    </xf>
    <xf numFmtId="0" fontId="55" fillId="0" borderId="0" xfId="0" applyFont="1" applyAlignment="1">
      <alignment vertical="center"/>
    </xf>
    <xf numFmtId="168" fontId="55" fillId="0" borderId="0" xfId="11" applyFont="1" applyFill="1" applyAlignment="1">
      <alignment vertical="center"/>
    </xf>
    <xf numFmtId="0" fontId="28" fillId="0" borderId="0" xfId="0" applyFont="1" applyAlignment="1">
      <alignment vertical="center"/>
    </xf>
    <xf numFmtId="0" fontId="56" fillId="0" borderId="0" xfId="22" applyFont="1" applyAlignment="1">
      <alignment vertical="center" wrapText="1"/>
    </xf>
    <xf numFmtId="0" fontId="43" fillId="19" borderId="1" xfId="0" applyFont="1" applyFill="1" applyBorder="1" applyAlignment="1">
      <alignment horizontal="left" vertical="center" wrapText="1"/>
    </xf>
    <xf numFmtId="0" fontId="43" fillId="0" borderId="1" xfId="0" applyFont="1" applyBorder="1"/>
    <xf numFmtId="0" fontId="43" fillId="0" borderId="4" xfId="0" applyFont="1" applyBorder="1"/>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73" fontId="27" fillId="0" borderId="56" xfId="10" applyNumberFormat="1" applyFont="1" applyBorder="1" applyAlignment="1">
      <alignment vertical="center"/>
    </xf>
    <xf numFmtId="173" fontId="27" fillId="0" borderId="44" xfId="10" applyNumberFormat="1" applyFont="1" applyBorder="1" applyAlignment="1">
      <alignment vertical="center"/>
    </xf>
    <xf numFmtId="173" fontId="27" fillId="0" borderId="31" xfId="10" applyNumberFormat="1" applyFont="1" applyBorder="1" applyAlignment="1">
      <alignment vertical="center"/>
    </xf>
    <xf numFmtId="173" fontId="27" fillId="0" borderId="5" xfId="10" applyNumberFormat="1" applyFont="1" applyBorder="1" applyAlignment="1">
      <alignment vertical="center"/>
    </xf>
    <xf numFmtId="173" fontId="27" fillId="0" borderId="9" xfId="10" applyNumberFormat="1" applyFont="1" applyBorder="1" applyAlignment="1">
      <alignment vertical="center"/>
    </xf>
    <xf numFmtId="173" fontId="27" fillId="0" borderId="57" xfId="10" applyNumberFormat="1" applyFont="1" applyBorder="1" applyAlignment="1">
      <alignment vertical="center"/>
    </xf>
    <xf numFmtId="173" fontId="27" fillId="0" borderId="40" xfId="10" applyNumberFormat="1" applyFont="1" applyBorder="1" applyAlignment="1">
      <alignment vertical="center"/>
    </xf>
    <xf numFmtId="0" fontId="12" fillId="20" borderId="98" xfId="22" applyFont="1" applyFill="1" applyBorder="1" applyAlignment="1">
      <alignment horizontal="center" vertical="center" wrapText="1"/>
    </xf>
    <xf numFmtId="0" fontId="12" fillId="0" borderId="44" xfId="22" applyFont="1" applyBorder="1" applyAlignment="1">
      <alignment horizontal="left" vertical="center" wrapText="1"/>
    </xf>
    <xf numFmtId="9" fontId="11" fillId="29" borderId="44" xfId="0" applyNumberFormat="1" applyFont="1" applyFill="1" applyBorder="1" applyAlignment="1">
      <alignment horizontal="center" vertical="center" wrapText="1"/>
    </xf>
    <xf numFmtId="9" fontId="39" fillId="19" borderId="44" xfId="29" applyFont="1" applyFill="1" applyBorder="1" applyAlignment="1" applyProtection="1">
      <alignment horizontal="center" vertical="center" wrapText="1"/>
      <protection locked="0"/>
    </xf>
    <xf numFmtId="9" fontId="11" fillId="19" borderId="44" xfId="29" applyFont="1" applyFill="1" applyBorder="1" applyAlignment="1" applyProtection="1">
      <alignment horizontal="center" vertical="center" wrapText="1"/>
      <protection locked="0"/>
    </xf>
    <xf numFmtId="9" fontId="12" fillId="0" borderId="45" xfId="22" applyNumberFormat="1" applyFont="1" applyBorder="1" applyAlignment="1">
      <alignment horizontal="center" vertical="center" wrapText="1"/>
    </xf>
    <xf numFmtId="173" fontId="12" fillId="0" borderId="68" xfId="10" applyNumberFormat="1" applyFont="1" applyFill="1" applyBorder="1" applyAlignment="1" applyProtection="1">
      <alignment horizontal="center" vertical="center" wrapText="1"/>
    </xf>
    <xf numFmtId="9" fontId="12" fillId="0" borderId="66" xfId="22" applyNumberFormat="1" applyFont="1" applyBorder="1" applyAlignment="1">
      <alignment horizontal="center" vertical="center" wrapText="1"/>
    </xf>
    <xf numFmtId="0" fontId="12" fillId="0" borderId="57" xfId="22" applyFont="1" applyBorder="1" applyAlignment="1">
      <alignment horizontal="left" vertical="center" wrapText="1"/>
    </xf>
    <xf numFmtId="2" fontId="12" fillId="0" borderId="44" xfId="22" applyNumberFormat="1" applyFont="1" applyBorder="1" applyAlignment="1">
      <alignment horizontal="left" vertical="center" wrapText="1"/>
    </xf>
    <xf numFmtId="2" fontId="12" fillId="9" borderId="10" xfId="22" applyNumberFormat="1" applyFont="1" applyFill="1" applyBorder="1" applyAlignment="1">
      <alignment horizontal="left" vertical="center" wrapText="1"/>
    </xf>
    <xf numFmtId="1" fontId="12" fillId="9" borderId="23" xfId="28" applyNumberFormat="1" applyFont="1" applyFill="1" applyBorder="1" applyAlignment="1" applyProtection="1">
      <alignment horizontal="center" vertical="center" wrapText="1"/>
    </xf>
    <xf numFmtId="9" fontId="11" fillId="0" borderId="57" xfId="28" applyFont="1" applyBorder="1" applyAlignment="1">
      <alignment horizontal="center" vertical="center" wrapText="1"/>
    </xf>
    <xf numFmtId="9" fontId="11" fillId="0" borderId="44" xfId="28" applyFont="1" applyFill="1" applyBorder="1" applyAlignment="1" applyProtection="1">
      <alignment horizontal="center" vertical="center" wrapText="1"/>
      <protection locked="0"/>
    </xf>
    <xf numFmtId="9" fontId="12" fillId="0" borderId="45" xfId="28" applyFont="1" applyBorder="1" applyAlignment="1">
      <alignment horizontal="center" vertical="center" wrapText="1"/>
    </xf>
    <xf numFmtId="9" fontId="12" fillId="9" borderId="40" xfId="28" applyFont="1" applyFill="1" applyBorder="1" applyAlignment="1" applyProtection="1">
      <alignment horizontal="center" vertical="center" wrapText="1"/>
    </xf>
    <xf numFmtId="9" fontId="11" fillId="9" borderId="40" xfId="28" applyFont="1" applyFill="1" applyBorder="1" applyAlignment="1" applyProtection="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44"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1" fontId="12" fillId="0" borderId="14" xfId="28" applyNumberFormat="1" applyFont="1" applyFill="1" applyBorder="1" applyAlignment="1" applyProtection="1">
      <alignment horizontal="center" vertical="center" wrapText="1"/>
    </xf>
    <xf numFmtId="1" fontId="12" fillId="9" borderId="10" xfId="28" applyNumberFormat="1" applyFont="1" applyFill="1" applyBorder="1" applyAlignment="1" applyProtection="1">
      <alignment horizontal="center" vertical="center" wrapText="1"/>
    </xf>
    <xf numFmtId="1" fontId="12" fillId="9" borderId="98" xfId="28" applyNumberFormat="1" applyFont="1" applyFill="1" applyBorder="1" applyAlignment="1" applyProtection="1">
      <alignment horizontal="center" vertical="center" wrapText="1"/>
    </xf>
    <xf numFmtId="1" fontId="12" fillId="9" borderId="52" xfId="28" applyNumberFormat="1" applyFont="1" applyFill="1" applyBorder="1" applyAlignment="1" applyProtection="1">
      <alignment horizontal="center" vertical="center" wrapText="1"/>
    </xf>
    <xf numFmtId="0" fontId="16" fillId="2" borderId="0" xfId="22" applyFont="1" applyFill="1" applyAlignment="1">
      <alignment horizontal="left" vertical="center"/>
    </xf>
    <xf numFmtId="0" fontId="0" fillId="0" borderId="0" xfId="0" applyAlignment="1">
      <alignment horizontal="left" vertical="center" wrapText="1"/>
    </xf>
    <xf numFmtId="0" fontId="39" fillId="33" borderId="82" xfId="28" applyNumberFormat="1" applyFont="1" applyFill="1" applyBorder="1" applyAlignment="1">
      <alignment horizontal="left" vertical="center" wrapText="1"/>
    </xf>
    <xf numFmtId="168" fontId="40" fillId="0" borderId="0" xfId="11" applyFont="1" applyFill="1" applyAlignment="1">
      <alignment vertical="center"/>
    </xf>
    <xf numFmtId="0" fontId="40" fillId="0" borderId="0" xfId="0" applyFont="1" applyAlignment="1">
      <alignment vertical="center"/>
    </xf>
    <xf numFmtId="174" fontId="39" fillId="0" borderId="0" xfId="0" applyNumberFormat="1" applyFont="1" applyAlignment="1">
      <alignment vertical="center"/>
    </xf>
    <xf numFmtId="0" fontId="39" fillId="33" borderId="82" xfId="28" applyNumberFormat="1" applyFont="1" applyFill="1" applyBorder="1" applyAlignment="1">
      <alignment vertical="center" wrapText="1"/>
    </xf>
    <xf numFmtId="0" fontId="43" fillId="33" borderId="82" xfId="0" applyFont="1" applyFill="1" applyBorder="1" applyAlignment="1">
      <alignment horizontal="left" vertical="center" wrapText="1"/>
    </xf>
    <xf numFmtId="0" fontId="13" fillId="33" borderId="1" xfId="0" applyFont="1" applyFill="1" applyBorder="1" applyAlignment="1">
      <alignment horizontal="center" vertical="center"/>
    </xf>
    <xf numFmtId="4" fontId="12" fillId="33" borderId="38" xfId="28" applyNumberFormat="1" applyFont="1" applyFill="1" applyBorder="1" applyAlignment="1" applyProtection="1">
      <alignment horizontal="center" vertical="center" wrapText="1"/>
    </xf>
    <xf numFmtId="4" fontId="12" fillId="33" borderId="33" xfId="28" applyNumberFormat="1" applyFont="1" applyFill="1" applyBorder="1" applyAlignment="1" applyProtection="1">
      <alignment horizontal="center" vertical="center" wrapText="1"/>
    </xf>
    <xf numFmtId="174" fontId="12" fillId="0" borderId="45" xfId="22" applyNumberFormat="1" applyFont="1" applyBorder="1" applyAlignment="1">
      <alignment horizontal="center" vertical="center" wrapText="1"/>
    </xf>
    <xf numFmtId="174" fontId="11" fillId="0" borderId="44" xfId="28" applyNumberFormat="1" applyFont="1" applyBorder="1" applyAlignment="1">
      <alignment horizontal="center" vertical="center" wrapText="1"/>
    </xf>
    <xf numFmtId="174" fontId="11" fillId="0" borderId="44" xfId="28" applyNumberFormat="1" applyFont="1" applyFill="1" applyBorder="1" applyAlignment="1" applyProtection="1">
      <alignment horizontal="center" vertical="center" wrapText="1"/>
      <protection locked="0"/>
    </xf>
    <xf numFmtId="174" fontId="11" fillId="9" borderId="40" xfId="28" applyNumberFormat="1" applyFont="1" applyFill="1" applyBorder="1" applyAlignment="1" applyProtection="1">
      <alignment horizontal="center" vertical="center" wrapText="1"/>
    </xf>
    <xf numFmtId="174" fontId="11" fillId="29" borderId="1" xfId="0" applyNumberFormat="1" applyFont="1" applyFill="1" applyBorder="1" applyAlignment="1">
      <alignment horizontal="center" vertical="center" wrapText="1"/>
    </xf>
    <xf numFmtId="174" fontId="11" fillId="19" borderId="1" xfId="29" applyNumberFormat="1" applyFont="1" applyFill="1" applyBorder="1" applyAlignment="1" applyProtection="1">
      <alignment horizontal="center" vertical="center" wrapText="1"/>
      <protection locked="0"/>
    </xf>
    <xf numFmtId="174" fontId="11" fillId="29" borderId="44" xfId="0" applyNumberFormat="1" applyFont="1" applyFill="1" applyBorder="1" applyAlignment="1">
      <alignment horizontal="center" vertical="center" wrapText="1"/>
    </xf>
    <xf numFmtId="174" fontId="11" fillId="19" borderId="44" xfId="29" applyNumberFormat="1" applyFont="1" applyFill="1" applyBorder="1" applyAlignment="1" applyProtection="1">
      <alignment horizontal="center" vertical="center" wrapText="1"/>
      <protection locked="0"/>
    </xf>
    <xf numFmtId="174" fontId="11" fillId="30" borderId="19" xfId="0" applyNumberFormat="1" applyFont="1" applyFill="1" applyBorder="1" applyAlignment="1">
      <alignment horizontal="center" vertical="center" wrapText="1"/>
    </xf>
    <xf numFmtId="174" fontId="11" fillId="9" borderId="19" xfId="28" applyNumberFormat="1" applyFont="1" applyFill="1" applyBorder="1" applyAlignment="1" applyProtection="1">
      <alignment horizontal="center" vertical="center" wrapText="1"/>
      <protection locked="0"/>
    </xf>
    <xf numFmtId="9" fontId="0" fillId="0" borderId="0" xfId="28" applyFont="1" applyAlignment="1">
      <alignment vertical="center"/>
    </xf>
    <xf numFmtId="10" fontId="0" fillId="0" borderId="0" xfId="28" applyNumberFormat="1" applyFont="1" applyAlignment="1">
      <alignment vertical="center"/>
    </xf>
    <xf numFmtId="173" fontId="27" fillId="0" borderId="44" xfId="10" applyNumberFormat="1" applyFont="1" applyFill="1" applyBorder="1" applyAlignment="1">
      <alignment vertical="center"/>
    </xf>
    <xf numFmtId="173" fontId="27" fillId="0" borderId="10" xfId="10" applyNumberFormat="1" applyFont="1" applyFill="1" applyBorder="1" applyAlignment="1">
      <alignment vertical="center"/>
    </xf>
    <xf numFmtId="173" fontId="27" fillId="0" borderId="45" xfId="10" applyNumberFormat="1" applyFont="1" applyFill="1" applyBorder="1" applyAlignment="1">
      <alignment vertical="center"/>
    </xf>
    <xf numFmtId="9" fontId="27" fillId="0" borderId="9" xfId="28" applyFont="1" applyFill="1" applyBorder="1" applyAlignment="1">
      <alignment vertical="center"/>
    </xf>
    <xf numFmtId="173" fontId="27" fillId="0" borderId="66" xfId="10" applyNumberFormat="1" applyFont="1" applyFill="1" applyBorder="1" applyAlignment="1">
      <alignment vertical="center"/>
    </xf>
    <xf numFmtId="9" fontId="27" fillId="0" borderId="2" xfId="28" applyFont="1" applyFill="1" applyBorder="1" applyAlignment="1">
      <alignment vertical="center"/>
    </xf>
    <xf numFmtId="1" fontId="39" fillId="33" borderId="51" xfId="30" applyNumberFormat="1" applyFont="1" applyFill="1" applyBorder="1" applyAlignment="1" applyProtection="1">
      <alignment horizontal="center" vertical="center" wrapText="1"/>
    </xf>
    <xf numFmtId="174" fontId="11" fillId="30" borderId="1" xfId="0" applyNumberFormat="1" applyFont="1" applyFill="1" applyBorder="1" applyAlignment="1">
      <alignment horizontal="center" vertical="center" wrapText="1"/>
    </xf>
    <xf numFmtId="9" fontId="39" fillId="0" borderId="0" xfId="0" applyNumberFormat="1" applyFont="1" applyAlignment="1">
      <alignment vertical="center"/>
    </xf>
    <xf numFmtId="0" fontId="17" fillId="34" borderId="1" xfId="0" applyFont="1" applyFill="1" applyBorder="1" applyAlignment="1">
      <alignment vertical="center"/>
    </xf>
    <xf numFmtId="0" fontId="11" fillId="0" borderId="82" xfId="0" applyFont="1" applyBorder="1" applyAlignment="1">
      <alignment wrapText="1"/>
    </xf>
    <xf numFmtId="0" fontId="11" fillId="0" borderId="86" xfId="0" applyFont="1" applyBorder="1" applyAlignment="1">
      <alignment wrapText="1"/>
    </xf>
    <xf numFmtId="0" fontId="11" fillId="0" borderId="87" xfId="0" applyFont="1" applyBorder="1" applyAlignment="1">
      <alignment wrapText="1"/>
    </xf>
    <xf numFmtId="0" fontId="11" fillId="0" borderId="5" xfId="0" applyFont="1" applyBorder="1" applyAlignment="1">
      <alignment wrapText="1"/>
    </xf>
    <xf numFmtId="0" fontId="11" fillId="0" borderId="85" xfId="0" applyFont="1" applyBorder="1" applyAlignment="1">
      <alignment wrapText="1"/>
    </xf>
    <xf numFmtId="0" fontId="11" fillId="0" borderId="103" xfId="0" applyFont="1" applyBorder="1" applyAlignment="1">
      <alignment wrapText="1"/>
    </xf>
    <xf numFmtId="0" fontId="11" fillId="0" borderId="104" xfId="0" applyFont="1" applyBorder="1" applyAlignment="1">
      <alignment wrapText="1"/>
    </xf>
    <xf numFmtId="0" fontId="11" fillId="0" borderId="90" xfId="0" applyFont="1" applyBorder="1" applyAlignment="1">
      <alignment wrapText="1"/>
    </xf>
    <xf numFmtId="0" fontId="11" fillId="0" borderId="4" xfId="0" applyFont="1" applyBorder="1" applyAlignment="1">
      <alignment wrapText="1"/>
    </xf>
    <xf numFmtId="0" fontId="11" fillId="29" borderId="1" xfId="0" applyFont="1" applyFill="1" applyBorder="1" applyAlignment="1">
      <alignment wrapText="1"/>
    </xf>
    <xf numFmtId="3" fontId="11" fillId="0" borderId="103" xfId="0" applyNumberFormat="1" applyFont="1" applyBorder="1" applyAlignment="1">
      <alignment wrapText="1"/>
    </xf>
    <xf numFmtId="0" fontId="11" fillId="0" borderId="0" xfId="0" applyFont="1" applyAlignment="1">
      <alignment wrapText="1"/>
    </xf>
    <xf numFmtId="0" fontId="11" fillId="0" borderId="105" xfId="0" applyFont="1" applyBorder="1" applyAlignment="1">
      <alignment wrapText="1"/>
    </xf>
    <xf numFmtId="0" fontId="11" fillId="0" borderId="1" xfId="0" applyFont="1" applyBorder="1" applyAlignment="1">
      <alignment wrapText="1"/>
    </xf>
    <xf numFmtId="9" fontId="11" fillId="0" borderId="5" xfId="0" applyNumberFormat="1" applyFont="1" applyBorder="1" applyAlignment="1">
      <alignment wrapText="1"/>
    </xf>
    <xf numFmtId="0" fontId="11" fillId="0" borderId="5" xfId="0" applyFont="1" applyBorder="1" applyAlignment="1">
      <alignment horizontal="center" vertical="center" wrapText="1"/>
    </xf>
    <xf numFmtId="0" fontId="43" fillId="35" borderId="5" xfId="0" applyFont="1" applyFill="1" applyBorder="1" applyAlignment="1">
      <alignment horizontal="center" vertical="center"/>
    </xf>
    <xf numFmtId="0" fontId="11" fillId="35" borderId="5" xfId="0" applyFont="1" applyFill="1" applyBorder="1" applyAlignment="1">
      <alignment horizontal="center" vertical="center" wrapText="1"/>
    </xf>
    <xf numFmtId="0" fontId="43" fillId="0" borderId="5" xfId="0" applyFont="1" applyBorder="1" applyAlignment="1">
      <alignment horizontal="center" vertical="center"/>
    </xf>
    <xf numFmtId="9" fontId="43" fillId="0" borderId="58" xfId="0" applyNumberFormat="1" applyFont="1" applyBorder="1" applyAlignment="1">
      <alignment horizontal="center" vertical="center"/>
    </xf>
    <xf numFmtId="0" fontId="11" fillId="0" borderId="25" xfId="0" applyFont="1" applyBorder="1" applyAlignment="1">
      <alignment horizontal="center" vertical="center" wrapText="1"/>
    </xf>
    <xf numFmtId="0" fontId="43" fillId="35" borderId="25" xfId="0" applyFont="1" applyFill="1" applyBorder="1" applyAlignment="1">
      <alignment horizontal="center" vertical="center"/>
    </xf>
    <xf numFmtId="0" fontId="11" fillId="35" borderId="25" xfId="0" applyFont="1" applyFill="1" applyBorder="1" applyAlignment="1">
      <alignment horizontal="center" vertical="center" wrapText="1"/>
    </xf>
    <xf numFmtId="0" fontId="43" fillId="0" borderId="25" xfId="0" applyFont="1" applyBorder="1" applyAlignment="1">
      <alignment horizontal="center" vertical="center"/>
    </xf>
    <xf numFmtId="0" fontId="11" fillId="0" borderId="4" xfId="0" applyFont="1" applyBorder="1" applyAlignment="1">
      <alignment horizontal="center" vertical="center" wrapText="1"/>
    </xf>
    <xf numFmtId="0" fontId="43" fillId="0" borderId="4" xfId="0" applyFont="1" applyBorder="1" applyAlignment="1">
      <alignment horizontal="center" vertical="center"/>
    </xf>
    <xf numFmtId="0" fontId="43" fillId="0" borderId="35" xfId="0" applyFont="1" applyBorder="1" applyAlignment="1">
      <alignment horizontal="center" vertical="center"/>
    </xf>
    <xf numFmtId="0" fontId="43" fillId="0" borderId="24" xfId="0" applyFont="1" applyBorder="1" applyAlignment="1">
      <alignment horizontal="center" vertical="center"/>
    </xf>
    <xf numFmtId="0" fontId="43" fillId="35" borderId="24" xfId="0" applyFont="1" applyFill="1" applyBorder="1" applyAlignment="1">
      <alignment horizontal="center" vertical="center"/>
    </xf>
    <xf numFmtId="9" fontId="43" fillId="0" borderId="5" xfId="0" applyNumberFormat="1" applyFont="1" applyBorder="1" applyAlignment="1">
      <alignment horizontal="center" vertical="center"/>
    </xf>
    <xf numFmtId="9" fontId="43" fillId="35" borderId="5" xfId="0" applyNumberFormat="1" applyFont="1" applyFill="1" applyBorder="1" applyAlignment="1">
      <alignment horizontal="center" vertical="center"/>
    </xf>
    <xf numFmtId="9" fontId="43" fillId="35" borderId="25" xfId="0" applyNumberFormat="1" applyFont="1" applyFill="1" applyBorder="1" applyAlignment="1">
      <alignment horizontal="center" vertical="center"/>
    </xf>
    <xf numFmtId="10" fontId="11" fillId="0" borderId="58" xfId="0" applyNumberFormat="1" applyFont="1" applyBorder="1" applyAlignment="1">
      <alignment horizontal="center" vertical="center"/>
    </xf>
    <xf numFmtId="10" fontId="11" fillId="0" borderId="2" xfId="0" applyNumberFormat="1" applyFont="1" applyBorder="1" applyAlignment="1">
      <alignment horizontal="center" vertical="center"/>
    </xf>
    <xf numFmtId="0" fontId="39" fillId="0" borderId="2" xfId="0" applyFont="1" applyBorder="1" applyAlignment="1">
      <alignment vertical="center"/>
    </xf>
    <xf numFmtId="0" fontId="39" fillId="0" borderId="58" xfId="0" applyFont="1" applyBorder="1" applyAlignment="1">
      <alignment vertical="center"/>
    </xf>
    <xf numFmtId="0" fontId="39" fillId="0" borderId="3" xfId="0" applyFont="1" applyBorder="1" applyAlignment="1">
      <alignment vertical="center"/>
    </xf>
    <xf numFmtId="0" fontId="39" fillId="0" borderId="25" xfId="0" applyFont="1" applyBorder="1" applyAlignment="1">
      <alignment vertical="center"/>
    </xf>
    <xf numFmtId="0" fontId="43" fillId="33" borderId="86" xfId="0" applyFont="1" applyFill="1" applyBorder="1" applyAlignment="1">
      <alignment horizontal="left" vertical="center" wrapText="1"/>
    </xf>
    <xf numFmtId="0" fontId="43" fillId="33" borderId="85" xfId="0" applyFont="1" applyFill="1" applyBorder="1" applyAlignment="1">
      <alignment horizontal="left" vertical="center" wrapText="1"/>
    </xf>
    <xf numFmtId="0" fontId="43" fillId="36" borderId="82" xfId="0" applyFont="1" applyFill="1" applyBorder="1" applyAlignment="1">
      <alignment vertical="center" wrapText="1"/>
    </xf>
    <xf numFmtId="0" fontId="43" fillId="36" borderId="86" xfId="0" applyFont="1" applyFill="1" applyBorder="1" applyAlignment="1">
      <alignment vertical="center" wrapText="1"/>
    </xf>
    <xf numFmtId="0" fontId="43" fillId="36" borderId="86" xfId="0" applyFont="1" applyFill="1" applyBorder="1" applyAlignment="1">
      <alignment horizontal="left" vertical="center" wrapText="1"/>
    </xf>
    <xf numFmtId="0" fontId="60" fillId="36" borderId="86" xfId="0" applyFont="1" applyFill="1" applyBorder="1" applyAlignment="1">
      <alignment horizontal="left" vertical="center" wrapText="1"/>
    </xf>
    <xf numFmtId="0" fontId="43" fillId="36" borderId="82" xfId="0" applyFont="1" applyFill="1" applyBorder="1" applyAlignment="1">
      <alignment horizontal="left" vertical="center" wrapText="1"/>
    </xf>
    <xf numFmtId="0" fontId="11" fillId="0" borderId="86" xfId="0" applyFont="1" applyBorder="1" applyAlignment="1">
      <alignment vertical="top" wrapText="1"/>
    </xf>
    <xf numFmtId="0" fontId="11" fillId="0" borderId="103" xfId="0" applyFont="1" applyBorder="1" applyAlignment="1">
      <alignment vertical="top" wrapText="1"/>
    </xf>
    <xf numFmtId="0" fontId="65" fillId="0" borderId="1" xfId="0" applyFont="1" applyBorder="1" applyAlignment="1">
      <alignment vertical="top" wrapText="1"/>
    </xf>
    <xf numFmtId="0" fontId="12" fillId="9" borderId="1" xfId="0" applyFont="1" applyFill="1" applyBorder="1" applyAlignment="1">
      <alignment horizontal="center" vertical="center" wrapText="1"/>
    </xf>
    <xf numFmtId="0" fontId="42" fillId="35" borderId="25" xfId="0" applyFont="1" applyFill="1" applyBorder="1" applyAlignment="1">
      <alignment horizontal="center" vertical="center"/>
    </xf>
    <xf numFmtId="0" fontId="39" fillId="37" borderId="82" xfId="28" applyNumberFormat="1" applyFont="1" applyFill="1" applyBorder="1" applyAlignment="1">
      <alignment vertical="center" wrapText="1"/>
    </xf>
    <xf numFmtId="0" fontId="39" fillId="38" borderId="82" xfId="0" applyFont="1" applyFill="1" applyBorder="1" applyAlignment="1">
      <alignment vertical="center" wrapText="1"/>
    </xf>
    <xf numFmtId="2" fontId="11" fillId="0" borderId="8" xfId="0" applyNumberFormat="1" applyFont="1" applyBorder="1" applyAlignment="1">
      <alignment horizontal="justify"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9" fillId="19" borderId="68" xfId="30" applyFont="1" applyFill="1" applyBorder="1" applyAlignment="1" applyProtection="1">
      <alignment horizontal="justify" vertical="center" wrapText="1"/>
    </xf>
    <xf numFmtId="9" fontId="39" fillId="19" borderId="0" xfId="30" applyFont="1" applyFill="1" applyBorder="1" applyAlignment="1" applyProtection="1">
      <alignment horizontal="justify" vertical="center" wrapText="1"/>
    </xf>
    <xf numFmtId="9" fontId="39" fillId="19" borderId="14" xfId="30" applyFont="1" applyFill="1" applyBorder="1" applyAlignment="1" applyProtection="1">
      <alignment horizontal="justify" vertical="center" wrapText="1"/>
    </xf>
    <xf numFmtId="9" fontId="39" fillId="19" borderId="42" xfId="30" applyFont="1" applyFill="1" applyBorder="1" applyAlignment="1" applyProtection="1">
      <alignment horizontal="justify" vertical="center" wrapText="1"/>
    </xf>
    <xf numFmtId="9" fontId="39" fillId="19" borderId="15" xfId="30" applyFont="1" applyFill="1" applyBorder="1" applyAlignment="1" applyProtection="1">
      <alignment horizontal="justify" vertical="center" wrapText="1"/>
    </xf>
    <xf numFmtId="9" fontId="39" fillId="19" borderId="16" xfId="30" applyFont="1" applyFill="1" applyBorder="1" applyAlignment="1" applyProtection="1">
      <alignment horizontal="justify" vertical="center" wrapText="1"/>
    </xf>
    <xf numFmtId="0" fontId="12" fillId="20" borderId="5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9" fontId="39" fillId="19" borderId="24" xfId="30" applyFont="1" applyFill="1" applyBorder="1" applyAlignment="1" applyProtection="1">
      <alignment horizontal="justify" vertical="center" wrapText="1"/>
    </xf>
    <xf numFmtId="9" fontId="39" fillId="19" borderId="43" xfId="30" applyFont="1" applyFill="1" applyBorder="1" applyAlignment="1" applyProtection="1">
      <alignment horizontal="justify" vertical="center" wrapText="1"/>
    </xf>
    <xf numFmtId="0" fontId="11" fillId="19" borderId="93" xfId="0" applyFont="1" applyFill="1" applyBorder="1" applyAlignment="1">
      <alignment horizontal="left" vertical="center" wrapText="1"/>
    </xf>
    <xf numFmtId="0" fontId="11" fillId="19" borderId="94" xfId="0" applyFont="1" applyFill="1" applyBorder="1" applyAlignment="1">
      <alignment horizontal="left"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33" xfId="22" applyFont="1" applyBorder="1" applyAlignment="1">
      <alignment horizontal="center" vertical="center" wrapText="1"/>
    </xf>
    <xf numFmtId="0" fontId="45" fillId="0" borderId="40"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8" fillId="0" borderId="62"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88"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2" fontId="11" fillId="0" borderId="32"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0" fontId="11" fillId="0" borderId="19" xfId="22" applyFont="1" applyBorder="1" applyAlignment="1">
      <alignment horizontal="center" vertical="center" wrapText="1"/>
    </xf>
    <xf numFmtId="9" fontId="39" fillId="0" borderId="22" xfId="22" applyNumberFormat="1" applyFont="1" applyBorder="1" applyAlignment="1">
      <alignment horizontal="justify" vertical="center" wrapText="1"/>
    </xf>
    <xf numFmtId="9" fontId="39" fillId="0" borderId="52"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0" fontId="12" fillId="20" borderId="46"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9" fontId="11" fillId="19" borderId="42"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43" xfId="30" applyFont="1" applyFill="1" applyBorder="1" applyAlignment="1" applyProtection="1">
      <alignment horizontal="left" vertical="center" wrapText="1"/>
    </xf>
    <xf numFmtId="0" fontId="12" fillId="0" borderId="55" xfId="22" applyFont="1" applyBorder="1" applyAlignment="1">
      <alignment horizontal="center" vertical="center" wrapText="1"/>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176" fontId="0" fillId="0" borderId="0" xfId="14" applyNumberFormat="1" applyFont="1" applyAlignment="1">
      <alignment horizontal="left" vertical="center" wrapText="1"/>
    </xf>
    <xf numFmtId="0" fontId="0" fillId="19" borderId="62" xfId="0" applyFill="1" applyBorder="1" applyAlignment="1">
      <alignment horizontal="center" vertical="center"/>
    </xf>
    <xf numFmtId="0" fontId="0" fillId="19" borderId="26" xfId="0" applyFill="1" applyBorder="1" applyAlignment="1">
      <alignment horizontal="center" vertical="center"/>
    </xf>
    <xf numFmtId="0" fontId="11"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8" xfId="22" applyFont="1" applyBorder="1" applyAlignment="1">
      <alignment horizontal="center" vertical="center" wrapText="1"/>
    </xf>
    <xf numFmtId="9" fontId="60" fillId="33" borderId="68" xfId="30" applyFont="1" applyFill="1" applyBorder="1" applyAlignment="1" applyProtection="1">
      <alignment horizontal="left" vertical="center" wrapText="1"/>
    </xf>
    <xf numFmtId="9" fontId="43" fillId="33" borderId="0" xfId="30" applyFont="1" applyFill="1" applyBorder="1" applyAlignment="1" applyProtection="1">
      <alignment horizontal="left" vertical="center" wrapText="1"/>
    </xf>
    <xf numFmtId="9" fontId="43" fillId="33" borderId="24" xfId="30" applyFont="1" applyFill="1" applyBorder="1" applyAlignment="1" applyProtection="1">
      <alignment horizontal="left" vertical="center" wrapText="1"/>
    </xf>
    <xf numFmtId="9" fontId="43" fillId="33" borderId="68" xfId="30" applyFont="1" applyFill="1" applyBorder="1" applyAlignment="1" applyProtection="1">
      <alignment horizontal="left" vertical="center" wrapText="1"/>
    </xf>
    <xf numFmtId="9" fontId="39" fillId="33" borderId="51" xfId="30" applyFont="1" applyFill="1" applyBorder="1" applyAlignment="1" applyProtection="1">
      <alignment horizontal="left" vertical="center" wrapText="1"/>
    </xf>
    <xf numFmtId="9" fontId="39" fillId="33" borderId="22" xfId="30" applyFont="1" applyFill="1" applyBorder="1" applyAlignment="1" applyProtection="1">
      <alignment horizontal="left" vertical="center" wrapText="1"/>
    </xf>
    <xf numFmtId="9" fontId="39" fillId="33" borderId="52" xfId="30" applyFont="1" applyFill="1" applyBorder="1" applyAlignment="1" applyProtection="1">
      <alignment horizontal="left" vertical="center" wrapText="1"/>
    </xf>
    <xf numFmtId="9" fontId="39" fillId="33" borderId="42" xfId="30" applyFont="1" applyFill="1" applyBorder="1" applyAlignment="1" applyProtection="1">
      <alignment horizontal="left" vertical="center" wrapText="1"/>
    </xf>
    <xf numFmtId="9" fontId="39" fillId="33" borderId="15" xfId="30" applyFont="1" applyFill="1" applyBorder="1" applyAlignment="1" applyProtection="1">
      <alignment horizontal="left" vertical="center" wrapText="1"/>
    </xf>
    <xf numFmtId="9" fontId="39" fillId="33" borderId="16" xfId="30" applyFont="1" applyFill="1" applyBorder="1" applyAlignment="1" applyProtection="1">
      <alignment horizontal="left" vertical="center" wrapText="1"/>
    </xf>
    <xf numFmtId="9" fontId="39" fillId="33" borderId="23" xfId="30" applyFont="1" applyFill="1" applyBorder="1" applyAlignment="1" applyProtection="1">
      <alignment horizontal="left" vertical="center" wrapText="1"/>
    </xf>
    <xf numFmtId="9" fontId="39" fillId="33" borderId="43" xfId="30" applyFont="1" applyFill="1" applyBorder="1" applyAlignment="1" applyProtection="1">
      <alignment horizontal="left" vertical="center" wrapText="1"/>
    </xf>
    <xf numFmtId="9" fontId="61" fillId="33" borderId="22" xfId="30" applyFont="1" applyFill="1" applyBorder="1" applyAlignment="1">
      <alignment horizontal="left" vertical="center" wrapText="1"/>
    </xf>
    <xf numFmtId="9" fontId="61" fillId="33" borderId="23" xfId="30" applyFont="1" applyFill="1" applyBorder="1" applyAlignment="1">
      <alignment horizontal="left" vertical="center" wrapText="1"/>
    </xf>
    <xf numFmtId="9" fontId="61" fillId="33" borderId="15" xfId="30" applyFont="1" applyFill="1" applyBorder="1" applyAlignment="1">
      <alignment horizontal="left" vertical="center" wrapText="1"/>
    </xf>
    <xf numFmtId="9" fontId="61" fillId="33" borderId="43" xfId="30" applyFont="1" applyFill="1" applyBorder="1" applyAlignment="1">
      <alignment horizontal="left" vertical="center" wrapText="1"/>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43" fillId="0" borderId="32" xfId="22" applyNumberFormat="1" applyFont="1" applyBorder="1" applyAlignment="1">
      <alignment horizontal="left" vertical="center" wrapText="1"/>
    </xf>
    <xf numFmtId="9" fontId="43" fillId="0" borderId="4" xfId="22" applyNumberFormat="1" applyFont="1" applyBorder="1" applyAlignment="1">
      <alignment horizontal="left" vertical="center" wrapText="1"/>
    </xf>
    <xf numFmtId="9" fontId="43" fillId="0" borderId="34" xfId="22" applyNumberFormat="1" applyFont="1" applyBorder="1" applyAlignment="1">
      <alignment horizontal="left" vertical="center" wrapText="1"/>
    </xf>
    <xf numFmtId="9" fontId="43" fillId="0" borderId="31" xfId="22" applyNumberFormat="1" applyFont="1" applyBorder="1" applyAlignment="1">
      <alignment horizontal="left" vertical="center" wrapText="1"/>
    </xf>
    <xf numFmtId="9" fontId="43" fillId="0" borderId="19" xfId="22" applyNumberFormat="1" applyFont="1" applyBorder="1" applyAlignment="1">
      <alignment horizontal="left" vertical="center" wrapText="1"/>
    </xf>
    <xf numFmtId="9" fontId="43" fillId="0" borderId="33" xfId="22" applyNumberFormat="1" applyFont="1" applyBorder="1" applyAlignment="1">
      <alignment horizontal="left" vertical="center" wrapText="1"/>
    </xf>
    <xf numFmtId="0" fontId="12" fillId="20" borderId="32"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left" vertical="center" wrapText="1"/>
    </xf>
    <xf numFmtId="9" fontId="11" fillId="0" borderId="34" xfId="22" applyNumberFormat="1" applyFont="1" applyBorder="1" applyAlignment="1">
      <alignment horizontal="left" vertical="center" wrapText="1"/>
    </xf>
    <xf numFmtId="9" fontId="11" fillId="0" borderId="8"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2" fontId="11" fillId="0" borderId="32" xfId="0" applyNumberFormat="1" applyFont="1" applyBorder="1" applyAlignment="1">
      <alignment horizontal="left" vertical="center" wrapText="1"/>
    </xf>
    <xf numFmtId="0" fontId="20" fillId="0" borderId="31" xfId="0" applyFont="1" applyBorder="1"/>
    <xf numFmtId="9" fontId="39" fillId="0" borderId="30" xfId="22" applyNumberFormat="1" applyFont="1" applyBorder="1" applyAlignment="1">
      <alignment horizontal="left" vertical="center" wrapText="1"/>
    </xf>
    <xf numFmtId="9" fontId="39" fillId="0" borderId="22" xfId="22" applyNumberFormat="1" applyFont="1" applyBorder="1" applyAlignment="1">
      <alignment horizontal="left" vertical="center" wrapText="1"/>
    </xf>
    <xf numFmtId="9" fontId="39" fillId="0" borderId="52" xfId="22" applyNumberFormat="1" applyFont="1" applyBorder="1" applyAlignment="1">
      <alignment horizontal="left" vertical="center" wrapText="1"/>
    </xf>
    <xf numFmtId="9" fontId="39" fillId="0" borderId="37" xfId="22" applyNumberFormat="1" applyFont="1" applyBorder="1" applyAlignment="1">
      <alignment horizontal="left" vertical="center" wrapText="1"/>
    </xf>
    <xf numFmtId="9" fontId="39" fillId="0" borderId="15" xfId="22" applyNumberFormat="1" applyFont="1" applyBorder="1" applyAlignment="1">
      <alignment horizontal="left" vertical="center" wrapText="1"/>
    </xf>
    <xf numFmtId="9" fontId="39" fillId="0" borderId="16" xfId="22" applyNumberFormat="1" applyFont="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0" borderId="30"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2" xfId="22" applyNumberFormat="1" applyFont="1" applyBorder="1" applyAlignment="1">
      <alignment horizontal="left" vertical="center" wrapText="1"/>
    </xf>
    <xf numFmtId="9" fontId="11" fillId="0" borderId="13"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33" borderId="68" xfId="30" applyFont="1" applyFill="1" applyBorder="1" applyAlignment="1" applyProtection="1">
      <alignment horizontal="left" vertical="center" wrapText="1"/>
    </xf>
    <xf numFmtId="9" fontId="11" fillId="33" borderId="0" xfId="30" applyFont="1" applyFill="1" applyBorder="1" applyAlignment="1" applyProtection="1">
      <alignment horizontal="left" vertical="center" wrapText="1"/>
    </xf>
    <xf numFmtId="9" fontId="11" fillId="33" borderId="14" xfId="30" applyFont="1" applyFill="1" applyBorder="1" applyAlignment="1" applyProtection="1">
      <alignment horizontal="left" vertical="center" wrapText="1"/>
    </xf>
    <xf numFmtId="0" fontId="41" fillId="20" borderId="46" xfId="22" applyFont="1" applyFill="1" applyBorder="1" applyAlignment="1">
      <alignment horizontal="left" vertical="center" wrapText="1"/>
    </xf>
    <xf numFmtId="0" fontId="41" fillId="20" borderId="47" xfId="22" applyFont="1" applyFill="1" applyBorder="1" applyAlignment="1">
      <alignment horizontal="left" vertical="center" wrapText="1"/>
    </xf>
    <xf numFmtId="0" fontId="41" fillId="20" borderId="48" xfId="22" applyFont="1" applyFill="1" applyBorder="1" applyAlignment="1">
      <alignment horizontal="left" vertical="center" wrapText="1"/>
    </xf>
    <xf numFmtId="0" fontId="41" fillId="20" borderId="62" xfId="22" applyFont="1" applyFill="1" applyBorder="1" applyAlignment="1">
      <alignment horizontal="center" vertical="center" wrapText="1"/>
    </xf>
    <xf numFmtId="0" fontId="41" fillId="20" borderId="58" xfId="22" applyFont="1" applyFill="1" applyBorder="1" applyAlignment="1">
      <alignment horizontal="center" vertical="center" wrapText="1"/>
    </xf>
    <xf numFmtId="0" fontId="41" fillId="20" borderId="26"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9" fillId="33" borderId="13" xfId="30" applyFont="1" applyFill="1" applyBorder="1" applyAlignment="1" applyProtection="1">
      <alignment horizontal="left" vertical="center" wrapText="1"/>
    </xf>
    <xf numFmtId="9" fontId="39" fillId="33" borderId="0" xfId="30" applyFont="1" applyFill="1" applyBorder="1" applyAlignment="1" applyProtection="1">
      <alignment horizontal="left" vertical="center" wrapText="1"/>
    </xf>
    <xf numFmtId="9" fontId="39" fillId="33" borderId="24" xfId="30" applyFont="1" applyFill="1" applyBorder="1" applyAlignment="1" applyProtection="1">
      <alignment horizontal="left" vertical="center" wrapText="1"/>
    </xf>
    <xf numFmtId="9" fontId="11" fillId="33" borderId="24" xfId="30" applyFont="1" applyFill="1" applyBorder="1" applyAlignment="1" applyProtection="1">
      <alignment horizontal="left" vertical="center" wrapText="1"/>
    </xf>
    <xf numFmtId="0" fontId="11" fillId="20" borderId="19" xfId="22" applyFont="1" applyFill="1" applyBorder="1" applyAlignment="1">
      <alignment horizontal="center" vertical="center" wrapText="1"/>
    </xf>
    <xf numFmtId="0" fontId="57" fillId="33" borderId="91" xfId="0" applyFont="1" applyFill="1" applyBorder="1" applyAlignment="1">
      <alignment horizontal="left" vertical="center" wrapText="1"/>
    </xf>
    <xf numFmtId="0" fontId="57" fillId="33" borderId="92" xfId="0" applyFont="1" applyFill="1" applyBorder="1" applyAlignment="1">
      <alignment horizontal="left" vertical="center" wrapText="1"/>
    </xf>
    <xf numFmtId="0" fontId="57" fillId="33" borderId="102" xfId="0" applyFont="1" applyFill="1" applyBorder="1" applyAlignment="1">
      <alignment horizontal="left" vertical="center" wrapText="1"/>
    </xf>
    <xf numFmtId="0" fontId="57" fillId="33" borderId="37" xfId="0" applyFont="1" applyFill="1" applyBorder="1" applyAlignment="1">
      <alignment horizontal="left" vertical="center" wrapText="1"/>
    </xf>
    <xf numFmtId="0" fontId="57" fillId="33" borderId="15" xfId="0" applyFont="1" applyFill="1" applyBorder="1" applyAlignment="1">
      <alignment horizontal="left" vertical="center" wrapText="1"/>
    </xf>
    <xf numFmtId="0" fontId="57" fillId="33" borderId="16" xfId="0" applyFont="1" applyFill="1" applyBorder="1" applyAlignment="1">
      <alignment horizontal="left" vertical="center" wrapText="1"/>
    </xf>
    <xf numFmtId="2" fontId="11" fillId="0" borderId="56" xfId="0" applyNumberFormat="1" applyFont="1" applyBorder="1" applyAlignment="1">
      <alignment horizontal="justify" vertical="center" wrapText="1"/>
    </xf>
    <xf numFmtId="9" fontId="11" fillId="0" borderId="44" xfId="22" applyNumberFormat="1" applyFont="1" applyBorder="1" applyAlignment="1">
      <alignment horizontal="center" vertical="center" wrapText="1"/>
    </xf>
    <xf numFmtId="0" fontId="57" fillId="33" borderId="36" xfId="0" applyFont="1" applyFill="1" applyBorder="1" applyAlignment="1">
      <alignment horizontal="left" vertical="center" wrapText="1"/>
    </xf>
    <xf numFmtId="0" fontId="57" fillId="33" borderId="11" xfId="0" applyFont="1" applyFill="1" applyBorder="1" applyAlignment="1">
      <alignment horizontal="left" vertical="center" wrapText="1"/>
    </xf>
    <xf numFmtId="0" fontId="57" fillId="33" borderId="12" xfId="0" applyFont="1" applyFill="1" applyBorder="1" applyAlignment="1">
      <alignment horizontal="left" vertical="center" wrapText="1"/>
    </xf>
    <xf numFmtId="0" fontId="57" fillId="33" borderId="89" xfId="0" applyFont="1" applyFill="1" applyBorder="1" applyAlignment="1">
      <alignment horizontal="left" vertical="center" wrapText="1"/>
    </xf>
    <xf numFmtId="0" fontId="57" fillId="33" borderId="90" xfId="0" applyFont="1" applyFill="1" applyBorder="1" applyAlignment="1">
      <alignment horizontal="left" vertical="center" wrapText="1"/>
    </xf>
    <xf numFmtId="0" fontId="57" fillId="33" borderId="101" xfId="0" applyFont="1" applyFill="1" applyBorder="1" applyAlignment="1">
      <alignment horizontal="left" vertical="center" wrapText="1"/>
    </xf>
    <xf numFmtId="0" fontId="57" fillId="33" borderId="82" xfId="0" applyFont="1" applyFill="1" applyBorder="1" applyAlignment="1">
      <alignment horizontal="left" vertical="center" wrapText="1"/>
    </xf>
    <xf numFmtId="0" fontId="57" fillId="33" borderId="100" xfId="0" applyFont="1" applyFill="1" applyBorder="1" applyAlignment="1">
      <alignment horizontal="left" vertical="center" wrapText="1"/>
    </xf>
    <xf numFmtId="0" fontId="12" fillId="20" borderId="18"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98" xfId="22" applyFont="1" applyFill="1" applyBorder="1" applyAlignment="1">
      <alignment horizontal="center" vertical="center" wrapText="1"/>
    </xf>
    <xf numFmtId="0" fontId="57" fillId="33" borderId="99" xfId="0" applyFont="1" applyFill="1" applyBorder="1" applyAlignment="1">
      <alignment horizontal="left" vertical="center" wrapText="1"/>
    </xf>
    <xf numFmtId="0" fontId="20" fillId="33" borderId="82" xfId="0" applyFont="1" applyFill="1" applyBorder="1" applyAlignment="1">
      <alignment horizontal="left"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9" fontId="60" fillId="33" borderId="30" xfId="22" applyNumberFormat="1" applyFont="1" applyFill="1" applyBorder="1" applyAlignment="1">
      <alignment horizontal="left" vertical="top" wrapText="1"/>
    </xf>
    <xf numFmtId="9" fontId="39" fillId="33" borderId="22" xfId="22" applyNumberFormat="1" applyFont="1" applyFill="1" applyBorder="1" applyAlignment="1">
      <alignment horizontal="left" vertical="top" wrapText="1"/>
    </xf>
    <xf numFmtId="9" fontId="39" fillId="33" borderId="52" xfId="22" applyNumberFormat="1" applyFont="1" applyFill="1" applyBorder="1" applyAlignment="1">
      <alignment horizontal="left" vertical="top" wrapText="1"/>
    </xf>
    <xf numFmtId="9" fontId="39" fillId="33" borderId="37" xfId="22" applyNumberFormat="1" applyFont="1" applyFill="1" applyBorder="1" applyAlignment="1">
      <alignment horizontal="left" vertical="top" wrapText="1"/>
    </xf>
    <xf numFmtId="9" fontId="39" fillId="33" borderId="15" xfId="22" applyNumberFormat="1" applyFont="1" applyFill="1" applyBorder="1" applyAlignment="1">
      <alignment horizontal="left" vertical="top" wrapText="1"/>
    </xf>
    <xf numFmtId="9" fontId="39" fillId="33" borderId="16" xfId="22" applyNumberFormat="1" applyFont="1" applyFill="1" applyBorder="1" applyAlignment="1">
      <alignment horizontal="left" vertical="top" wrapText="1"/>
    </xf>
    <xf numFmtId="9" fontId="60" fillId="33" borderId="36" xfId="22" applyNumberFormat="1" applyFont="1" applyFill="1" applyBorder="1" applyAlignment="1">
      <alignment horizontal="left" vertical="center" wrapText="1"/>
    </xf>
    <xf numFmtId="9" fontId="11" fillId="33" borderId="11" xfId="22" applyNumberFormat="1" applyFont="1" applyFill="1" applyBorder="1" applyAlignment="1">
      <alignment horizontal="left" vertical="center" wrapText="1"/>
    </xf>
    <xf numFmtId="9" fontId="11" fillId="33" borderId="12" xfId="22" applyNumberFormat="1" applyFont="1" applyFill="1" applyBorder="1" applyAlignment="1">
      <alignment horizontal="left" vertical="center" wrapText="1"/>
    </xf>
    <xf numFmtId="9" fontId="11" fillId="33" borderId="6" xfId="22" applyNumberFormat="1" applyFont="1" applyFill="1" applyBorder="1" applyAlignment="1">
      <alignment horizontal="left" vertical="center" wrapText="1"/>
    </xf>
    <xf numFmtId="9" fontId="11" fillId="33" borderId="3" xfId="22" applyNumberFormat="1" applyFont="1" applyFill="1" applyBorder="1" applyAlignment="1">
      <alignment horizontal="left" vertical="center" wrapText="1"/>
    </xf>
    <xf numFmtId="9" fontId="11" fillId="33" borderId="7" xfId="22" applyNumberFormat="1" applyFont="1" applyFill="1" applyBorder="1" applyAlignment="1">
      <alignment horizontal="left" vertical="center" wrapText="1"/>
    </xf>
    <xf numFmtId="9" fontId="43" fillId="33" borderId="36" xfId="22" applyNumberFormat="1" applyFont="1" applyFill="1" applyBorder="1" applyAlignment="1">
      <alignment horizontal="left" vertical="center" wrapText="1"/>
    </xf>
    <xf numFmtId="9" fontId="39" fillId="33" borderId="96" xfId="30" applyFont="1" applyFill="1" applyBorder="1" applyAlignment="1" applyProtection="1">
      <alignment horizontal="left" vertical="center" wrapText="1"/>
    </xf>
    <xf numFmtId="9" fontId="39" fillId="33" borderId="11" xfId="30" applyFont="1" applyFill="1" applyBorder="1" applyAlignment="1" applyProtection="1">
      <alignment horizontal="left" vertical="center" wrapText="1"/>
    </xf>
    <xf numFmtId="9" fontId="39" fillId="33" borderId="12" xfId="30" applyFont="1" applyFill="1" applyBorder="1" applyAlignment="1" applyProtection="1">
      <alignment horizontal="left" vertical="center" wrapText="1"/>
    </xf>
    <xf numFmtId="0" fontId="12" fillId="33" borderId="46" xfId="22" applyFont="1" applyFill="1" applyBorder="1" applyAlignment="1">
      <alignment horizontal="center" vertical="center" wrapText="1"/>
    </xf>
    <xf numFmtId="0" fontId="12" fillId="33" borderId="47" xfId="22" applyFont="1" applyFill="1" applyBorder="1" applyAlignment="1">
      <alignment horizontal="center" vertical="center" wrapText="1"/>
    </xf>
    <xf numFmtId="0" fontId="12" fillId="33" borderId="48" xfId="22" applyFont="1" applyFill="1" applyBorder="1" applyAlignment="1">
      <alignment horizontal="center" vertical="center" wrapText="1"/>
    </xf>
    <xf numFmtId="9" fontId="43" fillId="33" borderId="36" xfId="30" applyFont="1" applyFill="1" applyBorder="1" applyAlignment="1" applyProtection="1">
      <alignment horizontal="left" vertical="center" wrapText="1"/>
    </xf>
    <xf numFmtId="9" fontId="39" fillId="33" borderId="95" xfId="30" applyFont="1" applyFill="1" applyBorder="1" applyAlignment="1" applyProtection="1">
      <alignment horizontal="left" vertical="center" wrapText="1"/>
    </xf>
    <xf numFmtId="9" fontId="39" fillId="33" borderId="37" xfId="30" applyFont="1" applyFill="1" applyBorder="1" applyAlignment="1" applyProtection="1">
      <alignment horizontal="left" vertical="center" wrapText="1"/>
    </xf>
    <xf numFmtId="0" fontId="11" fillId="33" borderId="93" xfId="0" applyFont="1" applyFill="1" applyBorder="1" applyAlignment="1">
      <alignment horizontal="left" vertical="center" wrapText="1"/>
    </xf>
    <xf numFmtId="0" fontId="11" fillId="33" borderId="94" xfId="0" applyFont="1" applyFill="1" applyBorder="1" applyAlignment="1">
      <alignment horizontal="left" vertical="center" wrapText="1"/>
    </xf>
    <xf numFmtId="0" fontId="11" fillId="20" borderId="10" xfId="22" applyFont="1" applyFill="1" applyBorder="1" applyAlignment="1">
      <alignment horizontal="center" vertical="center" wrapText="1"/>
    </xf>
    <xf numFmtId="9" fontId="11" fillId="0" borderId="66" xfId="22" applyNumberFormat="1" applyFont="1" applyBorder="1" applyAlignment="1">
      <alignment horizontal="center" vertical="center" wrapText="1"/>
    </xf>
    <xf numFmtId="9" fontId="57" fillId="33" borderId="11" xfId="22" applyNumberFormat="1" applyFont="1" applyFill="1" applyBorder="1" applyAlignment="1">
      <alignment vertical="center" wrapText="1" readingOrder="1"/>
    </xf>
    <xf numFmtId="9" fontId="39" fillId="33" borderId="11" xfId="22" applyNumberFormat="1" applyFont="1" applyFill="1" applyBorder="1" applyAlignment="1">
      <alignment horizontal="left" vertical="center" wrapText="1"/>
    </xf>
    <xf numFmtId="9" fontId="39" fillId="33" borderId="12" xfId="22" applyNumberFormat="1" applyFont="1" applyFill="1" applyBorder="1" applyAlignment="1">
      <alignment horizontal="left" vertical="center" wrapText="1"/>
    </xf>
    <xf numFmtId="9" fontId="39" fillId="33" borderId="15" xfId="22" applyNumberFormat="1" applyFont="1" applyFill="1" applyBorder="1" applyAlignment="1">
      <alignment horizontal="left" vertical="center" wrapText="1"/>
    </xf>
    <xf numFmtId="9" fontId="39" fillId="33" borderId="16" xfId="22" applyNumberFormat="1" applyFont="1" applyFill="1" applyBorder="1" applyAlignment="1">
      <alignment horizontal="left" vertical="center" wrapText="1"/>
    </xf>
    <xf numFmtId="0" fontId="12" fillId="0" borderId="56" xfId="22" applyFont="1" applyBorder="1" applyAlignment="1">
      <alignment horizontal="justify" vertical="center" wrapText="1"/>
    </xf>
    <xf numFmtId="0" fontId="12" fillId="0" borderId="18" xfId="22" applyFont="1" applyBorder="1" applyAlignment="1">
      <alignment horizontal="justify" vertical="center" wrapText="1"/>
    </xf>
    <xf numFmtId="9" fontId="12" fillId="0" borderId="44" xfId="22" applyNumberFormat="1" applyFont="1" applyBorder="1" applyAlignment="1">
      <alignment horizontal="center" vertical="center" wrapText="1"/>
    </xf>
    <xf numFmtId="0" fontId="12" fillId="0" borderId="10" xfId="22" applyFont="1" applyBorder="1" applyAlignment="1">
      <alignment horizontal="center" vertical="center" wrapText="1"/>
    </xf>
    <xf numFmtId="9" fontId="43" fillId="33" borderId="0" xfId="30" applyFont="1" applyFill="1" applyBorder="1" applyAlignment="1" applyProtection="1">
      <alignment vertical="center" wrapText="1" readingOrder="1"/>
    </xf>
    <xf numFmtId="9" fontId="39" fillId="33" borderId="0" xfId="30" applyFont="1" applyFill="1" applyBorder="1" applyAlignment="1" applyProtection="1">
      <alignment horizontal="justify" vertical="center" wrapText="1"/>
    </xf>
    <xf numFmtId="9" fontId="39" fillId="33" borderId="24" xfId="30" applyFont="1" applyFill="1" applyBorder="1" applyAlignment="1" applyProtection="1">
      <alignment horizontal="justify" vertical="center" wrapText="1"/>
    </xf>
    <xf numFmtId="0" fontId="43" fillId="33" borderId="93" xfId="0" applyFont="1" applyFill="1" applyBorder="1" applyAlignment="1">
      <alignment vertical="center" wrapText="1" readingOrder="1"/>
    </xf>
    <xf numFmtId="0" fontId="11" fillId="33" borderId="93" xfId="0" applyFont="1" applyFill="1" applyBorder="1" applyAlignment="1">
      <alignment vertical="center" wrapText="1"/>
    </xf>
    <xf numFmtId="0" fontId="11" fillId="33" borderId="83" xfId="0" applyFont="1" applyFill="1" applyBorder="1" applyAlignment="1">
      <alignment vertical="center" wrapText="1"/>
    </xf>
    <xf numFmtId="2" fontId="12" fillId="20" borderId="44" xfId="22" applyNumberFormat="1" applyFont="1" applyFill="1" applyBorder="1" applyAlignment="1">
      <alignment horizontal="center" vertical="center" wrapText="1"/>
    </xf>
    <xf numFmtId="0" fontId="12" fillId="20" borderId="33" xfId="22" applyFont="1" applyFill="1" applyBorder="1" applyAlignment="1">
      <alignment horizontal="center" vertical="center" wrapText="1"/>
    </xf>
    <xf numFmtId="9" fontId="43" fillId="33" borderId="96" xfId="30" applyFont="1" applyFill="1" applyBorder="1" applyAlignment="1" applyProtection="1">
      <alignment vertical="center" wrapText="1" readingOrder="1"/>
    </xf>
    <xf numFmtId="9" fontId="43" fillId="33" borderId="91" xfId="22" applyNumberFormat="1" applyFont="1" applyFill="1" applyBorder="1" applyAlignment="1">
      <alignment vertical="center" wrapText="1" readingOrder="1"/>
    </xf>
    <xf numFmtId="9" fontId="39" fillId="33" borderId="92" xfId="22" applyNumberFormat="1" applyFont="1" applyFill="1" applyBorder="1" applyAlignment="1">
      <alignment horizontal="justify" vertical="center" wrapText="1"/>
    </xf>
    <xf numFmtId="9" fontId="39" fillId="33" borderId="102" xfId="22" applyNumberFormat="1" applyFont="1" applyFill="1" applyBorder="1" applyAlignment="1">
      <alignment horizontal="justify" vertical="center" wrapText="1"/>
    </xf>
    <xf numFmtId="9" fontId="39" fillId="33" borderId="37" xfId="22" applyNumberFormat="1" applyFont="1" applyFill="1" applyBorder="1" applyAlignment="1">
      <alignment horizontal="justify" vertical="center" wrapText="1"/>
    </xf>
    <xf numFmtId="9" fontId="39" fillId="33" borderId="15" xfId="22" applyNumberFormat="1" applyFont="1" applyFill="1" applyBorder="1" applyAlignment="1">
      <alignment horizontal="justify" vertical="center" wrapText="1"/>
    </xf>
    <xf numFmtId="9" fontId="39" fillId="33" borderId="16" xfId="22" applyNumberFormat="1" applyFont="1" applyFill="1" applyBorder="1" applyAlignment="1">
      <alignment horizontal="justify" vertical="center" wrapText="1"/>
    </xf>
    <xf numFmtId="2" fontId="11" fillId="0" borderId="46" xfId="0" applyNumberFormat="1" applyFont="1" applyBorder="1" applyAlignment="1">
      <alignment horizontal="justify" vertical="center" wrapText="1"/>
    </xf>
    <xf numFmtId="0" fontId="20" fillId="0" borderId="62" xfId="0" applyFont="1" applyBorder="1" applyAlignment="1">
      <alignment horizontal="justify" vertical="center" wrapText="1"/>
    </xf>
    <xf numFmtId="9" fontId="11" fillId="0" borderId="56" xfId="22" applyNumberFormat="1" applyFont="1" applyBorder="1" applyAlignment="1">
      <alignment horizontal="center" vertical="center" wrapText="1"/>
    </xf>
    <xf numFmtId="0" fontId="11" fillId="0" borderId="8" xfId="22" applyFont="1" applyBorder="1" applyAlignment="1">
      <alignment horizontal="center" vertical="center" wrapText="1"/>
    </xf>
    <xf numFmtId="9" fontId="43" fillId="33" borderId="30" xfId="22" applyNumberFormat="1" applyFont="1" applyFill="1" applyBorder="1" applyAlignment="1">
      <alignment horizontal="left" vertical="center" wrapText="1"/>
    </xf>
    <xf numFmtId="9" fontId="39" fillId="33" borderId="22" xfId="22" applyNumberFormat="1" applyFont="1" applyFill="1" applyBorder="1" applyAlignment="1">
      <alignment horizontal="left" vertical="center" wrapText="1"/>
    </xf>
    <xf numFmtId="9" fontId="39" fillId="33" borderId="52" xfId="22" applyNumberFormat="1" applyFont="1" applyFill="1" applyBorder="1" applyAlignment="1">
      <alignment horizontal="left" vertical="center" wrapText="1"/>
    </xf>
    <xf numFmtId="9" fontId="39" fillId="33" borderId="89" xfId="22" applyNumberFormat="1" applyFont="1" applyFill="1" applyBorder="1" applyAlignment="1">
      <alignment horizontal="left" vertical="center" wrapText="1"/>
    </xf>
    <xf numFmtId="9" fontId="39" fillId="33" borderId="90" xfId="22" applyNumberFormat="1" applyFont="1" applyFill="1" applyBorder="1" applyAlignment="1">
      <alignment horizontal="left" vertical="center" wrapText="1"/>
    </xf>
    <xf numFmtId="9" fontId="39" fillId="33" borderId="101" xfId="22" applyNumberFormat="1" applyFont="1" applyFill="1" applyBorder="1" applyAlignment="1">
      <alignment horizontal="left" vertical="center" wrapText="1"/>
    </xf>
    <xf numFmtId="2" fontId="11" fillId="0" borderId="62" xfId="0" applyNumberFormat="1" applyFont="1" applyBorder="1" applyAlignment="1">
      <alignment horizontal="justify" vertical="center" wrapText="1"/>
    </xf>
    <xf numFmtId="9" fontId="11" fillId="0" borderId="8" xfId="22" applyNumberFormat="1" applyFont="1" applyBorder="1" applyAlignment="1">
      <alignment horizontal="center" vertical="center" wrapText="1"/>
    </xf>
    <xf numFmtId="9" fontId="11" fillId="0" borderId="32" xfId="22" applyNumberFormat="1" applyFont="1" applyBorder="1" applyAlignment="1">
      <alignment horizontal="center" vertical="center" wrapText="1"/>
    </xf>
    <xf numFmtId="0" fontId="11" fillId="0" borderId="31" xfId="22" applyFont="1" applyBorder="1" applyAlignment="1">
      <alignment horizontal="center" vertical="center" wrapText="1"/>
    </xf>
    <xf numFmtId="9" fontId="43" fillId="33" borderId="96" xfId="30" applyFont="1" applyFill="1" applyBorder="1" applyAlignment="1" applyProtection="1">
      <alignment horizontal="left" vertical="center" wrapText="1"/>
    </xf>
    <xf numFmtId="9" fontId="43" fillId="33" borderId="5" xfId="30" applyFont="1" applyFill="1" applyBorder="1" applyAlignment="1" applyProtection="1">
      <alignment horizontal="left" vertical="center" wrapText="1"/>
    </xf>
    <xf numFmtId="9" fontId="39" fillId="33" borderId="1" xfId="30" applyFont="1" applyFill="1" applyBorder="1" applyAlignment="1" applyProtection="1">
      <alignment horizontal="left" vertical="center" wrapText="1"/>
    </xf>
    <xf numFmtId="9" fontId="39" fillId="33" borderId="40" xfId="30" applyFont="1" applyFill="1" applyBorder="1" applyAlignment="1" applyProtection="1">
      <alignment horizontal="left" vertical="center" wrapText="1"/>
    </xf>
    <xf numFmtId="9" fontId="39" fillId="33" borderId="19" xfId="30" applyFont="1" applyFill="1" applyBorder="1" applyAlignment="1" applyProtection="1">
      <alignment horizontal="left" vertical="center" wrapText="1"/>
    </xf>
    <xf numFmtId="9" fontId="11" fillId="33" borderId="30" xfId="22" applyNumberFormat="1" applyFont="1" applyFill="1" applyBorder="1" applyAlignment="1">
      <alignment horizontal="left" vertical="center" wrapText="1"/>
    </xf>
    <xf numFmtId="9" fontId="11" fillId="33" borderId="22" xfId="22" applyNumberFormat="1" applyFont="1" applyFill="1" applyBorder="1" applyAlignment="1">
      <alignment horizontal="left" vertical="center" wrapText="1"/>
    </xf>
    <xf numFmtId="9" fontId="11" fillId="33" borderId="52" xfId="22" applyNumberFormat="1" applyFont="1" applyFill="1" applyBorder="1" applyAlignment="1">
      <alignment horizontal="left" vertical="center" wrapText="1"/>
    </xf>
    <xf numFmtId="9" fontId="11" fillId="33" borderId="37" xfId="22" applyNumberFormat="1" applyFont="1" applyFill="1" applyBorder="1" applyAlignment="1">
      <alignment horizontal="left" vertical="center" wrapText="1"/>
    </xf>
    <xf numFmtId="9" fontId="11" fillId="33" borderId="15" xfId="22" applyNumberFormat="1" applyFont="1" applyFill="1" applyBorder="1" applyAlignment="1">
      <alignment horizontal="left" vertical="center" wrapText="1"/>
    </xf>
    <xf numFmtId="9" fontId="11" fillId="33" borderId="16" xfId="22" applyNumberFormat="1" applyFont="1" applyFill="1" applyBorder="1" applyAlignment="1">
      <alignment horizontal="left" vertical="center" wrapText="1"/>
    </xf>
    <xf numFmtId="0" fontId="12" fillId="20" borderId="22"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2" fontId="11" fillId="0" borderId="56" xfId="0" applyNumberFormat="1" applyFont="1" applyBorder="1" applyAlignment="1">
      <alignment horizontal="left" vertical="center" wrapText="1"/>
    </xf>
    <xf numFmtId="0" fontId="20" fillId="0" borderId="8" xfId="0" applyFont="1" applyBorder="1" applyAlignment="1">
      <alignment vertical="center"/>
    </xf>
    <xf numFmtId="9" fontId="11" fillId="33" borderId="36" xfId="22" applyNumberFormat="1" applyFont="1" applyFill="1" applyBorder="1" applyAlignment="1">
      <alignment horizontal="left" vertical="center" wrapText="1"/>
    </xf>
    <xf numFmtId="9" fontId="39" fillId="37" borderId="51" xfId="30" applyFont="1" applyFill="1" applyBorder="1" applyAlignment="1" applyProtection="1">
      <alignment horizontal="left" vertical="center" wrapText="1"/>
    </xf>
    <xf numFmtId="9" fontId="39" fillId="37" borderId="22" xfId="30" applyFont="1" applyFill="1" applyBorder="1" applyAlignment="1" applyProtection="1">
      <alignment horizontal="left" vertical="center" wrapText="1"/>
    </xf>
    <xf numFmtId="9" fontId="39" fillId="37" borderId="23" xfId="30" applyFont="1" applyFill="1" applyBorder="1" applyAlignment="1" applyProtection="1">
      <alignment horizontal="left" vertical="center" wrapText="1"/>
    </xf>
    <xf numFmtId="9" fontId="39" fillId="37" borderId="42" xfId="30" applyFont="1" applyFill="1" applyBorder="1" applyAlignment="1" applyProtection="1">
      <alignment horizontal="left" vertical="center" wrapText="1"/>
    </xf>
    <xf numFmtId="9" fontId="39" fillId="37" borderId="15" xfId="30" applyFont="1" applyFill="1" applyBorder="1" applyAlignment="1" applyProtection="1">
      <alignment horizontal="left" vertical="center" wrapText="1"/>
    </xf>
    <xf numFmtId="9" fontId="39" fillId="37" borderId="43" xfId="30" applyFont="1" applyFill="1" applyBorder="1" applyAlignment="1" applyProtection="1">
      <alignment horizontal="left" vertical="center" wrapText="1"/>
    </xf>
    <xf numFmtId="9" fontId="39" fillId="33" borderId="1" xfId="30" applyFont="1" applyFill="1" applyBorder="1" applyAlignment="1" applyProtection="1">
      <alignment horizontal="justify" vertical="center" wrapText="1"/>
    </xf>
    <xf numFmtId="9" fontId="39" fillId="33" borderId="9" xfId="30" applyFont="1" applyFill="1" applyBorder="1" applyAlignment="1" applyProtection="1">
      <alignment horizontal="justify" vertical="center" wrapText="1"/>
    </xf>
    <xf numFmtId="9" fontId="39" fillId="33" borderId="19" xfId="30" applyFont="1" applyFill="1" applyBorder="1" applyAlignment="1" applyProtection="1">
      <alignment horizontal="justify" vertical="center" wrapText="1"/>
    </xf>
    <xf numFmtId="9" fontId="39" fillId="33" borderId="33" xfId="30" applyFont="1" applyFill="1" applyBorder="1" applyAlignment="1" applyProtection="1">
      <alignment horizontal="justify"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9" fontId="40" fillId="0" borderId="51"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0" fontId="12" fillId="0" borderId="41"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2"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68"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1"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2" xfId="22" applyNumberFormat="1" applyFont="1" applyBorder="1" applyAlignment="1">
      <alignment horizontal="left" vertical="center" wrapText="1"/>
    </xf>
    <xf numFmtId="9" fontId="40" fillId="0" borderId="68"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3" xfId="0" applyFont="1" applyBorder="1" applyAlignment="1">
      <alignment horizontal="center" vertical="center"/>
    </xf>
    <xf numFmtId="0" fontId="44"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4" fillId="0" borderId="36" xfId="0" applyFont="1" applyBorder="1" applyAlignment="1">
      <alignment horizontal="center" vertical="center"/>
    </xf>
    <xf numFmtId="9" fontId="40" fillId="0" borderId="5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1" fillId="29" borderId="58" xfId="0" applyFont="1" applyFill="1" applyBorder="1" applyAlignment="1">
      <alignment wrapText="1"/>
    </xf>
    <xf numFmtId="0" fontId="11" fillId="29" borderId="108" xfId="0" applyFont="1" applyFill="1" applyBorder="1" applyAlignment="1">
      <alignment wrapText="1"/>
    </xf>
    <xf numFmtId="0" fontId="12" fillId="29" borderId="58" xfId="0" applyFont="1" applyFill="1" applyBorder="1" applyAlignment="1">
      <alignment wrapText="1"/>
    </xf>
    <xf numFmtId="0" fontId="12" fillId="29" borderId="108" xfId="0" applyFont="1" applyFill="1" applyBorder="1" applyAlignment="1">
      <alignment wrapText="1"/>
    </xf>
    <xf numFmtId="0" fontId="12" fillId="32" borderId="51" xfId="0" applyFont="1" applyFill="1" applyBorder="1" applyAlignment="1">
      <alignment wrapText="1"/>
    </xf>
    <xf numFmtId="0" fontId="12" fillId="32" borderId="22" xfId="0" applyFont="1" applyFill="1" applyBorder="1" applyAlignment="1">
      <alignment wrapText="1"/>
    </xf>
    <xf numFmtId="0" fontId="12" fillId="32" borderId="106" xfId="0" applyFont="1" applyFill="1" applyBorder="1" applyAlignment="1">
      <alignment wrapText="1"/>
    </xf>
    <xf numFmtId="0" fontId="12" fillId="32" borderId="68" xfId="0" applyFont="1" applyFill="1" applyBorder="1" applyAlignment="1">
      <alignment wrapText="1"/>
    </xf>
    <xf numFmtId="0" fontId="12" fillId="32" borderId="0" xfId="0" applyFont="1" applyFill="1" applyAlignment="1">
      <alignment wrapText="1"/>
    </xf>
    <xf numFmtId="0" fontId="12" fillId="32" borderId="104" xfId="0" applyFont="1" applyFill="1" applyBorder="1" applyAlignment="1">
      <alignment wrapText="1"/>
    </xf>
    <xf numFmtId="0" fontId="12" fillId="32" borderId="107" xfId="0" applyFont="1" applyFill="1" applyBorder="1" applyAlignment="1">
      <alignment wrapText="1"/>
    </xf>
    <xf numFmtId="0" fontId="12" fillId="32" borderId="90" xfId="0" applyFont="1" applyFill="1" applyBorder="1" applyAlignment="1">
      <alignment wrapText="1"/>
    </xf>
    <xf numFmtId="0" fontId="12" fillId="32" borderId="103" xfId="0" applyFont="1" applyFill="1" applyBorder="1" applyAlignment="1">
      <alignment wrapText="1"/>
    </xf>
    <xf numFmtId="0" fontId="42" fillId="32" borderId="51" xfId="0" applyFont="1" applyFill="1" applyBorder="1" applyAlignment="1">
      <alignment wrapText="1"/>
    </xf>
    <xf numFmtId="0" fontId="42" fillId="32" borderId="22" xfId="0" applyFont="1" applyFill="1" applyBorder="1" applyAlignment="1">
      <alignment wrapText="1"/>
    </xf>
    <xf numFmtId="0" fontId="42" fillId="32" borderId="106" xfId="0" applyFont="1" applyFill="1" applyBorder="1" applyAlignment="1">
      <alignment wrapText="1"/>
    </xf>
    <xf numFmtId="0" fontId="42" fillId="32" borderId="68" xfId="0" applyFont="1" applyFill="1" applyBorder="1" applyAlignment="1">
      <alignment wrapText="1"/>
    </xf>
    <xf numFmtId="0" fontId="42" fillId="32" borderId="0" xfId="0" applyFont="1" applyFill="1" applyAlignment="1">
      <alignment wrapText="1"/>
    </xf>
    <xf numFmtId="0" fontId="42" fillId="32" borderId="104" xfId="0" applyFont="1" applyFill="1" applyBorder="1" applyAlignment="1">
      <alignment wrapText="1"/>
    </xf>
    <xf numFmtId="0" fontId="42" fillId="32" borderId="107" xfId="0" applyFont="1" applyFill="1" applyBorder="1" applyAlignment="1">
      <alignment wrapText="1"/>
    </xf>
    <xf numFmtId="0" fontId="42" fillId="32" borderId="90" xfId="0" applyFont="1" applyFill="1" applyBorder="1" applyAlignment="1">
      <alignment wrapText="1"/>
    </xf>
    <xf numFmtId="0" fontId="42" fillId="32" borderId="103" xfId="0" applyFont="1" applyFill="1" applyBorder="1" applyAlignment="1">
      <alignment wrapText="1"/>
    </xf>
    <xf numFmtId="0" fontId="41" fillId="9" borderId="2" xfId="0" applyFont="1" applyFill="1" applyBorder="1" applyAlignment="1">
      <alignment horizontal="center" vertical="center"/>
    </xf>
    <xf numFmtId="0" fontId="41" fillId="9" borderId="58" xfId="0" applyFont="1" applyFill="1" applyBorder="1" applyAlignment="1">
      <alignment horizontal="center" vertical="center"/>
    </xf>
    <xf numFmtId="0" fontId="41" fillId="9" borderId="5" xfId="0" applyFont="1" applyFill="1" applyBorder="1" applyAlignment="1">
      <alignment horizontal="center" vertical="center"/>
    </xf>
    <xf numFmtId="0" fontId="43" fillId="0" borderId="2" xfId="0" applyFont="1" applyBorder="1" applyAlignment="1">
      <alignment horizontal="left" vertical="center"/>
    </xf>
    <xf numFmtId="0" fontId="43" fillId="0" borderId="58" xfId="0" applyFont="1" applyBorder="1" applyAlignment="1">
      <alignment horizontal="left" vertical="center"/>
    </xf>
    <xf numFmtId="0" fontId="43" fillId="0" borderId="5" xfId="0" applyFont="1" applyBorder="1" applyAlignment="1">
      <alignment horizontal="left"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51"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8"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5" xfId="0" applyFont="1" applyFill="1" applyBorder="1" applyAlignment="1">
      <alignment horizontal="left"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41" fillId="0" borderId="51"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41" fontId="39" fillId="0" borderId="51" xfId="12" applyFont="1" applyFill="1" applyBorder="1" applyAlignment="1">
      <alignment horizontal="left" vertical="center"/>
    </xf>
    <xf numFmtId="41" fontId="39" fillId="0" borderId="68" xfId="12" applyFont="1" applyFill="1" applyBorder="1" applyAlignment="1">
      <alignment horizontal="left" vertical="center"/>
    </xf>
    <xf numFmtId="41" fontId="39" fillId="0" borderId="20" xfId="12"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F85F54-ADD0-5049-A36A-B4C8C7F7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48F0D7-EB6F-5C4E-97CE-50459CE3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customProperty" Target="../customProperty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4.bin"/><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BA72"/>
  <sheetViews>
    <sheetView showGridLines="0" topLeftCell="S29" zoomScale="138" zoomScaleNormal="60" workbookViewId="0">
      <selection activeCell="T33" sqref="T33:Z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8</v>
      </c>
      <c r="D7" s="527" t="s">
        <v>9</v>
      </c>
      <c r="E7" s="545"/>
      <c r="F7" s="545"/>
      <c r="G7" s="545"/>
      <c r="H7" s="528"/>
      <c r="I7" s="548">
        <v>45020</v>
      </c>
      <c r="J7" s="549"/>
      <c r="K7" s="527" t="s">
        <v>10</v>
      </c>
      <c r="L7" s="528"/>
      <c r="M7" s="554" t="s">
        <v>11</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12</v>
      </c>
      <c r="N8" s="581"/>
      <c r="O8" s="582"/>
      <c r="P8" s="583"/>
      <c r="Q8" s="54"/>
      <c r="R8" s="54"/>
      <c r="S8" s="54"/>
      <c r="T8" s="54"/>
      <c r="U8" s="54"/>
      <c r="V8" s="54"/>
      <c r="W8" s="54"/>
      <c r="X8" s="54"/>
      <c r="Y8" s="54"/>
      <c r="Z8" s="55"/>
      <c r="AA8" s="54"/>
      <c r="AB8" s="54"/>
      <c r="AC8" s="60"/>
      <c r="AD8" s="61"/>
    </row>
    <row r="9" spans="1:53" ht="15.75" customHeight="1" thickBot="1" x14ac:dyDescent="0.3">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9"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BA16" s="309"/>
    </row>
    <row r="17" spans="1:53" s="76" customFormat="1" ht="37.5" customHeight="1" thickBot="1" x14ac:dyDescent="0.3">
      <c r="A17" s="512" t="s">
        <v>23</v>
      </c>
      <c r="B17" s="513"/>
      <c r="C17" s="514" t="s">
        <v>24</v>
      </c>
      <c r="D17" s="515"/>
      <c r="E17" s="515"/>
      <c r="F17" s="515"/>
      <c r="G17" s="515"/>
      <c r="H17" s="515"/>
      <c r="I17" s="515"/>
      <c r="J17" s="515"/>
      <c r="K17" s="515"/>
      <c r="L17" s="515"/>
      <c r="M17" s="515"/>
      <c r="N17" s="515"/>
      <c r="O17" s="515"/>
      <c r="P17" s="515"/>
      <c r="Q17" s="516"/>
      <c r="R17" s="501" t="s">
        <v>25</v>
      </c>
      <c r="S17" s="502"/>
      <c r="T17" s="502"/>
      <c r="U17" s="502"/>
      <c r="V17" s="503"/>
      <c r="W17" s="517">
        <v>1</v>
      </c>
      <c r="X17" s="518"/>
      <c r="Y17" s="502" t="s">
        <v>26</v>
      </c>
      <c r="Z17" s="502"/>
      <c r="AA17" s="502"/>
      <c r="AB17" s="503"/>
      <c r="AC17" s="519">
        <v>0.1</v>
      </c>
      <c r="AD17" s="520"/>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59"/>
      <c r="B21" s="54"/>
      <c r="C21" s="157" t="s">
        <v>30</v>
      </c>
      <c r="D21" s="158" t="s">
        <v>31</v>
      </c>
      <c r="E21" s="158" t="s">
        <v>8</v>
      </c>
      <c r="F21" s="158" t="s">
        <v>32</v>
      </c>
      <c r="G21" s="158" t="s">
        <v>33</v>
      </c>
      <c r="H21" s="158" t="s">
        <v>34</v>
      </c>
      <c r="I21" s="158" t="s">
        <v>35</v>
      </c>
      <c r="J21" s="158" t="s">
        <v>36</v>
      </c>
      <c r="K21" s="158" t="s">
        <v>37</v>
      </c>
      <c r="L21" s="158" t="s">
        <v>38</v>
      </c>
      <c r="M21" s="158" t="s">
        <v>39</v>
      </c>
      <c r="N21" s="158" t="s">
        <v>40</v>
      </c>
      <c r="O21" s="158" t="s">
        <v>41</v>
      </c>
      <c r="P21" s="159" t="s">
        <v>42</v>
      </c>
      <c r="Q21" s="157" t="s">
        <v>30</v>
      </c>
      <c r="R21" s="158" t="s">
        <v>31</v>
      </c>
      <c r="S21" s="158" t="s">
        <v>8</v>
      </c>
      <c r="T21" s="158" t="s">
        <v>32</v>
      </c>
      <c r="U21" s="158" t="s">
        <v>33</v>
      </c>
      <c r="V21" s="158" t="s">
        <v>34</v>
      </c>
      <c r="W21" s="158" t="s">
        <v>35</v>
      </c>
      <c r="X21" s="158" t="s">
        <v>36</v>
      </c>
      <c r="Y21" s="158" t="s">
        <v>37</v>
      </c>
      <c r="Z21" s="158" t="s">
        <v>38</v>
      </c>
      <c r="AA21" s="158" t="s">
        <v>39</v>
      </c>
      <c r="AB21" s="158" t="s">
        <v>40</v>
      </c>
      <c r="AC21" s="158" t="s">
        <v>41</v>
      </c>
      <c r="AD21" s="159" t="s">
        <v>42</v>
      </c>
      <c r="AE21" s="3"/>
      <c r="AF21" s="3"/>
      <c r="BA21" s="309"/>
    </row>
    <row r="22" spans="1:53" ht="32.1" customHeight="1" x14ac:dyDescent="0.25">
      <c r="A22" s="452" t="s">
        <v>43</v>
      </c>
      <c r="B22" s="454"/>
      <c r="C22" s="178"/>
      <c r="D22" s="176"/>
      <c r="E22" s="176"/>
      <c r="F22" s="176"/>
      <c r="G22" s="176"/>
      <c r="H22" s="176"/>
      <c r="I22" s="176"/>
      <c r="J22" s="176"/>
      <c r="K22" s="176"/>
      <c r="L22" s="176"/>
      <c r="M22" s="176"/>
      <c r="N22" s="176"/>
      <c r="O22" s="176">
        <f>SUM(C22:N22)</f>
        <v>0</v>
      </c>
      <c r="P22" s="179"/>
      <c r="Q22" s="178">
        <v>367342350</v>
      </c>
      <c r="R22" s="176"/>
      <c r="S22" s="176"/>
      <c r="T22" s="176">
        <v>21559511</v>
      </c>
      <c r="U22" s="176"/>
      <c r="V22" s="176">
        <f>2139478+34249272</f>
        <v>36388750</v>
      </c>
      <c r="W22" s="176"/>
      <c r="X22" s="176"/>
      <c r="Y22" s="176"/>
      <c r="Z22" s="176"/>
      <c r="AA22" s="176"/>
      <c r="AB22" s="176"/>
      <c r="AC22" s="176">
        <f>SUM(Q22:AB22)</f>
        <v>425290611</v>
      </c>
      <c r="AD22" s="183"/>
      <c r="AE22" s="3"/>
      <c r="AF22" s="3"/>
    </row>
    <row r="23" spans="1:53" ht="32.1" customHeight="1" x14ac:dyDescent="0.25">
      <c r="A23" s="453" t="s">
        <v>44</v>
      </c>
      <c r="B23" s="455"/>
      <c r="C23" s="174"/>
      <c r="D23" s="173"/>
      <c r="E23" s="173"/>
      <c r="F23" s="173"/>
      <c r="G23" s="173"/>
      <c r="H23" s="173"/>
      <c r="I23" s="173"/>
      <c r="J23" s="173"/>
      <c r="K23" s="173"/>
      <c r="L23" s="173"/>
      <c r="M23" s="173"/>
      <c r="N23" s="173"/>
      <c r="O23" s="173">
        <f>SUM(C23:N23)</f>
        <v>0</v>
      </c>
      <c r="P23" s="191" t="str">
        <f>IFERROR(O23/(SUMIF(C23:N23,"&gt;0",C22:N22))," ")</f>
        <v xml:space="preserve"> </v>
      </c>
      <c r="Q23" s="178">
        <v>131719000</v>
      </c>
      <c r="R23" s="178">
        <v>160636483</v>
      </c>
      <c r="S23" s="178">
        <v>24103734</v>
      </c>
      <c r="T23" s="173"/>
      <c r="U23" s="173"/>
      <c r="V23" s="173"/>
      <c r="W23" s="173"/>
      <c r="X23" s="173"/>
      <c r="Y23" s="173"/>
      <c r="Z23" s="173"/>
      <c r="AA23" s="173"/>
      <c r="AB23" s="173"/>
      <c r="AC23" s="173">
        <f>SUM(Q23:AB23)</f>
        <v>316459217</v>
      </c>
      <c r="AD23" s="181">
        <f>+AC23/AC22</f>
        <v>0.74410111301516602</v>
      </c>
      <c r="AE23" s="3"/>
      <c r="AF23" s="3"/>
    </row>
    <row r="24" spans="1:53" ht="32.1" customHeight="1" x14ac:dyDescent="0.25">
      <c r="A24" s="453" t="s">
        <v>45</v>
      </c>
      <c r="B24" s="455"/>
      <c r="C24" s="174">
        <v>19304536</v>
      </c>
      <c r="D24" s="173">
        <f>1166667+432600+475860+4505046</f>
        <v>6580173</v>
      </c>
      <c r="E24" s="173"/>
      <c r="F24" s="173"/>
      <c r="G24" s="173"/>
      <c r="H24" s="173"/>
      <c r="I24" s="173"/>
      <c r="J24" s="173"/>
      <c r="K24" s="173"/>
      <c r="L24" s="173"/>
      <c r="M24" s="173"/>
      <c r="N24" s="173"/>
      <c r="O24" s="206">
        <f>SUM(C24:N24)</f>
        <v>25884709</v>
      </c>
      <c r="P24" s="177"/>
      <c r="Q24" s="174"/>
      <c r="R24" s="173">
        <v>15581050</v>
      </c>
      <c r="S24" s="173">
        <v>31978300</v>
      </c>
      <c r="T24" s="173">
        <v>31978300</v>
      </c>
      <c r="U24" s="173">
        <f>31978300+21559511</f>
        <v>53537811</v>
      </c>
      <c r="V24" s="173">
        <v>31978300</v>
      </c>
      <c r="W24" s="173">
        <f>31978300+2139478+11416424</f>
        <v>45534202</v>
      </c>
      <c r="X24" s="173">
        <v>31978300</v>
      </c>
      <c r="Y24" s="173">
        <f>31978300+11416424</f>
        <v>43394724</v>
      </c>
      <c r="Z24" s="173">
        <v>31978300</v>
      </c>
      <c r="AA24" s="173">
        <f>31978300+11416424</f>
        <v>43394724</v>
      </c>
      <c r="AB24" s="173">
        <v>63956600</v>
      </c>
      <c r="AC24" s="173">
        <f>SUM(Q24:AB24)</f>
        <v>425290611</v>
      </c>
      <c r="AD24" s="181"/>
      <c r="AE24" s="3"/>
      <c r="AF24" s="3"/>
    </row>
    <row r="25" spans="1:53" ht="32.1" customHeight="1" x14ac:dyDescent="0.25">
      <c r="A25" s="481" t="s">
        <v>46</v>
      </c>
      <c r="B25" s="487"/>
      <c r="C25" s="174">
        <v>475860</v>
      </c>
      <c r="D25" s="174">
        <v>18698718</v>
      </c>
      <c r="E25" s="174" t="s">
        <v>47</v>
      </c>
      <c r="F25" s="175"/>
      <c r="G25" s="175"/>
      <c r="H25" s="175"/>
      <c r="I25" s="175"/>
      <c r="J25" s="175"/>
      <c r="K25" s="175"/>
      <c r="L25" s="175"/>
      <c r="M25" s="175"/>
      <c r="N25" s="175"/>
      <c r="O25" s="175">
        <f>SUM(C25:N25)</f>
        <v>19174578</v>
      </c>
      <c r="P25" s="180">
        <f>+O25/O24</f>
        <v>0.74076853635866646</v>
      </c>
      <c r="Q25" s="178" t="s">
        <v>48</v>
      </c>
      <c r="R25" s="178">
        <v>1210733</v>
      </c>
      <c r="S25" s="178">
        <v>15704100</v>
      </c>
      <c r="T25" s="175"/>
      <c r="U25" s="175"/>
      <c r="V25" s="175"/>
      <c r="W25" s="175"/>
      <c r="X25" s="175"/>
      <c r="Y25" s="175"/>
      <c r="Z25" s="175"/>
      <c r="AA25" s="175"/>
      <c r="AB25" s="175"/>
      <c r="AC25" s="175">
        <f>SUM(Q25:AB25)</f>
        <v>16914833</v>
      </c>
      <c r="AD25" s="182">
        <f>+AC25/AC23</f>
        <v>5.3450277607177417E-2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86.25" customHeight="1" thickBot="1" x14ac:dyDescent="0.3">
      <c r="A30" s="85" t="s">
        <v>54</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6"/>
      <c r="R31" s="476"/>
      <c r="S31" s="476"/>
      <c r="T31" s="476"/>
      <c r="U31" s="476"/>
      <c r="V31" s="476"/>
      <c r="W31" s="476"/>
      <c r="X31" s="476"/>
      <c r="Y31" s="476"/>
      <c r="Z31" s="476"/>
      <c r="AA31" s="476"/>
      <c r="AB31" s="476"/>
      <c r="AC31" s="476"/>
      <c r="AD31" s="477"/>
    </row>
    <row r="32" spans="1:53" ht="20.25" customHeight="1" x14ac:dyDescent="0.25">
      <c r="A32" s="452" t="s">
        <v>56</v>
      </c>
      <c r="B32" s="456" t="s">
        <v>57</v>
      </c>
      <c r="C32" s="456" t="s">
        <v>51</v>
      </c>
      <c r="D32" s="480" t="s">
        <v>58</v>
      </c>
      <c r="E32" s="456"/>
      <c r="F32" s="456"/>
      <c r="G32" s="456"/>
      <c r="H32" s="456"/>
      <c r="I32" s="456"/>
      <c r="J32" s="456"/>
      <c r="K32" s="456"/>
      <c r="L32" s="456"/>
      <c r="M32" s="456"/>
      <c r="N32" s="456"/>
      <c r="O32" s="456"/>
      <c r="P32" s="457"/>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thickBot="1" x14ac:dyDescent="0.3">
      <c r="A33" s="453"/>
      <c r="B33" s="478"/>
      <c r="C33" s="479"/>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69.75" customHeight="1" x14ac:dyDescent="0.25">
      <c r="A34" s="462" t="s">
        <v>54</v>
      </c>
      <c r="B34" s="464">
        <v>0.1</v>
      </c>
      <c r="C34" s="102" t="s">
        <v>64</v>
      </c>
      <c r="D34" s="295">
        <f>D69</f>
        <v>0</v>
      </c>
      <c r="E34" s="296">
        <f>E69</f>
        <v>0.10000000000000002</v>
      </c>
      <c r="F34" s="296">
        <f t="shared" ref="F34:O34" si="0">F69</f>
        <v>9.5000000000000015E-2</v>
      </c>
      <c r="G34" s="296">
        <f t="shared" si="0"/>
        <v>9.5000000000000015E-2</v>
      </c>
      <c r="H34" s="296">
        <f t="shared" si="0"/>
        <v>9.5000000000000015E-2</v>
      </c>
      <c r="I34" s="296">
        <f t="shared" si="0"/>
        <v>9.5000000000000015E-2</v>
      </c>
      <c r="J34" s="296">
        <f t="shared" si="0"/>
        <v>9.5000000000000015E-2</v>
      </c>
      <c r="K34" s="296">
        <f t="shared" si="0"/>
        <v>9.5000000000000015E-2</v>
      </c>
      <c r="L34" s="296">
        <f t="shared" si="0"/>
        <v>9.5000000000000015E-2</v>
      </c>
      <c r="M34" s="296">
        <f t="shared" si="0"/>
        <v>9.5000000000000015E-2</v>
      </c>
      <c r="N34" s="296">
        <f t="shared" si="0"/>
        <v>9.5000000000000015E-2</v>
      </c>
      <c r="O34" s="297">
        <f t="shared" si="0"/>
        <v>4.5000000000000151E-2</v>
      </c>
      <c r="P34" s="298">
        <f>SUM(D34:O34)</f>
        <v>1</v>
      </c>
      <c r="Q34" s="447" t="s">
        <v>65</v>
      </c>
      <c r="R34" s="447"/>
      <c r="S34" s="466"/>
      <c r="T34" s="447" t="s">
        <v>66</v>
      </c>
      <c r="U34" s="447"/>
      <c r="V34" s="466"/>
      <c r="W34" s="468" t="s">
        <v>67</v>
      </c>
      <c r="X34" s="468"/>
      <c r="Y34" s="468"/>
      <c r="Z34" s="468"/>
      <c r="AA34" s="446"/>
      <c r="AB34" s="447"/>
      <c r="AC34" s="447"/>
      <c r="AD34" s="448"/>
      <c r="AG34" s="87"/>
      <c r="AH34" s="87"/>
      <c r="AI34" s="87"/>
      <c r="AJ34" s="87"/>
      <c r="AK34" s="87"/>
      <c r="AL34" s="87"/>
      <c r="AM34" s="87"/>
      <c r="AN34" s="87"/>
      <c r="AO34" s="87"/>
    </row>
    <row r="35" spans="1:41" ht="69.75" customHeight="1" thickBot="1" x14ac:dyDescent="0.3">
      <c r="A35" s="463"/>
      <c r="B35" s="465"/>
      <c r="C35" s="91" t="s">
        <v>68</v>
      </c>
      <c r="D35" s="299">
        <f>D66</f>
        <v>0</v>
      </c>
      <c r="E35" s="300">
        <f t="shared" ref="E35:O35" si="1">E66</f>
        <v>0.10000000000000002</v>
      </c>
      <c r="F35" s="300">
        <f t="shared" si="1"/>
        <v>9.5000000000000015E-2</v>
      </c>
      <c r="G35" s="300">
        <f t="shared" si="1"/>
        <v>0</v>
      </c>
      <c r="H35" s="300">
        <f t="shared" si="1"/>
        <v>0</v>
      </c>
      <c r="I35" s="300">
        <f t="shared" si="1"/>
        <v>0</v>
      </c>
      <c r="J35" s="300">
        <f t="shared" si="1"/>
        <v>0</v>
      </c>
      <c r="K35" s="300">
        <f t="shared" si="1"/>
        <v>0</v>
      </c>
      <c r="L35" s="300">
        <f t="shared" si="1"/>
        <v>0</v>
      </c>
      <c r="M35" s="300">
        <f t="shared" si="1"/>
        <v>0</v>
      </c>
      <c r="N35" s="300">
        <f t="shared" si="1"/>
        <v>0</v>
      </c>
      <c r="O35" s="301">
        <f t="shared" si="1"/>
        <v>0</v>
      </c>
      <c r="P35" s="302">
        <f>SUM(D35:O35)</f>
        <v>0.19500000000000003</v>
      </c>
      <c r="Q35" s="450"/>
      <c r="R35" s="450"/>
      <c r="S35" s="467"/>
      <c r="T35" s="450"/>
      <c r="U35" s="450"/>
      <c r="V35" s="467"/>
      <c r="W35" s="469"/>
      <c r="X35" s="469"/>
      <c r="Y35" s="469"/>
      <c r="Z35" s="469"/>
      <c r="AA35" s="449"/>
      <c r="AB35" s="450"/>
      <c r="AC35" s="450"/>
      <c r="AD35" s="451"/>
      <c r="AE35" s="49"/>
      <c r="AG35" s="87"/>
      <c r="AH35" s="87"/>
      <c r="AI35" s="87"/>
      <c r="AJ35" s="87"/>
      <c r="AK35" s="87"/>
      <c r="AL35" s="87"/>
      <c r="AM35" s="87"/>
      <c r="AN35" s="87"/>
      <c r="AO35" s="87"/>
    </row>
    <row r="36" spans="1:41" ht="26.1" customHeight="1" x14ac:dyDescent="0.25">
      <c r="A36" s="452" t="s">
        <v>69</v>
      </c>
      <c r="B36" s="454" t="s">
        <v>70</v>
      </c>
      <c r="C36" s="452" t="s">
        <v>71</v>
      </c>
      <c r="D36" s="456"/>
      <c r="E36" s="456"/>
      <c r="F36" s="456"/>
      <c r="G36" s="456"/>
      <c r="H36" s="456"/>
      <c r="I36" s="456"/>
      <c r="J36" s="456"/>
      <c r="K36" s="456"/>
      <c r="L36" s="456"/>
      <c r="M36" s="456"/>
      <c r="N36" s="456"/>
      <c r="O36" s="456"/>
      <c r="P36" s="457"/>
      <c r="Q36" s="458" t="s">
        <v>72</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thickBot="1" x14ac:dyDescent="0.3">
      <c r="A37" s="453"/>
      <c r="B37" s="455"/>
      <c r="C37" s="210"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460"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35.25" customHeight="1" x14ac:dyDescent="0.25">
      <c r="A38" s="438" t="s">
        <v>88</v>
      </c>
      <c r="B38" s="440">
        <v>0.1</v>
      </c>
      <c r="C38" s="102" t="s">
        <v>64</v>
      </c>
      <c r="D38" s="276">
        <v>0</v>
      </c>
      <c r="E38" s="292">
        <v>0.1</v>
      </c>
      <c r="F38" s="293">
        <v>9.5000000000000001E-2</v>
      </c>
      <c r="G38" s="293">
        <v>9.5000000000000001E-2</v>
      </c>
      <c r="H38" s="293">
        <v>9.5000000000000001E-2</v>
      </c>
      <c r="I38" s="293">
        <v>9.5000000000000001E-2</v>
      </c>
      <c r="J38" s="293">
        <v>9.5000000000000001E-2</v>
      </c>
      <c r="K38" s="293">
        <v>9.5000000000000001E-2</v>
      </c>
      <c r="L38" s="293">
        <v>9.5000000000000001E-2</v>
      </c>
      <c r="M38" s="293">
        <v>9.5000000000000001E-2</v>
      </c>
      <c r="N38" s="293">
        <v>9.5000000000000001E-2</v>
      </c>
      <c r="O38" s="293">
        <f>1-SUM(D38:N38)</f>
        <v>4.5000000000000151E-2</v>
      </c>
      <c r="P38" s="289">
        <f>SUM(D38:O38)</f>
        <v>1</v>
      </c>
      <c r="Q38" s="442" t="s">
        <v>89</v>
      </c>
      <c r="R38" s="442"/>
      <c r="S38" s="442"/>
      <c r="T38" s="442"/>
      <c r="U38" s="442"/>
      <c r="V38" s="442"/>
      <c r="W38" s="442"/>
      <c r="X38" s="442"/>
      <c r="Y38" s="442"/>
      <c r="Z38" s="442"/>
      <c r="AA38" s="442"/>
      <c r="AB38" s="442"/>
      <c r="AC38" s="442"/>
      <c r="AD38" s="443"/>
      <c r="AE38" s="97"/>
      <c r="AG38" s="98"/>
      <c r="AH38" s="98"/>
      <c r="AI38" s="98"/>
      <c r="AJ38" s="98"/>
      <c r="AK38" s="98"/>
      <c r="AL38" s="98"/>
      <c r="AM38" s="98"/>
      <c r="AN38" s="98"/>
      <c r="AO38" s="98"/>
    </row>
    <row r="39" spans="1:41" ht="35.25" customHeight="1" thickBot="1" x14ac:dyDescent="0.3">
      <c r="A39" s="439"/>
      <c r="B39" s="441"/>
      <c r="C39" s="91" t="s">
        <v>68</v>
      </c>
      <c r="D39" s="277"/>
      <c r="E39" s="294">
        <v>0.1</v>
      </c>
      <c r="F39" s="294">
        <v>9.5000000000000001E-2</v>
      </c>
      <c r="G39" s="262"/>
      <c r="H39" s="262"/>
      <c r="I39" s="262"/>
      <c r="J39" s="262"/>
      <c r="K39" s="262"/>
      <c r="L39" s="262"/>
      <c r="M39" s="262"/>
      <c r="N39" s="262"/>
      <c r="O39" s="262"/>
      <c r="P39" s="251">
        <f>SUM(D39:O39)</f>
        <v>0.19500000000000001</v>
      </c>
      <c r="Q39" s="444"/>
      <c r="R39" s="444"/>
      <c r="S39" s="444"/>
      <c r="T39" s="444"/>
      <c r="U39" s="444"/>
      <c r="V39" s="444"/>
      <c r="W39" s="444"/>
      <c r="X39" s="444"/>
      <c r="Y39" s="444"/>
      <c r="Z39" s="444"/>
      <c r="AA39" s="444"/>
      <c r="AB39" s="444"/>
      <c r="AC39" s="444"/>
      <c r="AD39" s="445"/>
      <c r="AE39" s="97"/>
    </row>
    <row r="40" spans="1:41" x14ac:dyDescent="0.25">
      <c r="A40" s="50" t="s">
        <v>90</v>
      </c>
      <c r="Q40" s="306"/>
      <c r="R40" s="306"/>
      <c r="S40" s="306"/>
      <c r="T40" s="306"/>
      <c r="U40" s="306"/>
      <c r="V40" s="306"/>
      <c r="W40" s="306"/>
      <c r="X40" s="306"/>
      <c r="Y40" s="306"/>
      <c r="Z40" s="306"/>
      <c r="AA40" s="306"/>
      <c r="AB40" s="306"/>
      <c r="AC40" s="306"/>
      <c r="AD40" s="306"/>
    </row>
    <row r="41" spans="1:41" x14ac:dyDescent="0.25">
      <c r="Q41" s="306"/>
      <c r="R41" s="306"/>
      <c r="S41" s="306"/>
      <c r="T41" s="306"/>
      <c r="U41" s="306"/>
      <c r="V41" s="306"/>
      <c r="W41" s="306"/>
      <c r="X41" s="306"/>
      <c r="Y41" s="306"/>
      <c r="Z41" s="306"/>
      <c r="AA41" s="306"/>
      <c r="AB41" s="306"/>
      <c r="AC41" s="306"/>
      <c r="AD41" s="306"/>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 xml:space="preserve">12. Diseñar, publicar y socializar una caja de herramientas de la Estrategia Pedagógica y de Cambio Cultural.  </v>
      </c>
      <c r="B57" s="597">
        <f>B38</f>
        <v>0.1</v>
      </c>
      <c r="C57" s="218" t="s">
        <v>64</v>
      </c>
      <c r="D57" s="219">
        <f>D38*$B$38/$P$38</f>
        <v>0</v>
      </c>
      <c r="E57" s="219">
        <f t="shared" ref="D57:O58" si="2">E38*$B$38/$P$38</f>
        <v>1.0000000000000002E-2</v>
      </c>
      <c r="F57" s="219">
        <f t="shared" si="2"/>
        <v>9.5000000000000015E-3</v>
      </c>
      <c r="G57" s="219">
        <f t="shared" si="2"/>
        <v>9.5000000000000015E-3</v>
      </c>
      <c r="H57" s="219">
        <f t="shared" si="2"/>
        <v>9.5000000000000015E-3</v>
      </c>
      <c r="I57" s="219">
        <f t="shared" si="2"/>
        <v>9.5000000000000015E-3</v>
      </c>
      <c r="J57" s="219">
        <f t="shared" si="2"/>
        <v>9.5000000000000015E-3</v>
      </c>
      <c r="K57" s="219">
        <f t="shared" si="2"/>
        <v>9.5000000000000015E-3</v>
      </c>
      <c r="L57" s="219">
        <f t="shared" si="2"/>
        <v>9.5000000000000015E-3</v>
      </c>
      <c r="M57" s="219">
        <f t="shared" si="2"/>
        <v>9.5000000000000015E-3</v>
      </c>
      <c r="N57" s="219">
        <f t="shared" si="2"/>
        <v>9.5000000000000015E-3</v>
      </c>
      <c r="O57" s="219">
        <f t="shared" si="2"/>
        <v>4.5000000000000153E-3</v>
      </c>
      <c r="P57" s="220">
        <f>SUM(D57:O57)</f>
        <v>0.10000000000000005</v>
      </c>
      <c r="Q57" s="221">
        <v>0.05</v>
      </c>
      <c r="R57" s="222">
        <f>+P57-Q57</f>
        <v>5.0000000000000044E-2</v>
      </c>
      <c r="S57" s="216"/>
      <c r="T57" s="216"/>
      <c r="U57" s="216"/>
      <c r="V57" s="216"/>
      <c r="W57" s="216"/>
      <c r="X57" s="216"/>
      <c r="Y57" s="216"/>
      <c r="Z57" s="216"/>
      <c r="AA57" s="216"/>
      <c r="AB57" s="216"/>
      <c r="AC57" s="216"/>
      <c r="AD57" s="216"/>
    </row>
    <row r="58" spans="1:30" x14ac:dyDescent="0.25">
      <c r="A58" s="596"/>
      <c r="B58" s="598"/>
      <c r="C58" s="227" t="s">
        <v>68</v>
      </c>
      <c r="D58" s="224">
        <f t="shared" si="2"/>
        <v>0</v>
      </c>
      <c r="E58" s="224">
        <f t="shared" si="2"/>
        <v>1.0000000000000002E-2</v>
      </c>
      <c r="F58" s="224">
        <f t="shared" si="2"/>
        <v>9.5000000000000015E-3</v>
      </c>
      <c r="G58" s="224">
        <f t="shared" si="2"/>
        <v>0</v>
      </c>
      <c r="H58" s="224">
        <f t="shared" si="2"/>
        <v>0</v>
      </c>
      <c r="I58" s="224">
        <f t="shared" si="2"/>
        <v>0</v>
      </c>
      <c r="J58" s="224">
        <f t="shared" si="2"/>
        <v>0</v>
      </c>
      <c r="K58" s="224">
        <f t="shared" si="2"/>
        <v>0</v>
      </c>
      <c r="L58" s="224">
        <f t="shared" si="2"/>
        <v>0</v>
      </c>
      <c r="M58" s="224">
        <f t="shared" si="2"/>
        <v>0</v>
      </c>
      <c r="N58" s="224">
        <f t="shared" si="2"/>
        <v>0</v>
      </c>
      <c r="O58" s="224">
        <f t="shared" si="2"/>
        <v>0</v>
      </c>
      <c r="P58" s="225">
        <f>SUM(D58:O58)</f>
        <v>1.9500000000000003E-2</v>
      </c>
      <c r="Q58" s="226">
        <f>+P58</f>
        <v>1.9500000000000003E-2</v>
      </c>
      <c r="R58" s="222">
        <f>+P58-Q58</f>
        <v>0</v>
      </c>
      <c r="S58" s="216"/>
      <c r="T58" s="216"/>
      <c r="U58" s="216"/>
      <c r="V58" s="216"/>
      <c r="W58" s="216"/>
      <c r="X58" s="216"/>
      <c r="Y58" s="216"/>
      <c r="Z58" s="216"/>
      <c r="AA58" s="216"/>
      <c r="AB58" s="216"/>
      <c r="AC58" s="216"/>
      <c r="AD58" s="216"/>
    </row>
    <row r="59" spans="1:30" x14ac:dyDescent="0.25">
      <c r="A59" s="584"/>
      <c r="B59" s="586"/>
      <c r="C59" s="230"/>
      <c r="D59" s="219"/>
      <c r="E59" s="219"/>
      <c r="F59" s="219"/>
      <c r="G59" s="219"/>
      <c r="H59" s="219"/>
      <c r="I59" s="219"/>
      <c r="J59" s="219"/>
      <c r="K59" s="219"/>
      <c r="L59" s="219"/>
      <c r="M59" s="219"/>
      <c r="N59" s="219"/>
      <c r="O59" s="219"/>
      <c r="P59" s="231"/>
      <c r="Q59" s="221"/>
      <c r="R59" s="222"/>
      <c r="S59" s="216"/>
      <c r="T59" s="216"/>
      <c r="U59" s="216"/>
      <c r="V59" s="216"/>
      <c r="W59" s="216"/>
      <c r="X59" s="216"/>
      <c r="Y59" s="216"/>
      <c r="Z59" s="216"/>
      <c r="AA59" s="216"/>
      <c r="AB59" s="216"/>
      <c r="AC59" s="216"/>
      <c r="AD59" s="216"/>
    </row>
    <row r="60" spans="1:30" x14ac:dyDescent="0.25">
      <c r="A60" s="585"/>
      <c r="B60" s="587"/>
      <c r="C60" s="230"/>
      <c r="D60" s="234"/>
      <c r="E60" s="234"/>
      <c r="F60" s="234"/>
      <c r="G60" s="234"/>
      <c r="H60" s="234"/>
      <c r="I60" s="234"/>
      <c r="J60" s="234"/>
      <c r="K60" s="234"/>
      <c r="L60" s="234"/>
      <c r="M60" s="234"/>
      <c r="N60" s="234"/>
      <c r="O60" s="234"/>
      <c r="P60" s="231"/>
      <c r="Q60" s="226"/>
      <c r="R60" s="222"/>
      <c r="S60" s="216"/>
      <c r="T60" s="216"/>
      <c r="U60" s="216"/>
      <c r="V60" s="216"/>
      <c r="W60" s="216"/>
      <c r="X60" s="216"/>
      <c r="Y60" s="216"/>
      <c r="Z60" s="216"/>
      <c r="AA60" s="216"/>
      <c r="AB60" s="216"/>
      <c r="AC60" s="216"/>
      <c r="AD60" s="216"/>
    </row>
    <row r="61" spans="1:30" x14ac:dyDescent="0.25">
      <c r="A61" s="584"/>
      <c r="B61" s="586"/>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85"/>
      <c r="B62" s="587"/>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f>
        <v>0</v>
      </c>
      <c r="E65" s="237">
        <f t="shared" ref="E65:O65" si="3">E58</f>
        <v>1.0000000000000002E-2</v>
      </c>
      <c r="F65" s="237">
        <f t="shared" si="3"/>
        <v>9.5000000000000015E-3</v>
      </c>
      <c r="G65" s="237">
        <f t="shared" si="3"/>
        <v>0</v>
      </c>
      <c r="H65" s="237">
        <f t="shared" si="3"/>
        <v>0</v>
      </c>
      <c r="I65" s="237">
        <f t="shared" si="3"/>
        <v>0</v>
      </c>
      <c r="J65" s="237">
        <f t="shared" si="3"/>
        <v>0</v>
      </c>
      <c r="K65" s="237">
        <f t="shared" si="3"/>
        <v>0</v>
      </c>
      <c r="L65" s="237">
        <f t="shared" si="3"/>
        <v>0</v>
      </c>
      <c r="M65" s="237">
        <f t="shared" si="3"/>
        <v>0</v>
      </c>
      <c r="N65" s="237">
        <f t="shared" si="3"/>
        <v>0</v>
      </c>
      <c r="O65" s="237">
        <f t="shared" si="3"/>
        <v>0</v>
      </c>
      <c r="P65" s="237">
        <f>P58+P60+P62</f>
        <v>1.9500000000000003E-2</v>
      </c>
      <c r="Q65" s="215"/>
      <c r="R65" s="222">
        <f>+P65-Q65</f>
        <v>1.9500000000000003E-2</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4">E65*$W$17/$B$34</f>
        <v>0.10000000000000002</v>
      </c>
      <c r="F66" s="240">
        <f t="shared" si="4"/>
        <v>9.5000000000000015E-2</v>
      </c>
      <c r="G66" s="240">
        <f t="shared" si="4"/>
        <v>0</v>
      </c>
      <c r="H66" s="240">
        <f t="shared" si="4"/>
        <v>0</v>
      </c>
      <c r="I66" s="240">
        <f t="shared" si="4"/>
        <v>0</v>
      </c>
      <c r="J66" s="240">
        <f t="shared" si="4"/>
        <v>0</v>
      </c>
      <c r="K66" s="240">
        <f t="shared" si="4"/>
        <v>0</v>
      </c>
      <c r="L66" s="240">
        <f t="shared" si="4"/>
        <v>0</v>
      </c>
      <c r="M66" s="240">
        <f t="shared" si="4"/>
        <v>0</v>
      </c>
      <c r="N66" s="240">
        <f t="shared" si="4"/>
        <v>0</v>
      </c>
      <c r="O66" s="240">
        <f t="shared" si="4"/>
        <v>0</v>
      </c>
      <c r="P66" s="241">
        <f>SUM(D66:O66)</f>
        <v>0.19500000000000003</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f>
        <v>0</v>
      </c>
      <c r="E68" s="237">
        <f t="shared" ref="E68:O68" si="5">+E57</f>
        <v>1.0000000000000002E-2</v>
      </c>
      <c r="F68" s="237">
        <f t="shared" si="5"/>
        <v>9.5000000000000015E-3</v>
      </c>
      <c r="G68" s="237">
        <f t="shared" si="5"/>
        <v>9.5000000000000015E-3</v>
      </c>
      <c r="H68" s="237">
        <f t="shared" si="5"/>
        <v>9.5000000000000015E-3</v>
      </c>
      <c r="I68" s="237">
        <f t="shared" si="5"/>
        <v>9.5000000000000015E-3</v>
      </c>
      <c r="J68" s="237">
        <f t="shared" si="5"/>
        <v>9.5000000000000015E-3</v>
      </c>
      <c r="K68" s="237">
        <f t="shared" si="5"/>
        <v>9.5000000000000015E-3</v>
      </c>
      <c r="L68" s="237">
        <f t="shared" si="5"/>
        <v>9.5000000000000015E-3</v>
      </c>
      <c r="M68" s="237">
        <f t="shared" si="5"/>
        <v>9.5000000000000015E-3</v>
      </c>
      <c r="N68" s="237">
        <f t="shared" si="5"/>
        <v>9.5000000000000015E-3</v>
      </c>
      <c r="O68" s="237">
        <f t="shared" si="5"/>
        <v>4.5000000000000153E-3</v>
      </c>
      <c r="P68" s="237">
        <f>+P57+P59+P61</f>
        <v>0.10000000000000005</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6">D68*$W$17/$B$34</f>
        <v>0</v>
      </c>
      <c r="E69" s="240">
        <f>E68*$W$17/$B$34</f>
        <v>0.10000000000000002</v>
      </c>
      <c r="F69" s="240">
        <f t="shared" si="6"/>
        <v>9.5000000000000015E-2</v>
      </c>
      <c r="G69" s="240">
        <f t="shared" si="6"/>
        <v>9.5000000000000015E-2</v>
      </c>
      <c r="H69" s="240">
        <f t="shared" si="6"/>
        <v>9.5000000000000015E-2</v>
      </c>
      <c r="I69" s="240">
        <f t="shared" si="6"/>
        <v>9.5000000000000015E-2</v>
      </c>
      <c r="J69" s="240">
        <f t="shared" si="6"/>
        <v>9.5000000000000015E-2</v>
      </c>
      <c r="K69" s="240">
        <f t="shared" si="6"/>
        <v>9.5000000000000015E-2</v>
      </c>
      <c r="L69" s="240">
        <f t="shared" si="6"/>
        <v>9.5000000000000015E-2</v>
      </c>
      <c r="M69" s="240">
        <f t="shared" si="6"/>
        <v>9.5000000000000015E-2</v>
      </c>
      <c r="N69" s="240">
        <f t="shared" si="6"/>
        <v>9.5000000000000015E-2</v>
      </c>
      <c r="O69" s="240">
        <f t="shared" si="6"/>
        <v>4.5000000000000151E-2</v>
      </c>
      <c r="P69" s="241">
        <f>SUM(D69:O69)</f>
        <v>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sheetData>
  <mergeCells count="82">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872"/>
      <c r="B1" s="887" t="s">
        <v>0</v>
      </c>
      <c r="C1" s="888"/>
      <c r="D1" s="888"/>
      <c r="E1" s="888"/>
      <c r="F1" s="888"/>
      <c r="G1" s="888"/>
      <c r="H1" s="888"/>
      <c r="I1" s="888"/>
      <c r="J1" s="888"/>
      <c r="K1" s="888"/>
      <c r="L1" s="888"/>
      <c r="M1" s="888"/>
      <c r="N1" s="888"/>
      <c r="O1" s="888"/>
      <c r="P1" s="888"/>
      <c r="Q1" s="888"/>
      <c r="R1" s="888"/>
      <c r="S1" s="888"/>
      <c r="T1" s="888"/>
      <c r="U1" s="888"/>
      <c r="V1" s="888"/>
      <c r="W1" s="888"/>
      <c r="X1" s="888"/>
      <c r="Y1" s="889"/>
      <c r="Z1" s="884" t="s">
        <v>173</v>
      </c>
      <c r="AA1" s="885"/>
      <c r="AB1" s="886"/>
    </row>
    <row r="2" spans="1:28" ht="30.75" customHeight="1" x14ac:dyDescent="0.25">
      <c r="A2" s="873"/>
      <c r="B2" s="861" t="s">
        <v>2</v>
      </c>
      <c r="C2" s="862"/>
      <c r="D2" s="862"/>
      <c r="E2" s="862"/>
      <c r="F2" s="862"/>
      <c r="G2" s="862"/>
      <c r="H2" s="862"/>
      <c r="I2" s="862"/>
      <c r="J2" s="862"/>
      <c r="K2" s="862"/>
      <c r="L2" s="862"/>
      <c r="M2" s="862"/>
      <c r="N2" s="862"/>
      <c r="O2" s="862"/>
      <c r="P2" s="862"/>
      <c r="Q2" s="862"/>
      <c r="R2" s="862"/>
      <c r="S2" s="862"/>
      <c r="T2" s="862"/>
      <c r="U2" s="862"/>
      <c r="V2" s="862"/>
      <c r="W2" s="862"/>
      <c r="X2" s="862"/>
      <c r="Y2" s="863"/>
      <c r="Z2" s="875" t="s">
        <v>223</v>
      </c>
      <c r="AA2" s="876"/>
      <c r="AB2" s="877"/>
    </row>
    <row r="3" spans="1:28" ht="24" customHeight="1" x14ac:dyDescent="0.25">
      <c r="A3" s="873"/>
      <c r="B3" s="536" t="s">
        <v>4</v>
      </c>
      <c r="C3" s="537"/>
      <c r="D3" s="537"/>
      <c r="E3" s="537"/>
      <c r="F3" s="537"/>
      <c r="G3" s="537"/>
      <c r="H3" s="537"/>
      <c r="I3" s="537"/>
      <c r="J3" s="537"/>
      <c r="K3" s="537"/>
      <c r="L3" s="537"/>
      <c r="M3" s="537"/>
      <c r="N3" s="537"/>
      <c r="O3" s="537"/>
      <c r="P3" s="537"/>
      <c r="Q3" s="537"/>
      <c r="R3" s="537"/>
      <c r="S3" s="537"/>
      <c r="T3" s="537"/>
      <c r="U3" s="537"/>
      <c r="V3" s="537"/>
      <c r="W3" s="537"/>
      <c r="X3" s="537"/>
      <c r="Y3" s="538"/>
      <c r="Z3" s="875" t="s">
        <v>224</v>
      </c>
      <c r="AA3" s="876"/>
      <c r="AB3" s="877"/>
    </row>
    <row r="4" spans="1:28" ht="15.75" customHeight="1" thickBot="1" x14ac:dyDescent="0.3">
      <c r="A4" s="874"/>
      <c r="B4" s="539"/>
      <c r="C4" s="540"/>
      <c r="D4" s="540"/>
      <c r="E4" s="540"/>
      <c r="F4" s="540"/>
      <c r="G4" s="540"/>
      <c r="H4" s="540"/>
      <c r="I4" s="540"/>
      <c r="J4" s="540"/>
      <c r="K4" s="540"/>
      <c r="L4" s="540"/>
      <c r="M4" s="540"/>
      <c r="N4" s="540"/>
      <c r="O4" s="540"/>
      <c r="P4" s="540"/>
      <c r="Q4" s="540"/>
      <c r="R4" s="540"/>
      <c r="S4" s="540"/>
      <c r="T4" s="540"/>
      <c r="U4" s="540"/>
      <c r="V4" s="540"/>
      <c r="W4" s="540"/>
      <c r="X4" s="540"/>
      <c r="Y4" s="541"/>
      <c r="Z4" s="878" t="s">
        <v>6</v>
      </c>
      <c r="AA4" s="879"/>
      <c r="AB4" s="880"/>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27" t="s">
        <v>15</v>
      </c>
      <c r="B7" s="528"/>
      <c r="C7" s="533"/>
      <c r="D7" s="534"/>
      <c r="E7" s="534"/>
      <c r="F7" s="534"/>
      <c r="G7" s="534"/>
      <c r="H7" s="534"/>
      <c r="I7" s="534"/>
      <c r="J7" s="534"/>
      <c r="K7" s="535"/>
      <c r="L7" s="62"/>
      <c r="M7" s="63"/>
      <c r="N7" s="63"/>
      <c r="O7" s="63"/>
      <c r="P7" s="63"/>
      <c r="Q7" s="64"/>
      <c r="R7" s="881" t="s">
        <v>9</v>
      </c>
      <c r="S7" s="882"/>
      <c r="T7" s="883"/>
      <c r="U7" s="890" t="s">
        <v>225</v>
      </c>
      <c r="V7" s="549"/>
      <c r="W7" s="881" t="s">
        <v>10</v>
      </c>
      <c r="X7" s="883"/>
      <c r="Y7" s="554" t="s">
        <v>11</v>
      </c>
      <c r="Z7" s="555"/>
      <c r="AA7" s="578"/>
      <c r="AB7" s="579"/>
    </row>
    <row r="8" spans="1:28" ht="15" customHeight="1" x14ac:dyDescent="0.25">
      <c r="A8" s="529"/>
      <c r="B8" s="530"/>
      <c r="C8" s="536"/>
      <c r="D8" s="537"/>
      <c r="E8" s="537"/>
      <c r="F8" s="537"/>
      <c r="G8" s="537"/>
      <c r="H8" s="537"/>
      <c r="I8" s="537"/>
      <c r="J8" s="537"/>
      <c r="K8" s="538"/>
      <c r="L8" s="62"/>
      <c r="M8" s="63"/>
      <c r="N8" s="63"/>
      <c r="O8" s="63"/>
      <c r="P8" s="63"/>
      <c r="Q8" s="64"/>
      <c r="R8" s="505"/>
      <c r="S8" s="506"/>
      <c r="T8" s="507"/>
      <c r="U8" s="550"/>
      <c r="V8" s="551"/>
      <c r="W8" s="505"/>
      <c r="X8" s="507"/>
      <c r="Y8" s="580" t="s">
        <v>12</v>
      </c>
      <c r="Z8" s="581"/>
      <c r="AA8" s="582"/>
      <c r="AB8" s="583"/>
    </row>
    <row r="9" spans="1:28" ht="15" customHeight="1" thickBot="1" x14ac:dyDescent="0.3">
      <c r="A9" s="531"/>
      <c r="B9" s="532"/>
      <c r="C9" s="539"/>
      <c r="D9" s="540"/>
      <c r="E9" s="540"/>
      <c r="F9" s="540"/>
      <c r="G9" s="540"/>
      <c r="H9" s="540"/>
      <c r="I9" s="540"/>
      <c r="J9" s="540"/>
      <c r="K9" s="541"/>
      <c r="L9" s="62"/>
      <c r="M9" s="63"/>
      <c r="N9" s="63"/>
      <c r="O9" s="63"/>
      <c r="P9" s="63"/>
      <c r="Q9" s="64"/>
      <c r="R9" s="504"/>
      <c r="S9" s="484"/>
      <c r="T9" s="486"/>
      <c r="U9" s="552"/>
      <c r="V9" s="553"/>
      <c r="W9" s="504"/>
      <c r="X9" s="486"/>
      <c r="Y9" s="556" t="s">
        <v>13</v>
      </c>
      <c r="Z9" s="557"/>
      <c r="AA9" s="558"/>
      <c r="AB9" s="559"/>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12" t="s">
        <v>17</v>
      </c>
      <c r="B11" s="513"/>
      <c r="C11" s="521"/>
      <c r="D11" s="522"/>
      <c r="E11" s="522"/>
      <c r="F11" s="522"/>
      <c r="G11" s="522"/>
      <c r="H11" s="522"/>
      <c r="I11" s="522"/>
      <c r="J11" s="522"/>
      <c r="K11" s="523"/>
      <c r="L11" s="72"/>
      <c r="M11" s="501" t="s">
        <v>19</v>
      </c>
      <c r="N11" s="502"/>
      <c r="O11" s="502"/>
      <c r="P11" s="502"/>
      <c r="Q11" s="503"/>
      <c r="R11" s="524"/>
      <c r="S11" s="525"/>
      <c r="T11" s="525"/>
      <c r="U11" s="525"/>
      <c r="V11" s="526"/>
      <c r="W11" s="501" t="s">
        <v>21</v>
      </c>
      <c r="X11" s="503"/>
      <c r="Y11" s="508"/>
      <c r="Z11" s="509"/>
      <c r="AA11" s="509"/>
      <c r="AB11" s="510"/>
    </row>
    <row r="12" spans="1:28" ht="9" customHeight="1" thickBot="1" x14ac:dyDescent="0.3">
      <c r="A12" s="59"/>
      <c r="B12" s="54"/>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73"/>
      <c r="AB12" s="74"/>
    </row>
    <row r="13" spans="1:28" s="76" customFormat="1" ht="37.5" customHeight="1" thickBot="1" x14ac:dyDescent="0.3">
      <c r="A13" s="512" t="s">
        <v>23</v>
      </c>
      <c r="B13" s="513"/>
      <c r="C13" s="514"/>
      <c r="D13" s="515"/>
      <c r="E13" s="515"/>
      <c r="F13" s="515"/>
      <c r="G13" s="515"/>
      <c r="H13" s="515"/>
      <c r="I13" s="515"/>
      <c r="J13" s="515"/>
      <c r="K13" s="515"/>
      <c r="L13" s="515"/>
      <c r="M13" s="515"/>
      <c r="N13" s="515"/>
      <c r="O13" s="515"/>
      <c r="P13" s="515"/>
      <c r="Q13" s="516"/>
      <c r="R13" s="54"/>
      <c r="S13" s="854" t="s">
        <v>226</v>
      </c>
      <c r="T13" s="854"/>
      <c r="U13" s="75"/>
      <c r="V13" s="853" t="s">
        <v>26</v>
      </c>
      <c r="W13" s="854"/>
      <c r="X13" s="854"/>
      <c r="Y13" s="854"/>
      <c r="Z13" s="54"/>
      <c r="AA13" s="519"/>
      <c r="AB13" s="520"/>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27" t="s">
        <v>7</v>
      </c>
      <c r="B15" s="528"/>
      <c r="C15" s="870" t="s">
        <v>227</v>
      </c>
      <c r="D15" s="80"/>
      <c r="E15" s="80"/>
      <c r="F15" s="80"/>
      <c r="G15" s="80"/>
      <c r="H15" s="80"/>
      <c r="I15" s="80"/>
      <c r="J15" s="70"/>
      <c r="K15" s="81"/>
      <c r="L15" s="70"/>
      <c r="M15" s="60"/>
      <c r="N15" s="60"/>
      <c r="O15" s="60"/>
      <c r="P15" s="60"/>
      <c r="Q15" s="855" t="s">
        <v>27</v>
      </c>
      <c r="R15" s="856"/>
      <c r="S15" s="856"/>
      <c r="T15" s="856"/>
      <c r="U15" s="856"/>
      <c r="V15" s="856"/>
      <c r="W15" s="856"/>
      <c r="X15" s="856"/>
      <c r="Y15" s="856"/>
      <c r="Z15" s="856"/>
      <c r="AA15" s="856"/>
      <c r="AB15" s="857"/>
    </row>
    <row r="16" spans="1:28" ht="35.25" customHeight="1" thickBot="1" x14ac:dyDescent="0.3">
      <c r="A16" s="531"/>
      <c r="B16" s="532"/>
      <c r="C16" s="871"/>
      <c r="D16" s="80"/>
      <c r="E16" s="80"/>
      <c r="F16" s="80"/>
      <c r="G16" s="80"/>
      <c r="H16" s="80"/>
      <c r="I16" s="80"/>
      <c r="J16" s="70"/>
      <c r="K16" s="70"/>
      <c r="L16" s="70"/>
      <c r="M16" s="60"/>
      <c r="N16" s="60"/>
      <c r="O16" s="60"/>
      <c r="P16" s="60"/>
      <c r="Q16" s="893" t="s">
        <v>228</v>
      </c>
      <c r="R16" s="894"/>
      <c r="S16" s="894"/>
      <c r="T16" s="894"/>
      <c r="U16" s="894"/>
      <c r="V16" s="895"/>
      <c r="W16" s="896" t="s">
        <v>229</v>
      </c>
      <c r="X16" s="894"/>
      <c r="Y16" s="894"/>
      <c r="Z16" s="894"/>
      <c r="AA16" s="894"/>
      <c r="AB16" s="897"/>
    </row>
    <row r="17" spans="1:39" ht="27" customHeight="1" x14ac:dyDescent="0.25">
      <c r="A17" s="82"/>
      <c r="B17" s="60"/>
      <c r="C17" s="60"/>
      <c r="D17" s="80"/>
      <c r="E17" s="80"/>
      <c r="F17" s="80"/>
      <c r="G17" s="80"/>
      <c r="H17" s="80"/>
      <c r="I17" s="80"/>
      <c r="J17" s="80"/>
      <c r="K17" s="80"/>
      <c r="L17" s="80"/>
      <c r="M17" s="60"/>
      <c r="N17" s="60"/>
      <c r="O17" s="60"/>
      <c r="P17" s="60"/>
      <c r="Q17" s="899" t="s">
        <v>230</v>
      </c>
      <c r="R17" s="900"/>
      <c r="S17" s="836"/>
      <c r="T17" s="830" t="s">
        <v>231</v>
      </c>
      <c r="U17" s="831"/>
      <c r="V17" s="832"/>
      <c r="W17" s="835" t="s">
        <v>230</v>
      </c>
      <c r="X17" s="836"/>
      <c r="Y17" s="835" t="s">
        <v>232</v>
      </c>
      <c r="Z17" s="836"/>
      <c r="AA17" s="830" t="s">
        <v>233</v>
      </c>
      <c r="AB17" s="837"/>
      <c r="AC17" s="83"/>
      <c r="AD17" s="83"/>
    </row>
    <row r="18" spans="1:39" ht="27" customHeight="1" x14ac:dyDescent="0.25">
      <c r="A18" s="82"/>
      <c r="B18" s="60"/>
      <c r="C18" s="60"/>
      <c r="D18" s="80"/>
      <c r="E18" s="80"/>
      <c r="F18" s="80"/>
      <c r="G18" s="80"/>
      <c r="H18" s="80"/>
      <c r="I18" s="80"/>
      <c r="J18" s="80"/>
      <c r="K18" s="80"/>
      <c r="L18" s="80"/>
      <c r="M18" s="60"/>
      <c r="N18" s="60"/>
      <c r="O18" s="60"/>
      <c r="P18" s="60"/>
      <c r="Q18" s="162"/>
      <c r="R18" s="163"/>
      <c r="S18" s="164"/>
      <c r="T18" s="830"/>
      <c r="U18" s="831"/>
      <c r="V18" s="832"/>
      <c r="W18" s="141"/>
      <c r="X18" s="142"/>
      <c r="Y18" s="141"/>
      <c r="Z18" s="142"/>
      <c r="AA18" s="143"/>
      <c r="AB18" s="144"/>
      <c r="AC18" s="83"/>
      <c r="AD18" s="83"/>
    </row>
    <row r="19" spans="1:39" ht="18" customHeight="1" thickBot="1" x14ac:dyDescent="0.3">
      <c r="A19" s="59"/>
      <c r="B19" s="54"/>
      <c r="C19" s="80"/>
      <c r="D19" s="80"/>
      <c r="E19" s="80"/>
      <c r="F19" s="80"/>
      <c r="G19" s="84"/>
      <c r="H19" s="84"/>
      <c r="I19" s="84"/>
      <c r="J19" s="84"/>
      <c r="K19" s="84"/>
      <c r="L19" s="84"/>
      <c r="M19" s="80"/>
      <c r="N19" s="80"/>
      <c r="O19" s="80"/>
      <c r="P19" s="80"/>
      <c r="Q19" s="898"/>
      <c r="R19" s="849"/>
      <c r="S19" s="850"/>
      <c r="T19" s="848"/>
      <c r="U19" s="849"/>
      <c r="V19" s="850"/>
      <c r="W19" s="858"/>
      <c r="X19" s="859"/>
      <c r="Y19" s="833"/>
      <c r="Z19" s="834"/>
      <c r="AA19" s="901"/>
      <c r="AB19" s="90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8" t="s">
        <v>49</v>
      </c>
      <c r="B21" s="489"/>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1"/>
    </row>
    <row r="22" spans="1:39" ht="15" customHeight="1" x14ac:dyDescent="0.25">
      <c r="A22" s="492" t="s">
        <v>50</v>
      </c>
      <c r="B22" s="494" t="s">
        <v>51</v>
      </c>
      <c r="C22" s="495"/>
      <c r="D22" s="455" t="s">
        <v>234</v>
      </c>
      <c r="E22" s="498"/>
      <c r="F22" s="498"/>
      <c r="G22" s="498"/>
      <c r="H22" s="498"/>
      <c r="I22" s="498"/>
      <c r="J22" s="498"/>
      <c r="K22" s="498"/>
      <c r="L22" s="498"/>
      <c r="M22" s="498"/>
      <c r="N22" s="498"/>
      <c r="O22" s="499"/>
      <c r="P22" s="478" t="s">
        <v>41</v>
      </c>
      <c r="Q22" s="478" t="s">
        <v>53</v>
      </c>
      <c r="R22" s="478"/>
      <c r="S22" s="478"/>
      <c r="T22" s="478"/>
      <c r="U22" s="478"/>
      <c r="V22" s="478"/>
      <c r="W22" s="478"/>
      <c r="X22" s="478"/>
      <c r="Y22" s="478"/>
      <c r="Z22" s="478"/>
      <c r="AA22" s="478"/>
      <c r="AB22" s="500"/>
    </row>
    <row r="23" spans="1:39" ht="27" customHeight="1" x14ac:dyDescent="0.25">
      <c r="A23" s="493"/>
      <c r="B23" s="496"/>
      <c r="C23" s="497"/>
      <c r="D23" s="88" t="s">
        <v>30</v>
      </c>
      <c r="E23" s="88" t="s">
        <v>31</v>
      </c>
      <c r="F23" s="88" t="s">
        <v>8</v>
      </c>
      <c r="G23" s="88" t="s">
        <v>32</v>
      </c>
      <c r="H23" s="88" t="s">
        <v>33</v>
      </c>
      <c r="I23" s="88" t="s">
        <v>34</v>
      </c>
      <c r="J23" s="88" t="s">
        <v>35</v>
      </c>
      <c r="K23" s="88" t="s">
        <v>36</v>
      </c>
      <c r="L23" s="88" t="s">
        <v>37</v>
      </c>
      <c r="M23" s="88" t="s">
        <v>38</v>
      </c>
      <c r="N23" s="88" t="s">
        <v>39</v>
      </c>
      <c r="O23" s="88" t="s">
        <v>40</v>
      </c>
      <c r="P23" s="499"/>
      <c r="Q23" s="478"/>
      <c r="R23" s="478"/>
      <c r="S23" s="478"/>
      <c r="T23" s="478"/>
      <c r="U23" s="478"/>
      <c r="V23" s="478"/>
      <c r="W23" s="478"/>
      <c r="X23" s="478"/>
      <c r="Y23" s="478"/>
      <c r="Z23" s="478"/>
      <c r="AA23" s="478"/>
      <c r="AB23" s="500"/>
    </row>
    <row r="24" spans="1:39" ht="42" customHeight="1" thickBot="1" x14ac:dyDescent="0.3">
      <c r="A24" s="85"/>
      <c r="B24" s="470"/>
      <c r="C24" s="471"/>
      <c r="D24" s="89"/>
      <c r="E24" s="89"/>
      <c r="F24" s="89"/>
      <c r="G24" s="89"/>
      <c r="H24" s="89"/>
      <c r="I24" s="89"/>
      <c r="J24" s="89"/>
      <c r="K24" s="89"/>
      <c r="L24" s="89"/>
      <c r="M24" s="89"/>
      <c r="N24" s="89"/>
      <c r="O24" s="89"/>
      <c r="P24" s="86">
        <f>SUM(D24:O24)</f>
        <v>0</v>
      </c>
      <c r="Q24" s="472" t="s">
        <v>235</v>
      </c>
      <c r="R24" s="472"/>
      <c r="S24" s="472"/>
      <c r="T24" s="472"/>
      <c r="U24" s="472"/>
      <c r="V24" s="472"/>
      <c r="W24" s="472"/>
      <c r="X24" s="472"/>
      <c r="Y24" s="472"/>
      <c r="Z24" s="472"/>
      <c r="AA24" s="472"/>
      <c r="AB24" s="473"/>
    </row>
    <row r="25" spans="1:39" ht="21.95" customHeight="1" x14ac:dyDescent="0.25">
      <c r="A25" s="569" t="s">
        <v>55</v>
      </c>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7"/>
    </row>
    <row r="26" spans="1:39" ht="23.1" customHeight="1" x14ac:dyDescent="0.25">
      <c r="A26" s="453" t="s">
        <v>56</v>
      </c>
      <c r="B26" s="478" t="s">
        <v>57</v>
      </c>
      <c r="C26" s="478" t="s">
        <v>51</v>
      </c>
      <c r="D26" s="478" t="s">
        <v>58</v>
      </c>
      <c r="E26" s="478"/>
      <c r="F26" s="478"/>
      <c r="G26" s="478"/>
      <c r="H26" s="478"/>
      <c r="I26" s="478"/>
      <c r="J26" s="478"/>
      <c r="K26" s="478"/>
      <c r="L26" s="478"/>
      <c r="M26" s="478"/>
      <c r="N26" s="478"/>
      <c r="O26" s="478"/>
      <c r="P26" s="478"/>
      <c r="Q26" s="478" t="s">
        <v>59</v>
      </c>
      <c r="R26" s="478"/>
      <c r="S26" s="478"/>
      <c r="T26" s="478"/>
      <c r="U26" s="478"/>
      <c r="V26" s="478"/>
      <c r="W26" s="478"/>
      <c r="X26" s="478"/>
      <c r="Y26" s="478"/>
      <c r="Z26" s="478"/>
      <c r="AA26" s="478"/>
      <c r="AB26" s="500"/>
      <c r="AE26" s="87"/>
      <c r="AF26" s="87"/>
      <c r="AG26" s="87"/>
      <c r="AH26" s="87"/>
      <c r="AI26" s="87"/>
      <c r="AJ26" s="87"/>
      <c r="AK26" s="87"/>
      <c r="AL26" s="87"/>
      <c r="AM26" s="87"/>
    </row>
    <row r="27" spans="1:39" ht="23.1" customHeight="1" x14ac:dyDescent="0.25">
      <c r="A27" s="453"/>
      <c r="B27" s="478"/>
      <c r="C27" s="479"/>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496" t="s">
        <v>236</v>
      </c>
      <c r="R27" s="629"/>
      <c r="S27" s="629"/>
      <c r="T27" s="497"/>
      <c r="U27" s="496" t="s">
        <v>62</v>
      </c>
      <c r="V27" s="629"/>
      <c r="W27" s="629"/>
      <c r="X27" s="497"/>
      <c r="Y27" s="496" t="s">
        <v>63</v>
      </c>
      <c r="Z27" s="629"/>
      <c r="AA27" s="629"/>
      <c r="AB27" s="630"/>
      <c r="AE27" s="87"/>
      <c r="AF27" s="87"/>
      <c r="AG27" s="87"/>
      <c r="AH27" s="87"/>
      <c r="AI27" s="87"/>
      <c r="AJ27" s="87"/>
      <c r="AK27" s="87"/>
      <c r="AL27" s="87"/>
      <c r="AM27" s="87"/>
    </row>
    <row r="28" spans="1:39" ht="33" customHeight="1" x14ac:dyDescent="0.25">
      <c r="A28" s="821"/>
      <c r="B28" s="756"/>
      <c r="C28" s="90" t="s">
        <v>64</v>
      </c>
      <c r="D28" s="89"/>
      <c r="E28" s="89"/>
      <c r="F28" s="89"/>
      <c r="G28" s="89"/>
      <c r="H28" s="89"/>
      <c r="I28" s="89"/>
      <c r="J28" s="89"/>
      <c r="K28" s="89"/>
      <c r="L28" s="89"/>
      <c r="M28" s="89"/>
      <c r="N28" s="89"/>
      <c r="O28" s="89"/>
      <c r="P28" s="160">
        <f>SUM(D28:O28)</f>
        <v>0</v>
      </c>
      <c r="Q28" s="823" t="s">
        <v>237</v>
      </c>
      <c r="R28" s="824"/>
      <c r="S28" s="824"/>
      <c r="T28" s="825"/>
      <c r="U28" s="823" t="s">
        <v>238</v>
      </c>
      <c r="V28" s="824"/>
      <c r="W28" s="824"/>
      <c r="X28" s="825"/>
      <c r="Y28" s="823" t="s">
        <v>239</v>
      </c>
      <c r="Z28" s="824"/>
      <c r="AA28" s="824"/>
      <c r="AB28" s="891"/>
      <c r="AE28" s="87"/>
      <c r="AF28" s="87"/>
      <c r="AG28" s="87"/>
      <c r="AH28" s="87"/>
      <c r="AI28" s="87"/>
      <c r="AJ28" s="87"/>
      <c r="AK28" s="87"/>
      <c r="AL28" s="87"/>
      <c r="AM28" s="87"/>
    </row>
    <row r="29" spans="1:39" ht="33.950000000000003" customHeight="1" thickBot="1" x14ac:dyDescent="0.3">
      <c r="A29" s="822"/>
      <c r="B29" s="829"/>
      <c r="C29" s="91" t="s">
        <v>68</v>
      </c>
      <c r="D29" s="92"/>
      <c r="E29" s="92"/>
      <c r="F29" s="92"/>
      <c r="G29" s="93"/>
      <c r="H29" s="93"/>
      <c r="I29" s="93"/>
      <c r="J29" s="93"/>
      <c r="K29" s="93"/>
      <c r="L29" s="93"/>
      <c r="M29" s="93"/>
      <c r="N29" s="93"/>
      <c r="O29" s="93"/>
      <c r="P29" s="161">
        <f>SUM(D29:O29)</f>
        <v>0</v>
      </c>
      <c r="Q29" s="826"/>
      <c r="R29" s="827"/>
      <c r="S29" s="827"/>
      <c r="T29" s="828"/>
      <c r="U29" s="826"/>
      <c r="V29" s="827"/>
      <c r="W29" s="827"/>
      <c r="X29" s="828"/>
      <c r="Y29" s="826"/>
      <c r="Z29" s="827"/>
      <c r="AA29" s="827"/>
      <c r="AB29" s="892"/>
      <c r="AC29" s="49"/>
      <c r="AE29" s="87"/>
      <c r="AF29" s="87"/>
      <c r="AG29" s="87"/>
      <c r="AH29" s="87"/>
      <c r="AI29" s="87"/>
      <c r="AJ29" s="87"/>
      <c r="AK29" s="87"/>
      <c r="AL29" s="87"/>
      <c r="AM29" s="87"/>
    </row>
    <row r="30" spans="1:39" ht="26.1" customHeight="1" x14ac:dyDescent="0.25">
      <c r="A30" s="452" t="s">
        <v>69</v>
      </c>
      <c r="B30" s="816" t="s">
        <v>70</v>
      </c>
      <c r="C30" s="456" t="s">
        <v>71</v>
      </c>
      <c r="D30" s="456"/>
      <c r="E30" s="456"/>
      <c r="F30" s="456"/>
      <c r="G30" s="456"/>
      <c r="H30" s="456"/>
      <c r="I30" s="456"/>
      <c r="J30" s="456"/>
      <c r="K30" s="456"/>
      <c r="L30" s="456"/>
      <c r="M30" s="456"/>
      <c r="N30" s="456"/>
      <c r="O30" s="456"/>
      <c r="P30" s="456"/>
      <c r="Q30" s="454" t="s">
        <v>72</v>
      </c>
      <c r="R30" s="458"/>
      <c r="S30" s="458"/>
      <c r="T30" s="458"/>
      <c r="U30" s="458"/>
      <c r="V30" s="458"/>
      <c r="W30" s="458"/>
      <c r="X30" s="458"/>
      <c r="Y30" s="458"/>
      <c r="Z30" s="458"/>
      <c r="AA30" s="458"/>
      <c r="AB30" s="459"/>
      <c r="AE30" s="87"/>
      <c r="AF30" s="87"/>
      <c r="AG30" s="87"/>
      <c r="AH30" s="87"/>
      <c r="AI30" s="87"/>
      <c r="AJ30" s="87"/>
      <c r="AK30" s="87"/>
      <c r="AL30" s="87"/>
      <c r="AM30" s="87"/>
    </row>
    <row r="31" spans="1:39" ht="26.1" customHeight="1" x14ac:dyDescent="0.25">
      <c r="A31" s="453"/>
      <c r="B31" s="817"/>
      <c r="C31" s="88" t="s">
        <v>73</v>
      </c>
      <c r="D31" s="88" t="s">
        <v>74</v>
      </c>
      <c r="E31" s="88" t="s">
        <v>75</v>
      </c>
      <c r="F31" s="88" t="s">
        <v>76</v>
      </c>
      <c r="G31" s="88" t="s">
        <v>77</v>
      </c>
      <c r="H31" s="88" t="s">
        <v>78</v>
      </c>
      <c r="I31" s="88" t="s">
        <v>79</v>
      </c>
      <c r="J31" s="88" t="s">
        <v>80</v>
      </c>
      <c r="K31" s="88" t="s">
        <v>81</v>
      </c>
      <c r="L31" s="88" t="s">
        <v>82</v>
      </c>
      <c r="M31" s="88" t="s">
        <v>83</v>
      </c>
      <c r="N31" s="88" t="s">
        <v>84</v>
      </c>
      <c r="O31" s="88" t="s">
        <v>85</v>
      </c>
      <c r="P31" s="88" t="s">
        <v>86</v>
      </c>
      <c r="Q31" s="455" t="s">
        <v>87</v>
      </c>
      <c r="R31" s="498"/>
      <c r="S31" s="498"/>
      <c r="T31" s="498"/>
      <c r="U31" s="498"/>
      <c r="V31" s="498"/>
      <c r="W31" s="498"/>
      <c r="X31" s="498"/>
      <c r="Y31" s="498"/>
      <c r="Z31" s="498"/>
      <c r="AA31" s="498"/>
      <c r="AB31" s="860"/>
      <c r="AE31" s="94"/>
      <c r="AF31" s="94"/>
      <c r="AG31" s="94"/>
      <c r="AH31" s="94"/>
      <c r="AI31" s="94"/>
      <c r="AJ31" s="94"/>
      <c r="AK31" s="94"/>
      <c r="AL31" s="94"/>
      <c r="AM31" s="94"/>
    </row>
    <row r="32" spans="1:39" ht="28.5" customHeight="1" x14ac:dyDescent="0.25">
      <c r="A32" s="819"/>
      <c r="B32" s="814"/>
      <c r="C32" s="90" t="s">
        <v>64</v>
      </c>
      <c r="D32" s="95"/>
      <c r="E32" s="95"/>
      <c r="F32" s="95"/>
      <c r="G32" s="95"/>
      <c r="H32" s="95"/>
      <c r="I32" s="95"/>
      <c r="J32" s="95"/>
      <c r="K32" s="95"/>
      <c r="L32" s="95"/>
      <c r="M32" s="95"/>
      <c r="N32" s="95"/>
      <c r="O32" s="95"/>
      <c r="P32" s="96">
        <f t="shared" ref="P32:P39" si="0">SUM(D32:O32)</f>
        <v>0</v>
      </c>
      <c r="Q32" s="864" t="s">
        <v>240</v>
      </c>
      <c r="R32" s="865"/>
      <c r="S32" s="865"/>
      <c r="T32" s="865"/>
      <c r="U32" s="865"/>
      <c r="V32" s="865"/>
      <c r="W32" s="865"/>
      <c r="X32" s="865"/>
      <c r="Y32" s="865"/>
      <c r="Z32" s="865"/>
      <c r="AA32" s="865"/>
      <c r="AB32" s="866"/>
      <c r="AC32" s="97"/>
      <c r="AE32" s="98"/>
      <c r="AF32" s="98"/>
      <c r="AG32" s="98"/>
      <c r="AH32" s="98"/>
      <c r="AI32" s="98"/>
      <c r="AJ32" s="98"/>
      <c r="AK32" s="98"/>
      <c r="AL32" s="98"/>
      <c r="AM32" s="98"/>
    </row>
    <row r="33" spans="1:29" ht="28.5" customHeight="1" x14ac:dyDescent="0.25">
      <c r="A33" s="820"/>
      <c r="B33" s="815"/>
      <c r="C33" s="99" t="s">
        <v>68</v>
      </c>
      <c r="D33" s="100"/>
      <c r="E33" s="100"/>
      <c r="F33" s="100"/>
      <c r="G33" s="100"/>
      <c r="H33" s="100"/>
      <c r="I33" s="100"/>
      <c r="J33" s="100"/>
      <c r="K33" s="100"/>
      <c r="L33" s="100"/>
      <c r="M33" s="100"/>
      <c r="N33" s="100"/>
      <c r="O33" s="100"/>
      <c r="P33" s="101">
        <f t="shared" si="0"/>
        <v>0</v>
      </c>
      <c r="Q33" s="867"/>
      <c r="R33" s="868"/>
      <c r="S33" s="868"/>
      <c r="T33" s="868"/>
      <c r="U33" s="868"/>
      <c r="V33" s="868"/>
      <c r="W33" s="868"/>
      <c r="X33" s="868"/>
      <c r="Y33" s="868"/>
      <c r="Z33" s="868"/>
      <c r="AA33" s="868"/>
      <c r="AB33" s="869"/>
      <c r="AC33" s="97"/>
    </row>
    <row r="34" spans="1:29" ht="28.5" customHeight="1" x14ac:dyDescent="0.25">
      <c r="A34" s="820"/>
      <c r="B34" s="818"/>
      <c r="C34" s="102" t="s">
        <v>64</v>
      </c>
      <c r="D34" s="103"/>
      <c r="E34" s="103"/>
      <c r="F34" s="103"/>
      <c r="G34" s="103"/>
      <c r="H34" s="103"/>
      <c r="I34" s="103"/>
      <c r="J34" s="103"/>
      <c r="K34" s="103"/>
      <c r="L34" s="103"/>
      <c r="M34" s="103"/>
      <c r="N34" s="103"/>
      <c r="O34" s="103"/>
      <c r="P34" s="101">
        <f t="shared" si="0"/>
        <v>0</v>
      </c>
      <c r="Q34" s="839"/>
      <c r="R34" s="840"/>
      <c r="S34" s="840"/>
      <c r="T34" s="840"/>
      <c r="U34" s="840"/>
      <c r="V34" s="840"/>
      <c r="W34" s="840"/>
      <c r="X34" s="840"/>
      <c r="Y34" s="840"/>
      <c r="Z34" s="840"/>
      <c r="AA34" s="840"/>
      <c r="AB34" s="841"/>
      <c r="AC34" s="97"/>
    </row>
    <row r="35" spans="1:29" ht="28.5" customHeight="1" x14ac:dyDescent="0.25">
      <c r="A35" s="820"/>
      <c r="B35" s="815"/>
      <c r="C35" s="99" t="s">
        <v>68</v>
      </c>
      <c r="D35" s="100"/>
      <c r="E35" s="100"/>
      <c r="F35" s="100"/>
      <c r="G35" s="100"/>
      <c r="H35" s="100"/>
      <c r="I35" s="100"/>
      <c r="J35" s="100"/>
      <c r="K35" s="100"/>
      <c r="L35" s="104"/>
      <c r="M35" s="104"/>
      <c r="N35" s="104"/>
      <c r="O35" s="104"/>
      <c r="P35" s="101">
        <f t="shared" si="0"/>
        <v>0</v>
      </c>
      <c r="Q35" s="845"/>
      <c r="R35" s="846"/>
      <c r="S35" s="846"/>
      <c r="T35" s="846"/>
      <c r="U35" s="846"/>
      <c r="V35" s="846"/>
      <c r="W35" s="846"/>
      <c r="X35" s="846"/>
      <c r="Y35" s="846"/>
      <c r="Z35" s="846"/>
      <c r="AA35" s="846"/>
      <c r="AB35" s="847"/>
      <c r="AC35" s="97"/>
    </row>
    <row r="36" spans="1:29" ht="28.5" customHeight="1" x14ac:dyDescent="0.25">
      <c r="A36" s="812"/>
      <c r="B36" s="818"/>
      <c r="C36" s="102" t="s">
        <v>64</v>
      </c>
      <c r="D36" s="103"/>
      <c r="E36" s="103"/>
      <c r="F36" s="103"/>
      <c r="G36" s="103"/>
      <c r="H36" s="103"/>
      <c r="I36" s="103"/>
      <c r="J36" s="103"/>
      <c r="K36" s="103"/>
      <c r="L36" s="103"/>
      <c r="M36" s="103"/>
      <c r="N36" s="103"/>
      <c r="O36" s="103"/>
      <c r="P36" s="101">
        <f t="shared" si="0"/>
        <v>0</v>
      </c>
      <c r="Q36" s="839"/>
      <c r="R36" s="840"/>
      <c r="S36" s="840"/>
      <c r="T36" s="840"/>
      <c r="U36" s="840"/>
      <c r="V36" s="840"/>
      <c r="W36" s="840"/>
      <c r="X36" s="840"/>
      <c r="Y36" s="840"/>
      <c r="Z36" s="840"/>
      <c r="AA36" s="840"/>
      <c r="AB36" s="841"/>
      <c r="AC36" s="97"/>
    </row>
    <row r="37" spans="1:29" ht="28.5" customHeight="1" x14ac:dyDescent="0.25">
      <c r="A37" s="813"/>
      <c r="B37" s="815"/>
      <c r="C37" s="99" t="s">
        <v>68</v>
      </c>
      <c r="D37" s="100"/>
      <c r="E37" s="100"/>
      <c r="F37" s="100"/>
      <c r="G37" s="100"/>
      <c r="H37" s="100"/>
      <c r="I37" s="100"/>
      <c r="J37" s="100"/>
      <c r="K37" s="100"/>
      <c r="L37" s="104"/>
      <c r="M37" s="104"/>
      <c r="N37" s="104"/>
      <c r="O37" s="104"/>
      <c r="P37" s="101">
        <f t="shared" si="0"/>
        <v>0</v>
      </c>
      <c r="Q37" s="845"/>
      <c r="R37" s="846"/>
      <c r="S37" s="846"/>
      <c r="T37" s="846"/>
      <c r="U37" s="846"/>
      <c r="V37" s="846"/>
      <c r="W37" s="846"/>
      <c r="X37" s="846"/>
      <c r="Y37" s="846"/>
      <c r="Z37" s="846"/>
      <c r="AA37" s="846"/>
      <c r="AB37" s="847"/>
      <c r="AC37" s="97"/>
    </row>
    <row r="38" spans="1:29" ht="28.5" customHeight="1" x14ac:dyDescent="0.25">
      <c r="A38" s="851"/>
      <c r="B38" s="818"/>
      <c r="C38" s="102" t="s">
        <v>64</v>
      </c>
      <c r="D38" s="103"/>
      <c r="E38" s="103"/>
      <c r="F38" s="103"/>
      <c r="G38" s="103"/>
      <c r="H38" s="103"/>
      <c r="I38" s="103"/>
      <c r="J38" s="103"/>
      <c r="K38" s="103"/>
      <c r="L38" s="103"/>
      <c r="M38" s="103"/>
      <c r="N38" s="103"/>
      <c r="O38" s="103"/>
      <c r="P38" s="101">
        <f t="shared" si="0"/>
        <v>0</v>
      </c>
      <c r="Q38" s="839"/>
      <c r="R38" s="840"/>
      <c r="S38" s="840"/>
      <c r="T38" s="840"/>
      <c r="U38" s="840"/>
      <c r="V38" s="840"/>
      <c r="W38" s="840"/>
      <c r="X38" s="840"/>
      <c r="Y38" s="840"/>
      <c r="Z38" s="840"/>
      <c r="AA38" s="840"/>
      <c r="AB38" s="841"/>
      <c r="AC38" s="97"/>
    </row>
    <row r="39" spans="1:29" ht="28.5" customHeight="1" thickBot="1" x14ac:dyDescent="0.3">
      <c r="A39" s="852"/>
      <c r="B39" s="838"/>
      <c r="C39" s="91" t="s">
        <v>68</v>
      </c>
      <c r="D39" s="105"/>
      <c r="E39" s="105"/>
      <c r="F39" s="105"/>
      <c r="G39" s="105"/>
      <c r="H39" s="105"/>
      <c r="I39" s="105"/>
      <c r="J39" s="105"/>
      <c r="K39" s="105"/>
      <c r="L39" s="106"/>
      <c r="M39" s="106"/>
      <c r="N39" s="106"/>
      <c r="O39" s="106"/>
      <c r="P39" s="107">
        <f t="shared" si="0"/>
        <v>0</v>
      </c>
      <c r="Q39" s="842"/>
      <c r="R39" s="843"/>
      <c r="S39" s="843"/>
      <c r="T39" s="843"/>
      <c r="U39" s="843"/>
      <c r="V39" s="843"/>
      <c r="W39" s="843"/>
      <c r="X39" s="843"/>
      <c r="Y39" s="843"/>
      <c r="Z39" s="843"/>
      <c r="AA39" s="843"/>
      <c r="AB39" s="844"/>
      <c r="AC39" s="97"/>
    </row>
    <row r="40" spans="1:29" x14ac:dyDescent="0.25">
      <c r="A40" s="50" t="s">
        <v>90</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C41"/>
  <sheetViews>
    <sheetView showGridLines="0" tabSelected="1" topLeftCell="AL15" zoomScale="65" zoomScaleNormal="65" workbookViewId="0">
      <selection activeCell="AW17" sqref="AW17"/>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4" customWidth="1"/>
    <col min="48" max="48" width="79.42578125" style="108" customWidth="1"/>
    <col min="49" max="49" width="114.85546875" style="108" customWidth="1"/>
    <col min="50" max="50" width="61.42578125" style="108" customWidth="1"/>
    <col min="51" max="51" width="24.42578125" style="108" customWidth="1"/>
    <col min="52" max="16384" width="10.85546875" style="108"/>
  </cols>
  <sheetData>
    <row r="1" spans="1:55" ht="15.95" customHeight="1" x14ac:dyDescent="0.25">
      <c r="A1" s="959" t="s">
        <v>0</v>
      </c>
      <c r="B1" s="960"/>
      <c r="C1" s="960"/>
      <c r="D1" s="960"/>
      <c r="E1" s="960"/>
      <c r="F1" s="960"/>
      <c r="G1" s="960"/>
      <c r="H1" s="960"/>
      <c r="I1" s="960"/>
      <c r="J1" s="960"/>
      <c r="K1" s="960"/>
      <c r="L1" s="960"/>
      <c r="M1" s="960"/>
      <c r="N1" s="960"/>
      <c r="O1" s="960"/>
      <c r="P1" s="960"/>
      <c r="Q1" s="960"/>
      <c r="R1" s="960"/>
      <c r="S1" s="960"/>
      <c r="T1" s="960"/>
      <c r="U1" s="960"/>
      <c r="V1" s="960"/>
      <c r="W1" s="960"/>
      <c r="X1" s="960"/>
      <c r="Y1" s="960"/>
      <c r="Z1" s="960"/>
      <c r="AA1" s="960"/>
      <c r="AB1" s="960"/>
      <c r="AC1" s="960"/>
      <c r="AD1" s="960"/>
      <c r="AE1" s="960"/>
      <c r="AF1" s="960"/>
      <c r="AG1" s="960"/>
      <c r="AH1" s="960"/>
      <c r="AI1" s="960"/>
      <c r="AJ1" s="960"/>
      <c r="AK1" s="960"/>
      <c r="AL1" s="960"/>
      <c r="AM1" s="960"/>
      <c r="AN1" s="960"/>
      <c r="AO1" s="960"/>
      <c r="AP1" s="960"/>
      <c r="AQ1" s="960"/>
      <c r="AR1" s="960"/>
      <c r="AS1" s="960"/>
      <c r="AT1" s="960"/>
      <c r="AU1" s="960"/>
      <c r="AV1" s="960"/>
      <c r="AW1" s="961"/>
      <c r="AX1" s="884" t="s">
        <v>1</v>
      </c>
      <c r="AY1" s="885"/>
    </row>
    <row r="2" spans="1:55" ht="15.95" customHeight="1" x14ac:dyDescent="0.25">
      <c r="A2" s="962" t="s">
        <v>2</v>
      </c>
      <c r="B2" s="963"/>
      <c r="C2" s="963"/>
      <c r="D2" s="963"/>
      <c r="E2" s="963"/>
      <c r="F2" s="963"/>
      <c r="G2" s="963"/>
      <c r="H2" s="963"/>
      <c r="I2" s="963"/>
      <c r="J2" s="963"/>
      <c r="K2" s="963"/>
      <c r="L2" s="963"/>
      <c r="M2" s="963"/>
      <c r="N2" s="963"/>
      <c r="O2" s="963"/>
      <c r="P2" s="963"/>
      <c r="Q2" s="963"/>
      <c r="R2" s="963"/>
      <c r="S2" s="963"/>
      <c r="T2" s="963"/>
      <c r="U2" s="963"/>
      <c r="V2" s="963"/>
      <c r="W2" s="963"/>
      <c r="X2" s="963"/>
      <c r="Y2" s="963"/>
      <c r="Z2" s="963"/>
      <c r="AA2" s="963"/>
      <c r="AB2" s="963"/>
      <c r="AC2" s="963"/>
      <c r="AD2" s="963"/>
      <c r="AE2" s="963"/>
      <c r="AF2" s="963"/>
      <c r="AG2" s="963"/>
      <c r="AH2" s="963"/>
      <c r="AI2" s="963"/>
      <c r="AJ2" s="963"/>
      <c r="AK2" s="963"/>
      <c r="AL2" s="963"/>
      <c r="AM2" s="963"/>
      <c r="AN2" s="963"/>
      <c r="AO2" s="963"/>
      <c r="AP2" s="963"/>
      <c r="AQ2" s="963"/>
      <c r="AR2" s="963"/>
      <c r="AS2" s="963"/>
      <c r="AT2" s="963"/>
      <c r="AU2" s="963"/>
      <c r="AV2" s="963"/>
      <c r="AW2" s="964"/>
      <c r="AX2" s="956" t="s">
        <v>3</v>
      </c>
      <c r="AY2" s="957"/>
    </row>
    <row r="3" spans="1:55" ht="15" customHeight="1" x14ac:dyDescent="0.25">
      <c r="A3" s="965" t="s">
        <v>241</v>
      </c>
      <c r="B3" s="966"/>
      <c r="C3" s="966"/>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c r="AG3" s="966"/>
      <c r="AH3" s="966"/>
      <c r="AI3" s="966"/>
      <c r="AJ3" s="966"/>
      <c r="AK3" s="966"/>
      <c r="AL3" s="966"/>
      <c r="AM3" s="966"/>
      <c r="AN3" s="966"/>
      <c r="AO3" s="966"/>
      <c r="AP3" s="966"/>
      <c r="AQ3" s="966"/>
      <c r="AR3" s="966"/>
      <c r="AS3" s="966"/>
      <c r="AT3" s="966"/>
      <c r="AU3" s="966"/>
      <c r="AV3" s="966"/>
      <c r="AW3" s="967"/>
      <c r="AX3" s="956" t="s">
        <v>5</v>
      </c>
      <c r="AY3" s="957"/>
    </row>
    <row r="4" spans="1:55" ht="15.95" customHeight="1" x14ac:dyDescent="0.25">
      <c r="A4" s="959"/>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c r="AJ4" s="960"/>
      <c r="AK4" s="960"/>
      <c r="AL4" s="960"/>
      <c r="AM4" s="960"/>
      <c r="AN4" s="960"/>
      <c r="AO4" s="960"/>
      <c r="AP4" s="960"/>
      <c r="AQ4" s="960"/>
      <c r="AR4" s="960"/>
      <c r="AS4" s="960"/>
      <c r="AT4" s="960"/>
      <c r="AU4" s="960"/>
      <c r="AV4" s="960"/>
      <c r="AW4" s="961"/>
      <c r="AX4" s="958" t="s">
        <v>242</v>
      </c>
      <c r="AY4" s="958"/>
    </row>
    <row r="5" spans="1:55" ht="15" customHeight="1" x14ac:dyDescent="0.25">
      <c r="A5" s="925" t="s">
        <v>177</v>
      </c>
      <c r="B5" s="926"/>
      <c r="C5" s="926"/>
      <c r="D5" s="926"/>
      <c r="E5" s="926"/>
      <c r="F5" s="926"/>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7"/>
      <c r="AH5" s="938" t="s">
        <v>13</v>
      </c>
      <c r="AI5" s="947"/>
      <c r="AJ5" s="947"/>
      <c r="AK5" s="947"/>
      <c r="AL5" s="947"/>
      <c r="AM5" s="947"/>
      <c r="AN5" s="947"/>
      <c r="AO5" s="947"/>
      <c r="AP5" s="947"/>
      <c r="AQ5" s="947"/>
      <c r="AR5" s="947"/>
      <c r="AS5" s="947"/>
      <c r="AT5" s="947"/>
      <c r="AU5" s="939"/>
      <c r="AV5" s="931" t="s">
        <v>243</v>
      </c>
      <c r="AW5" s="931" t="s">
        <v>244</v>
      </c>
      <c r="AX5" s="931" t="s">
        <v>245</v>
      </c>
      <c r="AY5" s="931" t="s">
        <v>246</v>
      </c>
    </row>
    <row r="6" spans="1:55" ht="15" customHeight="1" x14ac:dyDescent="0.25">
      <c r="A6" s="950" t="s">
        <v>9</v>
      </c>
      <c r="B6" s="950"/>
      <c r="C6" s="950"/>
      <c r="D6" s="951">
        <v>45141</v>
      </c>
      <c r="E6" s="952"/>
      <c r="F6" s="938" t="s">
        <v>10</v>
      </c>
      <c r="G6" s="939"/>
      <c r="H6" s="934" t="s">
        <v>11</v>
      </c>
      <c r="I6" s="934"/>
      <c r="J6" s="266"/>
      <c r="K6" s="938"/>
      <c r="L6" s="947"/>
      <c r="M6" s="947"/>
      <c r="N6" s="947"/>
      <c r="O6" s="947"/>
      <c r="P6" s="947"/>
      <c r="Q6" s="947"/>
      <c r="R6" s="947"/>
      <c r="S6" s="947"/>
      <c r="T6" s="947"/>
      <c r="U6" s="947"/>
      <c r="V6" s="109"/>
      <c r="W6" s="109"/>
      <c r="X6" s="109"/>
      <c r="Y6" s="109"/>
      <c r="Z6" s="109"/>
      <c r="AA6" s="109"/>
      <c r="AB6" s="109"/>
      <c r="AC6" s="109"/>
      <c r="AD6" s="109"/>
      <c r="AE6" s="109"/>
      <c r="AF6" s="109"/>
      <c r="AG6" s="110"/>
      <c r="AH6" s="940"/>
      <c r="AI6" s="948"/>
      <c r="AJ6" s="948"/>
      <c r="AK6" s="948"/>
      <c r="AL6" s="948"/>
      <c r="AM6" s="948"/>
      <c r="AN6" s="948"/>
      <c r="AO6" s="948"/>
      <c r="AP6" s="948"/>
      <c r="AQ6" s="948"/>
      <c r="AR6" s="948"/>
      <c r="AS6" s="948"/>
      <c r="AT6" s="948"/>
      <c r="AU6" s="941"/>
      <c r="AV6" s="933"/>
      <c r="AW6" s="933"/>
      <c r="AX6" s="933"/>
      <c r="AY6" s="933"/>
    </row>
    <row r="7" spans="1:55" ht="15" customHeight="1" x14ac:dyDescent="0.25">
      <c r="A7" s="950"/>
      <c r="B7" s="950"/>
      <c r="C7" s="950"/>
      <c r="D7" s="952"/>
      <c r="E7" s="952"/>
      <c r="F7" s="940"/>
      <c r="G7" s="941"/>
      <c r="H7" s="934" t="s">
        <v>12</v>
      </c>
      <c r="I7" s="934"/>
      <c r="J7" s="266"/>
      <c r="K7" s="940"/>
      <c r="L7" s="948"/>
      <c r="M7" s="948"/>
      <c r="N7" s="948"/>
      <c r="O7" s="948"/>
      <c r="P7" s="948"/>
      <c r="Q7" s="948"/>
      <c r="R7" s="948"/>
      <c r="S7" s="948"/>
      <c r="T7" s="948"/>
      <c r="U7" s="948"/>
      <c r="V7" s="111"/>
      <c r="W7" s="111"/>
      <c r="X7" s="111"/>
      <c r="Y7" s="111"/>
      <c r="Z7" s="111"/>
      <c r="AA7" s="111"/>
      <c r="AB7" s="111"/>
      <c r="AC7" s="111"/>
      <c r="AD7" s="111"/>
      <c r="AE7" s="111"/>
      <c r="AF7" s="111"/>
      <c r="AG7" s="112"/>
      <c r="AH7" s="940"/>
      <c r="AI7" s="948"/>
      <c r="AJ7" s="948"/>
      <c r="AK7" s="948"/>
      <c r="AL7" s="948"/>
      <c r="AM7" s="948"/>
      <c r="AN7" s="948"/>
      <c r="AO7" s="948"/>
      <c r="AP7" s="948"/>
      <c r="AQ7" s="948"/>
      <c r="AR7" s="948"/>
      <c r="AS7" s="948"/>
      <c r="AT7" s="948"/>
      <c r="AU7" s="941"/>
      <c r="AV7" s="933"/>
      <c r="AW7" s="933"/>
      <c r="AX7" s="933"/>
      <c r="AY7" s="933"/>
    </row>
    <row r="8" spans="1:55" ht="15" customHeight="1" x14ac:dyDescent="0.25">
      <c r="A8" s="950"/>
      <c r="B8" s="950"/>
      <c r="C8" s="950"/>
      <c r="D8" s="952"/>
      <c r="E8" s="952"/>
      <c r="F8" s="942"/>
      <c r="G8" s="943"/>
      <c r="H8" s="934" t="s">
        <v>13</v>
      </c>
      <c r="I8" s="934"/>
      <c r="J8" s="266" t="s">
        <v>14</v>
      </c>
      <c r="K8" s="942"/>
      <c r="L8" s="949"/>
      <c r="M8" s="949"/>
      <c r="N8" s="949"/>
      <c r="O8" s="949"/>
      <c r="P8" s="949"/>
      <c r="Q8" s="949"/>
      <c r="R8" s="949"/>
      <c r="S8" s="949"/>
      <c r="T8" s="949"/>
      <c r="U8" s="949"/>
      <c r="V8" s="113"/>
      <c r="W8" s="113"/>
      <c r="X8" s="113"/>
      <c r="Y8" s="113"/>
      <c r="Z8" s="113"/>
      <c r="AA8" s="113"/>
      <c r="AB8" s="113"/>
      <c r="AC8" s="113"/>
      <c r="AD8" s="113"/>
      <c r="AE8" s="113"/>
      <c r="AF8" s="113"/>
      <c r="AG8" s="114"/>
      <c r="AH8" s="940"/>
      <c r="AI8" s="948"/>
      <c r="AJ8" s="948"/>
      <c r="AK8" s="948"/>
      <c r="AL8" s="948"/>
      <c r="AM8" s="948"/>
      <c r="AN8" s="948"/>
      <c r="AO8" s="948"/>
      <c r="AP8" s="948"/>
      <c r="AQ8" s="948"/>
      <c r="AR8" s="948"/>
      <c r="AS8" s="948"/>
      <c r="AT8" s="948"/>
      <c r="AU8" s="941"/>
      <c r="AV8" s="933"/>
      <c r="AW8" s="933"/>
      <c r="AX8" s="933"/>
      <c r="AY8" s="933"/>
    </row>
    <row r="9" spans="1:55" ht="15" customHeight="1" x14ac:dyDescent="0.25">
      <c r="A9" s="953" t="s">
        <v>247</v>
      </c>
      <c r="B9" s="954"/>
      <c r="C9" s="955"/>
      <c r="D9" s="928" t="s">
        <v>22</v>
      </c>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30"/>
      <c r="AH9" s="940"/>
      <c r="AI9" s="948"/>
      <c r="AJ9" s="948"/>
      <c r="AK9" s="948"/>
      <c r="AL9" s="948"/>
      <c r="AM9" s="948"/>
      <c r="AN9" s="948"/>
      <c r="AO9" s="948"/>
      <c r="AP9" s="948"/>
      <c r="AQ9" s="948"/>
      <c r="AR9" s="948"/>
      <c r="AS9" s="948"/>
      <c r="AT9" s="948"/>
      <c r="AU9" s="941"/>
      <c r="AV9" s="933"/>
      <c r="AW9" s="933"/>
      <c r="AX9" s="933"/>
      <c r="AY9" s="933"/>
    </row>
    <row r="10" spans="1:55" ht="15" customHeight="1" x14ac:dyDescent="0.25">
      <c r="A10" s="944" t="s">
        <v>248</v>
      </c>
      <c r="B10" s="945"/>
      <c r="C10" s="946"/>
      <c r="D10" s="928" t="s">
        <v>249</v>
      </c>
      <c r="E10" s="929"/>
      <c r="F10" s="929"/>
      <c r="G10" s="929"/>
      <c r="H10" s="929"/>
      <c r="I10" s="929"/>
      <c r="J10" s="929"/>
      <c r="K10" s="929"/>
      <c r="L10" s="929"/>
      <c r="M10" s="929"/>
      <c r="N10" s="929"/>
      <c r="O10" s="929"/>
      <c r="P10" s="929"/>
      <c r="Q10" s="929"/>
      <c r="R10" s="929"/>
      <c r="S10" s="929"/>
      <c r="T10" s="929"/>
      <c r="U10" s="929"/>
      <c r="V10" s="929"/>
      <c r="W10" s="929"/>
      <c r="X10" s="929"/>
      <c r="Y10" s="929"/>
      <c r="Z10" s="929"/>
      <c r="AA10" s="929"/>
      <c r="AB10" s="929"/>
      <c r="AC10" s="929"/>
      <c r="AD10" s="929"/>
      <c r="AE10" s="929"/>
      <c r="AF10" s="929"/>
      <c r="AG10" s="930"/>
      <c r="AH10" s="942"/>
      <c r="AI10" s="949"/>
      <c r="AJ10" s="949"/>
      <c r="AK10" s="949"/>
      <c r="AL10" s="949"/>
      <c r="AM10" s="949"/>
      <c r="AN10" s="949"/>
      <c r="AO10" s="949"/>
      <c r="AP10" s="949"/>
      <c r="AQ10" s="949"/>
      <c r="AR10" s="949"/>
      <c r="AS10" s="949"/>
      <c r="AT10" s="949"/>
      <c r="AU10" s="943"/>
      <c r="AV10" s="933"/>
      <c r="AW10" s="933"/>
      <c r="AX10" s="933"/>
      <c r="AY10" s="933"/>
    </row>
    <row r="11" spans="1:55" ht="39.950000000000003" customHeight="1" x14ac:dyDescent="0.25">
      <c r="A11" s="935" t="s">
        <v>250</v>
      </c>
      <c r="B11" s="936"/>
      <c r="C11" s="936"/>
      <c r="D11" s="936"/>
      <c r="E11" s="936"/>
      <c r="F11" s="937"/>
      <c r="G11" s="935" t="s">
        <v>251</v>
      </c>
      <c r="H11" s="937"/>
      <c r="I11" s="931" t="s">
        <v>252</v>
      </c>
      <c r="J11" s="931" t="s">
        <v>253</v>
      </c>
      <c r="K11" s="931" t="s">
        <v>254</v>
      </c>
      <c r="L11" s="931" t="s">
        <v>255</v>
      </c>
      <c r="M11" s="931" t="s">
        <v>256</v>
      </c>
      <c r="N11" s="931" t="s">
        <v>257</v>
      </c>
      <c r="O11" s="935" t="s">
        <v>258</v>
      </c>
      <c r="P11" s="936"/>
      <c r="Q11" s="936"/>
      <c r="R11" s="936"/>
      <c r="S11" s="937"/>
      <c r="T11" s="931" t="s">
        <v>259</v>
      </c>
      <c r="U11" s="931" t="s">
        <v>260</v>
      </c>
      <c r="V11" s="925" t="s">
        <v>261</v>
      </c>
      <c r="W11" s="926"/>
      <c r="X11" s="926"/>
      <c r="Y11" s="926"/>
      <c r="Z11" s="926"/>
      <c r="AA11" s="926"/>
      <c r="AB11" s="926"/>
      <c r="AC11" s="926"/>
      <c r="AD11" s="926"/>
      <c r="AE11" s="926"/>
      <c r="AF11" s="926"/>
      <c r="AG11" s="927"/>
      <c r="AH11" s="925" t="s">
        <v>262</v>
      </c>
      <c r="AI11" s="926"/>
      <c r="AJ11" s="926"/>
      <c r="AK11" s="926"/>
      <c r="AL11" s="926"/>
      <c r="AM11" s="926"/>
      <c r="AN11" s="926"/>
      <c r="AO11" s="926"/>
      <c r="AP11" s="926"/>
      <c r="AQ11" s="926"/>
      <c r="AR11" s="926"/>
      <c r="AS11" s="927"/>
      <c r="AT11" s="935" t="s">
        <v>41</v>
      </c>
      <c r="AU11" s="937"/>
      <c r="AV11" s="933"/>
      <c r="AW11" s="933"/>
      <c r="AX11" s="933"/>
      <c r="AY11" s="933"/>
      <c r="BA11" s="307"/>
    </row>
    <row r="12" spans="1:55" ht="28.5" x14ac:dyDescent="0.25">
      <c r="A12" s="115" t="s">
        <v>263</v>
      </c>
      <c r="B12" s="115" t="s">
        <v>264</v>
      </c>
      <c r="C12" s="115" t="s">
        <v>265</v>
      </c>
      <c r="D12" s="115" t="s">
        <v>266</v>
      </c>
      <c r="E12" s="115" t="s">
        <v>267</v>
      </c>
      <c r="F12" s="115" t="s">
        <v>268</v>
      </c>
      <c r="G12" s="115" t="s">
        <v>269</v>
      </c>
      <c r="H12" s="115" t="s">
        <v>270</v>
      </c>
      <c r="I12" s="932"/>
      <c r="J12" s="932"/>
      <c r="K12" s="932"/>
      <c r="L12" s="932"/>
      <c r="M12" s="932"/>
      <c r="N12" s="932"/>
      <c r="O12" s="115">
        <v>2020</v>
      </c>
      <c r="P12" s="115">
        <v>2021</v>
      </c>
      <c r="Q12" s="115">
        <v>2022</v>
      </c>
      <c r="R12" s="115">
        <v>2023</v>
      </c>
      <c r="S12" s="115">
        <v>2024</v>
      </c>
      <c r="T12" s="932"/>
      <c r="U12" s="932"/>
      <c r="V12" s="118" t="s">
        <v>30</v>
      </c>
      <c r="W12" s="118" t="s">
        <v>31</v>
      </c>
      <c r="X12" s="118" t="s">
        <v>8</v>
      </c>
      <c r="Y12" s="118" t="s">
        <v>32</v>
      </c>
      <c r="Z12" s="118" t="s">
        <v>33</v>
      </c>
      <c r="AA12" s="118" t="s">
        <v>34</v>
      </c>
      <c r="AB12" s="118" t="s">
        <v>35</v>
      </c>
      <c r="AC12" s="118" t="s">
        <v>36</v>
      </c>
      <c r="AD12" s="118" t="s">
        <v>37</v>
      </c>
      <c r="AE12" s="118" t="s">
        <v>38</v>
      </c>
      <c r="AF12" s="118" t="s">
        <v>39</v>
      </c>
      <c r="AG12" s="118" t="s">
        <v>40</v>
      </c>
      <c r="AH12" s="118" t="s">
        <v>30</v>
      </c>
      <c r="AI12" s="118" t="s">
        <v>31</v>
      </c>
      <c r="AJ12" s="118" t="s">
        <v>8</v>
      </c>
      <c r="AK12" s="118" t="s">
        <v>32</v>
      </c>
      <c r="AL12" s="118" t="s">
        <v>33</v>
      </c>
      <c r="AM12" s="118" t="s">
        <v>34</v>
      </c>
      <c r="AN12" s="118" t="s">
        <v>35</v>
      </c>
      <c r="AO12" s="118" t="s">
        <v>36</v>
      </c>
      <c r="AP12" s="118" t="s">
        <v>37</v>
      </c>
      <c r="AQ12" s="118" t="s">
        <v>38</v>
      </c>
      <c r="AR12" s="118" t="s">
        <v>39</v>
      </c>
      <c r="AS12" s="118" t="s">
        <v>40</v>
      </c>
      <c r="AT12" s="115" t="s">
        <v>271</v>
      </c>
      <c r="AU12" s="193" t="s">
        <v>272</v>
      </c>
      <c r="AV12" s="933"/>
      <c r="AW12" s="933"/>
      <c r="AX12" s="933"/>
      <c r="AY12" s="933"/>
      <c r="BA12" s="307"/>
    </row>
    <row r="13" spans="1:55" ht="126" customHeight="1" x14ac:dyDescent="0.25">
      <c r="A13" s="386">
        <v>52</v>
      </c>
      <c r="B13" s="387" t="s">
        <v>163</v>
      </c>
      <c r="C13" s="387" t="s">
        <v>163</v>
      </c>
      <c r="D13" s="387" t="s">
        <v>163</v>
      </c>
      <c r="E13" s="387" t="s">
        <v>163</v>
      </c>
      <c r="F13" s="387" t="s">
        <v>163</v>
      </c>
      <c r="G13" s="388" t="s">
        <v>163</v>
      </c>
      <c r="H13" s="388" t="s">
        <v>163</v>
      </c>
      <c r="I13" s="431" t="s">
        <v>273</v>
      </c>
      <c r="J13" s="431" t="s">
        <v>274</v>
      </c>
      <c r="K13" s="387" t="s">
        <v>275</v>
      </c>
      <c r="L13" s="387">
        <v>1</v>
      </c>
      <c r="M13" s="387" t="s">
        <v>276</v>
      </c>
      <c r="N13" s="387" t="s">
        <v>277</v>
      </c>
      <c r="O13" s="387">
        <v>0.3</v>
      </c>
      <c r="P13" s="387">
        <v>0.7</v>
      </c>
      <c r="Q13" s="387">
        <v>1</v>
      </c>
      <c r="R13" s="387">
        <v>1</v>
      </c>
      <c r="S13" s="387">
        <v>1</v>
      </c>
      <c r="T13" s="387" t="s">
        <v>278</v>
      </c>
      <c r="U13" s="389" t="s">
        <v>279</v>
      </c>
      <c r="V13" s="401" t="s">
        <v>163</v>
      </c>
      <c r="W13" s="401" t="s">
        <v>163</v>
      </c>
      <c r="X13" s="401">
        <v>1</v>
      </c>
      <c r="Y13" s="401" t="s">
        <v>163</v>
      </c>
      <c r="Z13" s="401" t="s">
        <v>163</v>
      </c>
      <c r="AA13" s="401">
        <v>1</v>
      </c>
      <c r="AB13" s="401" t="s">
        <v>163</v>
      </c>
      <c r="AC13" s="401" t="s">
        <v>163</v>
      </c>
      <c r="AD13" s="401">
        <v>1</v>
      </c>
      <c r="AE13" s="401" t="s">
        <v>163</v>
      </c>
      <c r="AF13" s="401" t="s">
        <v>163</v>
      </c>
      <c r="AG13" s="401">
        <v>1</v>
      </c>
      <c r="AH13" s="402">
        <v>0</v>
      </c>
      <c r="AI13" s="403">
        <v>0</v>
      </c>
      <c r="AJ13" s="403">
        <v>1</v>
      </c>
      <c r="AK13" s="403">
        <v>0</v>
      </c>
      <c r="AL13" s="403">
        <v>0</v>
      </c>
      <c r="AM13" s="403">
        <v>1</v>
      </c>
      <c r="AN13" s="402">
        <v>0</v>
      </c>
      <c r="AO13" s="402" t="s">
        <v>163</v>
      </c>
      <c r="AP13" s="402" t="s">
        <v>163</v>
      </c>
      <c r="AQ13" s="402" t="s">
        <v>163</v>
      </c>
      <c r="AR13" s="402" t="s">
        <v>163</v>
      </c>
      <c r="AS13" s="402" t="s">
        <v>163</v>
      </c>
      <c r="AT13" s="404">
        <v>1</v>
      </c>
      <c r="AU13" s="405">
        <f t="shared" ref="AU13:AU18" si="0">+AT13/R13</f>
        <v>1</v>
      </c>
      <c r="AV13" s="360" t="s">
        <v>280</v>
      </c>
      <c r="AW13" s="360" t="s">
        <v>580</v>
      </c>
      <c r="AX13" s="424" t="s">
        <v>281</v>
      </c>
      <c r="AY13" s="424" t="s">
        <v>281</v>
      </c>
      <c r="BA13" s="308">
        <f>+R13-AVERAGE(V13:AG13)</f>
        <v>0</v>
      </c>
    </row>
    <row r="14" spans="1:55" ht="232.5" customHeight="1" x14ac:dyDescent="0.25">
      <c r="A14" s="390">
        <v>53</v>
      </c>
      <c r="B14" s="391" t="s">
        <v>163</v>
      </c>
      <c r="C14" s="391" t="s">
        <v>163</v>
      </c>
      <c r="D14" s="391" t="s">
        <v>163</v>
      </c>
      <c r="E14" s="391" t="s">
        <v>163</v>
      </c>
      <c r="F14" s="391" t="s">
        <v>163</v>
      </c>
      <c r="G14" s="388" t="s">
        <v>163</v>
      </c>
      <c r="H14" s="388" t="s">
        <v>163</v>
      </c>
      <c r="I14" s="432" t="s">
        <v>282</v>
      </c>
      <c r="J14" s="432" t="s">
        <v>283</v>
      </c>
      <c r="K14" s="391" t="s">
        <v>284</v>
      </c>
      <c r="L14" s="391">
        <v>100</v>
      </c>
      <c r="M14" s="391" t="s">
        <v>285</v>
      </c>
      <c r="N14" s="391" t="s">
        <v>286</v>
      </c>
      <c r="O14" s="391">
        <v>7</v>
      </c>
      <c r="P14" s="391">
        <v>18</v>
      </c>
      <c r="Q14" s="392">
        <v>25</v>
      </c>
      <c r="R14" s="391">
        <v>25</v>
      </c>
      <c r="S14" s="391">
        <v>25</v>
      </c>
      <c r="T14" s="393" t="s">
        <v>278</v>
      </c>
      <c r="U14" s="394" t="s">
        <v>279</v>
      </c>
      <c r="V14" s="406" t="s">
        <v>163</v>
      </c>
      <c r="W14" s="406" t="s">
        <v>163</v>
      </c>
      <c r="X14" s="406">
        <v>6.25</v>
      </c>
      <c r="Y14" s="406" t="s">
        <v>163</v>
      </c>
      <c r="Z14" s="406" t="s">
        <v>163</v>
      </c>
      <c r="AA14" s="406">
        <v>6.25</v>
      </c>
      <c r="AB14" s="406" t="s">
        <v>163</v>
      </c>
      <c r="AC14" s="406" t="s">
        <v>163</v>
      </c>
      <c r="AD14" s="406">
        <v>6.25</v>
      </c>
      <c r="AE14" s="406" t="s">
        <v>163</v>
      </c>
      <c r="AF14" s="406" t="s">
        <v>163</v>
      </c>
      <c r="AG14" s="406">
        <v>6.25</v>
      </c>
      <c r="AH14" s="407">
        <v>0</v>
      </c>
      <c r="AI14" s="407">
        <v>0</v>
      </c>
      <c r="AJ14" s="408">
        <v>6.25</v>
      </c>
      <c r="AK14" s="408">
        <v>0</v>
      </c>
      <c r="AL14" s="408">
        <v>0</v>
      </c>
      <c r="AM14" s="408">
        <v>6.25</v>
      </c>
      <c r="AN14" s="407">
        <v>0</v>
      </c>
      <c r="AO14" s="407" t="s">
        <v>163</v>
      </c>
      <c r="AP14" s="407" t="s">
        <v>163</v>
      </c>
      <c r="AQ14" s="407" t="s">
        <v>163</v>
      </c>
      <c r="AR14" s="407" t="s">
        <v>163</v>
      </c>
      <c r="AS14" s="407" t="s">
        <v>163</v>
      </c>
      <c r="AT14" s="409">
        <f>SUM(AH14:AS14)</f>
        <v>12.5</v>
      </c>
      <c r="AU14" s="405">
        <f t="shared" si="0"/>
        <v>0.5</v>
      </c>
      <c r="AV14" s="425" t="s">
        <v>280</v>
      </c>
      <c r="AW14" s="424" t="s">
        <v>287</v>
      </c>
      <c r="AX14" s="424" t="s">
        <v>281</v>
      </c>
      <c r="AY14" s="424" t="s">
        <v>281</v>
      </c>
      <c r="BA14" s="308">
        <f>+R14-SUM(V14:AG14)</f>
        <v>0</v>
      </c>
    </row>
    <row r="15" spans="1:55" ht="126" customHeight="1" x14ac:dyDescent="0.25">
      <c r="A15" s="390">
        <v>56</v>
      </c>
      <c r="B15" s="391" t="s">
        <v>163</v>
      </c>
      <c r="C15" s="391" t="s">
        <v>163</v>
      </c>
      <c r="D15" s="391" t="s">
        <v>163</v>
      </c>
      <c r="E15" s="391" t="s">
        <v>163</v>
      </c>
      <c r="F15" s="391" t="s">
        <v>163</v>
      </c>
      <c r="G15" s="388" t="s">
        <v>163</v>
      </c>
      <c r="H15" s="388" t="s">
        <v>163</v>
      </c>
      <c r="I15" s="432" t="s">
        <v>288</v>
      </c>
      <c r="J15" s="432" t="s">
        <v>289</v>
      </c>
      <c r="K15" s="391" t="s">
        <v>284</v>
      </c>
      <c r="L15" s="391">
        <v>2</v>
      </c>
      <c r="M15" s="391" t="s">
        <v>276</v>
      </c>
      <c r="N15" s="391" t="s">
        <v>290</v>
      </c>
      <c r="O15" s="391">
        <v>0.1</v>
      </c>
      <c r="P15" s="393">
        <v>0.49</v>
      </c>
      <c r="Q15" s="395">
        <v>0.51</v>
      </c>
      <c r="R15" s="391">
        <v>0.5</v>
      </c>
      <c r="S15" s="391">
        <v>0.4</v>
      </c>
      <c r="T15" s="391" t="s">
        <v>278</v>
      </c>
      <c r="U15" s="393" t="s">
        <v>291</v>
      </c>
      <c r="V15" s="410" t="s">
        <v>163</v>
      </c>
      <c r="W15" s="406" t="s">
        <v>163</v>
      </c>
      <c r="X15" s="406">
        <v>0.125</v>
      </c>
      <c r="Y15" s="406" t="s">
        <v>163</v>
      </c>
      <c r="Z15" s="406" t="s">
        <v>163</v>
      </c>
      <c r="AA15" s="406">
        <v>0.125</v>
      </c>
      <c r="AB15" s="406" t="s">
        <v>163</v>
      </c>
      <c r="AC15" s="406" t="s">
        <v>163</v>
      </c>
      <c r="AD15" s="406">
        <v>0.125</v>
      </c>
      <c r="AE15" s="406" t="s">
        <v>163</v>
      </c>
      <c r="AF15" s="406" t="s">
        <v>163</v>
      </c>
      <c r="AG15" s="406">
        <v>0.125</v>
      </c>
      <c r="AH15" s="407">
        <v>0</v>
      </c>
      <c r="AI15" s="407">
        <v>0</v>
      </c>
      <c r="AJ15" s="407">
        <v>0.125</v>
      </c>
      <c r="AK15" s="408">
        <v>0</v>
      </c>
      <c r="AL15" s="408">
        <v>0</v>
      </c>
      <c r="AM15" s="408">
        <v>0.13</v>
      </c>
      <c r="AN15" s="407">
        <v>0</v>
      </c>
      <c r="AO15" s="407" t="s">
        <v>163</v>
      </c>
      <c r="AP15" s="407" t="s">
        <v>163</v>
      </c>
      <c r="AQ15" s="407" t="s">
        <v>163</v>
      </c>
      <c r="AR15" s="435"/>
      <c r="AS15" s="407" t="s">
        <v>163</v>
      </c>
      <c r="AT15" s="409">
        <f>SUM(AH15:AS15)</f>
        <v>0.255</v>
      </c>
      <c r="AU15" s="405">
        <f t="shared" si="0"/>
        <v>0.51</v>
      </c>
      <c r="AV15" s="425" t="s">
        <v>280</v>
      </c>
      <c r="AW15" s="424" t="s">
        <v>584</v>
      </c>
      <c r="AX15" s="424" t="s">
        <v>281</v>
      </c>
      <c r="AY15" s="424" t="s">
        <v>281</v>
      </c>
      <c r="BA15" s="308">
        <f t="shared" ref="BA15:BA18" si="1">+R15-SUM(V15:AG15)</f>
        <v>0</v>
      </c>
    </row>
    <row r="16" spans="1:55" ht="126" customHeight="1" x14ac:dyDescent="0.25">
      <c r="A16" s="390" t="s">
        <v>163</v>
      </c>
      <c r="B16" s="391" t="s">
        <v>163</v>
      </c>
      <c r="C16" s="391" t="s">
        <v>163</v>
      </c>
      <c r="D16" s="391">
        <v>43</v>
      </c>
      <c r="E16" s="391" t="s">
        <v>163</v>
      </c>
      <c r="F16" s="391" t="s">
        <v>163</v>
      </c>
      <c r="G16" s="388" t="s">
        <v>292</v>
      </c>
      <c r="H16" s="388" t="s">
        <v>163</v>
      </c>
      <c r="I16" s="391" t="s">
        <v>163</v>
      </c>
      <c r="J16" s="391" t="s">
        <v>293</v>
      </c>
      <c r="K16" s="391" t="s">
        <v>284</v>
      </c>
      <c r="L16" s="396">
        <v>12000</v>
      </c>
      <c r="M16" s="391" t="s">
        <v>294</v>
      </c>
      <c r="N16" s="391" t="s">
        <v>295</v>
      </c>
      <c r="O16" s="391" t="s">
        <v>296</v>
      </c>
      <c r="P16" s="396">
        <v>3000</v>
      </c>
      <c r="Q16" s="396">
        <v>4000</v>
      </c>
      <c r="R16" s="396">
        <v>4000</v>
      </c>
      <c r="S16" s="396">
        <v>1000</v>
      </c>
      <c r="T16" s="391" t="s">
        <v>297</v>
      </c>
      <c r="U16" s="393" t="s">
        <v>298</v>
      </c>
      <c r="V16" s="411">
        <v>0</v>
      </c>
      <c r="W16" s="409">
        <v>400</v>
      </c>
      <c r="X16" s="409">
        <v>400</v>
      </c>
      <c r="Y16" s="409">
        <v>400</v>
      </c>
      <c r="Z16" s="409">
        <v>400</v>
      </c>
      <c r="AA16" s="409">
        <v>400</v>
      </c>
      <c r="AB16" s="409">
        <v>400</v>
      </c>
      <c r="AC16" s="409">
        <v>400</v>
      </c>
      <c r="AD16" s="409">
        <v>400</v>
      </c>
      <c r="AE16" s="409">
        <v>400</v>
      </c>
      <c r="AF16" s="409">
        <v>400</v>
      </c>
      <c r="AG16" s="409">
        <v>0</v>
      </c>
      <c r="AH16" s="407">
        <v>0</v>
      </c>
      <c r="AI16" s="407">
        <v>0</v>
      </c>
      <c r="AJ16" s="407">
        <v>220</v>
      </c>
      <c r="AK16" s="407">
        <v>297</v>
      </c>
      <c r="AL16" s="407">
        <v>596</v>
      </c>
      <c r="AM16" s="407">
        <v>371</v>
      </c>
      <c r="AN16" s="407">
        <f>+'Territorialización PA'!J32</f>
        <v>218</v>
      </c>
      <c r="AO16" s="407" t="s">
        <v>163</v>
      </c>
      <c r="AP16" s="407" t="s">
        <v>163</v>
      </c>
      <c r="AQ16" s="407"/>
      <c r="AR16" s="407"/>
      <c r="AS16" s="407" t="s">
        <v>163</v>
      </c>
      <c r="AT16" s="409">
        <f>SUM(AH16:AS16)</f>
        <v>1702</v>
      </c>
      <c r="AU16" s="405">
        <f t="shared" si="0"/>
        <v>0.42549999999999999</v>
      </c>
      <c r="AV16" s="426" t="s">
        <v>299</v>
      </c>
      <c r="AW16" s="427" t="s">
        <v>300</v>
      </c>
      <c r="AX16" s="427" t="s">
        <v>301</v>
      </c>
      <c r="AY16" s="427" t="s">
        <v>302</v>
      </c>
      <c r="AZ16" s="358"/>
      <c r="BA16" s="356"/>
      <c r="BB16" s="357"/>
      <c r="BC16" s="358"/>
    </row>
    <row r="17" spans="1:53" ht="126" customHeight="1" x14ac:dyDescent="0.25">
      <c r="A17" s="390" t="s">
        <v>163</v>
      </c>
      <c r="B17" s="391" t="s">
        <v>163</v>
      </c>
      <c r="C17" s="391" t="s">
        <v>163</v>
      </c>
      <c r="D17" s="391">
        <v>46</v>
      </c>
      <c r="E17" s="397"/>
      <c r="F17" s="390" t="s">
        <v>163</v>
      </c>
      <c r="G17" s="388" t="s">
        <v>292</v>
      </c>
      <c r="H17" s="388" t="s">
        <v>163</v>
      </c>
      <c r="I17" s="391" t="s">
        <v>163</v>
      </c>
      <c r="J17" s="391" t="s">
        <v>303</v>
      </c>
      <c r="K17" s="391" t="s">
        <v>284</v>
      </c>
      <c r="L17" s="396">
        <v>16500</v>
      </c>
      <c r="M17" s="391" t="s">
        <v>304</v>
      </c>
      <c r="N17" s="391" t="s">
        <v>305</v>
      </c>
      <c r="O17" s="391" t="s">
        <v>296</v>
      </c>
      <c r="P17" s="396">
        <v>4000</v>
      </c>
      <c r="Q17" s="396">
        <v>5000</v>
      </c>
      <c r="R17" s="396">
        <v>5000</v>
      </c>
      <c r="S17" s="396">
        <v>2000</v>
      </c>
      <c r="T17" s="391" t="s">
        <v>297</v>
      </c>
      <c r="U17" s="393" t="s">
        <v>298</v>
      </c>
      <c r="V17" s="411">
        <v>0</v>
      </c>
      <c r="W17" s="409">
        <v>500</v>
      </c>
      <c r="X17" s="409">
        <v>500</v>
      </c>
      <c r="Y17" s="409">
        <v>500</v>
      </c>
      <c r="Z17" s="409">
        <v>500</v>
      </c>
      <c r="AA17" s="409">
        <v>500</v>
      </c>
      <c r="AB17" s="409">
        <v>500</v>
      </c>
      <c r="AC17" s="409">
        <v>500</v>
      </c>
      <c r="AD17" s="409">
        <v>500</v>
      </c>
      <c r="AE17" s="409">
        <v>500</v>
      </c>
      <c r="AF17" s="409">
        <v>500</v>
      </c>
      <c r="AG17" s="409">
        <v>0</v>
      </c>
      <c r="AH17" s="407" t="s">
        <v>163</v>
      </c>
      <c r="AI17" s="407">
        <v>134</v>
      </c>
      <c r="AJ17" s="407">
        <v>542</v>
      </c>
      <c r="AK17" s="407">
        <v>789</v>
      </c>
      <c r="AL17" s="407">
        <v>790</v>
      </c>
      <c r="AM17" s="407">
        <v>454</v>
      </c>
      <c r="AN17" s="407">
        <v>517</v>
      </c>
      <c r="AO17" s="407" t="s">
        <v>163</v>
      </c>
      <c r="AP17" s="407" t="s">
        <v>163</v>
      </c>
      <c r="AQ17" s="407" t="s">
        <v>163</v>
      </c>
      <c r="AR17" s="407"/>
      <c r="AS17" s="407" t="s">
        <v>163</v>
      </c>
      <c r="AT17" s="409">
        <f>SUM(AH17:AS17)</f>
        <v>3226</v>
      </c>
      <c r="AU17" s="405">
        <f t="shared" si="0"/>
        <v>0.6452</v>
      </c>
      <c r="AV17" s="430" t="s">
        <v>571</v>
      </c>
      <c r="AW17" s="429" t="s">
        <v>306</v>
      </c>
      <c r="AX17" s="428" t="s">
        <v>281</v>
      </c>
      <c r="AY17" s="428" t="s">
        <v>281</v>
      </c>
      <c r="BA17" s="308">
        <f t="shared" si="1"/>
        <v>0</v>
      </c>
    </row>
    <row r="18" spans="1:53" ht="126" customHeight="1" x14ac:dyDescent="0.25">
      <c r="A18" s="398">
        <v>56</v>
      </c>
      <c r="B18" s="392" t="s">
        <v>163</v>
      </c>
      <c r="C18" s="392" t="s">
        <v>163</v>
      </c>
      <c r="D18" s="392" t="s">
        <v>163</v>
      </c>
      <c r="E18" s="388" t="s">
        <v>163</v>
      </c>
      <c r="F18" s="392" t="s">
        <v>163</v>
      </c>
      <c r="G18" s="388" t="s">
        <v>163</v>
      </c>
      <c r="H18" s="388" t="s">
        <v>163</v>
      </c>
      <c r="I18" s="392" t="s">
        <v>163</v>
      </c>
      <c r="J18" s="392" t="s">
        <v>307</v>
      </c>
      <c r="K18" s="392" t="s">
        <v>284</v>
      </c>
      <c r="L18" s="392">
        <v>19</v>
      </c>
      <c r="M18" s="392" t="s">
        <v>308</v>
      </c>
      <c r="N18" s="392" t="s">
        <v>309</v>
      </c>
      <c r="O18" s="392">
        <v>2</v>
      </c>
      <c r="P18" s="392">
        <v>5</v>
      </c>
      <c r="Q18" s="392">
        <v>7</v>
      </c>
      <c r="R18" s="392">
        <v>5</v>
      </c>
      <c r="S18" s="392">
        <v>0</v>
      </c>
      <c r="T18" s="392" t="s">
        <v>297</v>
      </c>
      <c r="U18" s="397" t="s">
        <v>298</v>
      </c>
      <c r="V18" s="412">
        <v>0</v>
      </c>
      <c r="W18" s="413">
        <v>1</v>
      </c>
      <c r="X18" s="413">
        <v>1</v>
      </c>
      <c r="Y18" s="413">
        <v>1</v>
      </c>
      <c r="Z18" s="413">
        <v>0</v>
      </c>
      <c r="AA18" s="413">
        <v>0</v>
      </c>
      <c r="AB18" s="413">
        <v>1</v>
      </c>
      <c r="AC18" s="413">
        <v>0</v>
      </c>
      <c r="AD18" s="413">
        <v>1</v>
      </c>
      <c r="AE18" s="413">
        <v>0</v>
      </c>
      <c r="AF18" s="413">
        <v>0</v>
      </c>
      <c r="AG18" s="413">
        <v>0</v>
      </c>
      <c r="AH18" s="414">
        <v>0</v>
      </c>
      <c r="AI18" s="414">
        <v>1</v>
      </c>
      <c r="AJ18" s="414">
        <v>1</v>
      </c>
      <c r="AK18" s="407">
        <v>0</v>
      </c>
      <c r="AL18" s="414">
        <v>2</v>
      </c>
      <c r="AM18" s="414">
        <v>0</v>
      </c>
      <c r="AN18" s="414">
        <v>0</v>
      </c>
      <c r="AO18" s="414" t="s">
        <v>163</v>
      </c>
      <c r="AP18" s="414" t="s">
        <v>163</v>
      </c>
      <c r="AQ18" s="414" t="s">
        <v>163</v>
      </c>
      <c r="AR18" s="414" t="s">
        <v>163</v>
      </c>
      <c r="AS18" s="414" t="s">
        <v>163</v>
      </c>
      <c r="AT18" s="409">
        <f>SUM(AH18:AS18)</f>
        <v>4</v>
      </c>
      <c r="AU18" s="405">
        <f t="shared" si="0"/>
        <v>0.8</v>
      </c>
      <c r="AV18" s="359" t="s">
        <v>144</v>
      </c>
      <c r="AW18" s="355" t="s">
        <v>145</v>
      </c>
      <c r="AX18" s="360" t="s">
        <v>146</v>
      </c>
      <c r="AY18" s="360" t="s">
        <v>310</v>
      </c>
      <c r="BA18" s="308">
        <f t="shared" si="1"/>
        <v>0</v>
      </c>
    </row>
    <row r="19" spans="1:53" ht="126" customHeight="1" x14ac:dyDescent="0.25">
      <c r="A19" s="399" t="s">
        <v>163</v>
      </c>
      <c r="B19" s="389" t="s">
        <v>163</v>
      </c>
      <c r="C19" s="389" t="s">
        <v>163</v>
      </c>
      <c r="D19" s="389" t="s">
        <v>163</v>
      </c>
      <c r="E19" s="389" t="s">
        <v>163</v>
      </c>
      <c r="F19" s="389" t="s">
        <v>163</v>
      </c>
      <c r="G19" s="389" t="s">
        <v>292</v>
      </c>
      <c r="H19" s="389" t="s">
        <v>163</v>
      </c>
      <c r="I19" s="389" t="s">
        <v>311</v>
      </c>
      <c r="J19" s="389" t="s">
        <v>312</v>
      </c>
      <c r="K19" s="389" t="s">
        <v>313</v>
      </c>
      <c r="L19" s="400">
        <v>1</v>
      </c>
      <c r="M19" s="389" t="s">
        <v>314</v>
      </c>
      <c r="N19" s="389" t="s">
        <v>315</v>
      </c>
      <c r="O19" s="389">
        <v>0</v>
      </c>
      <c r="P19" s="389">
        <v>0</v>
      </c>
      <c r="Q19" s="389">
        <v>0</v>
      </c>
      <c r="R19" s="389">
        <v>100</v>
      </c>
      <c r="S19" s="389">
        <v>100</v>
      </c>
      <c r="T19" s="389" t="s">
        <v>297</v>
      </c>
      <c r="U19" s="389" t="s">
        <v>316</v>
      </c>
      <c r="V19" s="415">
        <v>1</v>
      </c>
      <c r="W19" s="415">
        <v>1</v>
      </c>
      <c r="X19" s="415">
        <v>1</v>
      </c>
      <c r="Y19" s="415">
        <v>1</v>
      </c>
      <c r="Z19" s="415">
        <v>1</v>
      </c>
      <c r="AA19" s="415">
        <v>1</v>
      </c>
      <c r="AB19" s="415">
        <v>1</v>
      </c>
      <c r="AC19" s="415">
        <v>1</v>
      </c>
      <c r="AD19" s="415">
        <v>1</v>
      </c>
      <c r="AE19" s="415">
        <v>1</v>
      </c>
      <c r="AF19" s="415">
        <v>1</v>
      </c>
      <c r="AG19" s="415">
        <v>1</v>
      </c>
      <c r="AH19" s="416">
        <v>0.84</v>
      </c>
      <c r="AI19" s="416">
        <v>0.42</v>
      </c>
      <c r="AJ19" s="416">
        <v>1.98</v>
      </c>
      <c r="AK19" s="417">
        <v>1.3</v>
      </c>
      <c r="AL19" s="416">
        <v>1.84</v>
      </c>
      <c r="AM19" s="416">
        <v>1.46</v>
      </c>
      <c r="AN19" s="416">
        <v>1.1599999999999999</v>
      </c>
      <c r="AO19" s="402" t="s">
        <v>163</v>
      </c>
      <c r="AP19" s="402" t="s">
        <v>163</v>
      </c>
      <c r="AQ19" s="402" t="s">
        <v>163</v>
      </c>
      <c r="AR19" s="402" t="s">
        <v>163</v>
      </c>
      <c r="AS19" s="402" t="s">
        <v>163</v>
      </c>
      <c r="AT19" s="418">
        <f>SUM(AH19:AN19)/SUM(V19:AG19)</f>
        <v>0.75</v>
      </c>
      <c r="AU19" s="419">
        <f>+AT19/AVERAGE(V19:AA19)</f>
        <v>0.75</v>
      </c>
      <c r="AV19" s="436" t="s">
        <v>586</v>
      </c>
      <c r="AW19" s="437" t="s">
        <v>587</v>
      </c>
      <c r="AX19" s="427" t="s">
        <v>281</v>
      </c>
      <c r="AY19" s="427" t="s">
        <v>281</v>
      </c>
      <c r="BA19" s="308">
        <f>+R19-AVERAGE(V19:AG19)</f>
        <v>99</v>
      </c>
    </row>
    <row r="20" spans="1:53" x14ac:dyDescent="0.25">
      <c r="A20" s="420"/>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2"/>
      <c r="AN20" s="421"/>
      <c r="AO20" s="421"/>
      <c r="AP20" s="421"/>
      <c r="AQ20" s="421"/>
      <c r="AR20" s="421"/>
      <c r="AS20" s="421"/>
      <c r="AT20" s="421"/>
      <c r="AU20" s="421"/>
      <c r="AV20" s="422"/>
      <c r="AW20" s="422"/>
      <c r="AX20" s="422"/>
      <c r="AY20" s="423"/>
      <c r="BA20" s="307"/>
    </row>
    <row r="21" spans="1:53" ht="31.5" customHeight="1" x14ac:dyDescent="0.2">
      <c r="A21" s="916" t="s">
        <v>317</v>
      </c>
      <c r="B21" s="917"/>
      <c r="C21" s="918"/>
      <c r="D21" s="905" t="s">
        <v>318</v>
      </c>
      <c r="E21" s="905"/>
      <c r="F21" s="905"/>
      <c r="G21" s="905"/>
      <c r="H21" s="905"/>
      <c r="I21" s="906"/>
      <c r="J21" s="907" t="s">
        <v>319</v>
      </c>
      <c r="K21" s="908"/>
      <c r="L21" s="908"/>
      <c r="M21" s="908"/>
      <c r="N21" s="908"/>
      <c r="O21" s="909"/>
      <c r="P21" s="905" t="s">
        <v>320</v>
      </c>
      <c r="Q21" s="905"/>
      <c r="R21" s="905"/>
      <c r="S21" s="905"/>
      <c r="T21" s="905"/>
      <c r="U21" s="906"/>
      <c r="V21" s="905" t="s">
        <v>320</v>
      </c>
      <c r="W21" s="905"/>
      <c r="X21" s="905"/>
      <c r="Y21" s="905"/>
      <c r="Z21" s="905"/>
      <c r="AA21" s="905"/>
      <c r="AB21" s="905"/>
      <c r="AC21" s="906"/>
      <c r="AD21" s="905" t="s">
        <v>320</v>
      </c>
      <c r="AE21" s="905"/>
      <c r="AF21" s="905"/>
      <c r="AG21" s="905"/>
      <c r="AH21" s="905"/>
      <c r="AI21" s="905"/>
      <c r="AJ21" s="905"/>
      <c r="AK21" s="905"/>
      <c r="AL21" s="905"/>
      <c r="AM21" s="905"/>
      <c r="AN21" s="905"/>
      <c r="AO21" s="906"/>
      <c r="AP21" s="907" t="s">
        <v>321</v>
      </c>
      <c r="AQ21" s="908"/>
      <c r="AR21" s="908"/>
      <c r="AS21" s="909"/>
      <c r="AT21" s="905" t="s">
        <v>322</v>
      </c>
      <c r="AU21" s="905"/>
      <c r="AV21" s="905"/>
      <c r="AW21" s="905"/>
      <c r="AX21" s="905"/>
      <c r="AY21" s="906"/>
      <c r="AZ21" s="126"/>
      <c r="BA21" s="307"/>
    </row>
    <row r="22" spans="1:53" ht="15" customHeight="1" x14ac:dyDescent="0.25">
      <c r="A22" s="919"/>
      <c r="B22" s="920"/>
      <c r="C22" s="921"/>
      <c r="D22" s="903" t="s">
        <v>323</v>
      </c>
      <c r="E22" s="903"/>
      <c r="F22" s="903"/>
      <c r="G22" s="903"/>
      <c r="H22" s="903"/>
      <c r="I22" s="904"/>
      <c r="J22" s="910"/>
      <c r="K22" s="911"/>
      <c r="L22" s="911"/>
      <c r="M22" s="911"/>
      <c r="N22" s="911"/>
      <c r="O22" s="912"/>
      <c r="P22" s="903" t="s">
        <v>324</v>
      </c>
      <c r="Q22" s="903"/>
      <c r="R22" s="903"/>
      <c r="S22" s="903"/>
      <c r="T22" s="903"/>
      <c r="U22" s="904"/>
      <c r="V22" s="903" t="s">
        <v>325</v>
      </c>
      <c r="W22" s="903"/>
      <c r="X22" s="903"/>
      <c r="Y22" s="903"/>
      <c r="Z22" s="903"/>
      <c r="AA22" s="903"/>
      <c r="AB22" s="903"/>
      <c r="AC22" s="904"/>
      <c r="AD22" s="903" t="s">
        <v>326</v>
      </c>
      <c r="AE22" s="903"/>
      <c r="AF22" s="903"/>
      <c r="AG22" s="903"/>
      <c r="AH22" s="903"/>
      <c r="AI22" s="903"/>
      <c r="AJ22" s="903"/>
      <c r="AK22" s="903"/>
      <c r="AL22" s="903"/>
      <c r="AM22" s="903"/>
      <c r="AN22" s="903"/>
      <c r="AO22" s="904"/>
      <c r="AP22" s="910"/>
      <c r="AQ22" s="911"/>
      <c r="AR22" s="911"/>
      <c r="AS22" s="912"/>
      <c r="AT22" s="903" t="s">
        <v>327</v>
      </c>
      <c r="AU22" s="903"/>
      <c r="AV22" s="903"/>
      <c r="AW22" s="903"/>
      <c r="AX22" s="903"/>
      <c r="AY22" s="904"/>
      <c r="AZ22" s="126"/>
    </row>
    <row r="23" spans="1:53" ht="15.95" customHeight="1" x14ac:dyDescent="0.25">
      <c r="A23" s="922"/>
      <c r="B23" s="923"/>
      <c r="C23" s="924"/>
      <c r="D23" s="903" t="s">
        <v>328</v>
      </c>
      <c r="E23" s="903"/>
      <c r="F23" s="903"/>
      <c r="G23" s="903"/>
      <c r="H23" s="903"/>
      <c r="I23" s="904"/>
      <c r="J23" s="913"/>
      <c r="K23" s="914"/>
      <c r="L23" s="914"/>
      <c r="M23" s="914"/>
      <c r="N23" s="914"/>
      <c r="O23" s="915"/>
      <c r="P23" s="903" t="s">
        <v>329</v>
      </c>
      <c r="Q23" s="903"/>
      <c r="R23" s="903"/>
      <c r="S23" s="903"/>
      <c r="T23" s="903"/>
      <c r="U23" s="904"/>
      <c r="V23" s="903" t="s">
        <v>330</v>
      </c>
      <c r="W23" s="903"/>
      <c r="X23" s="903"/>
      <c r="Y23" s="903"/>
      <c r="Z23" s="903"/>
      <c r="AA23" s="903"/>
      <c r="AB23" s="903"/>
      <c r="AC23" s="904"/>
      <c r="AD23" s="903" t="s">
        <v>331</v>
      </c>
      <c r="AE23" s="903"/>
      <c r="AF23" s="903"/>
      <c r="AG23" s="903"/>
      <c r="AH23" s="903"/>
      <c r="AI23" s="903"/>
      <c r="AJ23" s="903"/>
      <c r="AK23" s="903"/>
      <c r="AL23" s="903"/>
      <c r="AM23" s="903"/>
      <c r="AN23" s="903"/>
      <c r="AO23" s="904"/>
      <c r="AP23" s="913"/>
      <c r="AQ23" s="914"/>
      <c r="AR23" s="914"/>
      <c r="AS23" s="915"/>
      <c r="AT23" s="903" t="s">
        <v>332</v>
      </c>
      <c r="AU23" s="903"/>
      <c r="AV23" s="903"/>
      <c r="AW23" s="903"/>
      <c r="AX23" s="903"/>
      <c r="AY23" s="904"/>
      <c r="AZ23" s="126"/>
    </row>
    <row r="25" spans="1:53" hidden="1" x14ac:dyDescent="0.25"/>
    <row r="26" spans="1:53" hidden="1" x14ac:dyDescent="0.25"/>
    <row r="27" spans="1:53" hidden="1" x14ac:dyDescent="0.25"/>
    <row r="28" spans="1:53" hidden="1" x14ac:dyDescent="0.25"/>
    <row r="29" spans="1:53" hidden="1" x14ac:dyDescent="0.25"/>
    <row r="30" spans="1:53" hidden="1" x14ac:dyDescent="0.25"/>
    <row r="34" spans="17:46" x14ac:dyDescent="0.25">
      <c r="W34" s="305"/>
      <c r="X34" s="305"/>
      <c r="Y34" s="305"/>
      <c r="Z34" s="305"/>
      <c r="AT34" s="384"/>
    </row>
    <row r="35" spans="17:46" x14ac:dyDescent="0.25">
      <c r="W35" s="305"/>
      <c r="X35" s="305"/>
      <c r="Y35" s="305"/>
      <c r="Z35" s="305"/>
      <c r="AT35" s="384"/>
    </row>
    <row r="38" spans="17:46" x14ac:dyDescent="0.25">
      <c r="Q38" s="305"/>
      <c r="R38" s="305"/>
      <c r="S38" s="305"/>
      <c r="T38" s="305"/>
      <c r="U38" s="305"/>
      <c r="V38" s="305"/>
      <c r="W38" s="305"/>
      <c r="X38" s="305"/>
      <c r="Y38" s="305"/>
      <c r="Z38" s="305"/>
      <c r="AA38" s="305"/>
      <c r="AB38" s="305"/>
      <c r="AC38" s="305"/>
      <c r="AD38" s="305"/>
    </row>
    <row r="39" spans="17:46" x14ac:dyDescent="0.25">
      <c r="Q39" s="305"/>
      <c r="R39" s="305"/>
      <c r="S39" s="305"/>
      <c r="T39" s="305"/>
      <c r="U39" s="305"/>
      <c r="V39" s="305"/>
      <c r="W39" s="305"/>
      <c r="X39" s="305"/>
      <c r="Y39" s="305"/>
      <c r="Z39" s="305"/>
      <c r="AA39" s="305"/>
      <c r="AB39" s="305"/>
      <c r="AC39" s="305"/>
      <c r="AD39" s="305"/>
    </row>
    <row r="40" spans="17:46" x14ac:dyDescent="0.25">
      <c r="Q40" s="305"/>
      <c r="R40" s="305"/>
      <c r="S40" s="305"/>
      <c r="T40" s="305"/>
      <c r="U40" s="305"/>
      <c r="V40" s="305"/>
      <c r="W40" s="305"/>
      <c r="X40" s="305"/>
      <c r="Y40" s="305"/>
      <c r="Z40" s="305"/>
      <c r="AA40" s="305"/>
      <c r="AB40" s="305"/>
      <c r="AC40" s="305"/>
      <c r="AD40" s="305"/>
    </row>
    <row r="41" spans="17:46" x14ac:dyDescent="0.25">
      <c r="Q41" s="305"/>
      <c r="R41" s="305"/>
      <c r="S41" s="305"/>
      <c r="T41" s="305"/>
      <c r="U41" s="305"/>
      <c r="V41" s="305"/>
      <c r="W41" s="305"/>
      <c r="X41" s="305"/>
      <c r="Y41" s="305"/>
      <c r="Z41" s="305"/>
      <c r="AA41" s="305"/>
      <c r="AB41" s="305"/>
      <c r="AC41" s="305"/>
      <c r="AD41" s="305"/>
    </row>
  </sheetData>
  <mergeCells count="56">
    <mergeCell ref="D9:AG9"/>
    <mergeCell ref="AX1:AY1"/>
    <mergeCell ref="AX2:AY2"/>
    <mergeCell ref="AX3:AY3"/>
    <mergeCell ref="AX4:AY4"/>
    <mergeCell ref="A1:AW1"/>
    <mergeCell ref="A2:AW2"/>
    <mergeCell ref="A3:AW4"/>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10:C10"/>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s>
  <pageMargins left="0.7" right="0.7" top="0.75" bottom="0.75" header="0.3" footer="0.3"/>
  <pageSetup scale="14" orientation="landscape"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8"/>
  <sheetViews>
    <sheetView showGridLines="0" topLeftCell="A8" zoomScale="65" zoomScaleNormal="65" workbookViewId="0">
      <selection activeCell="R12" sqref="R12:R31"/>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981" t="s">
        <v>0</v>
      </c>
      <c r="B1" s="981"/>
      <c r="C1" s="981"/>
      <c r="D1" s="981"/>
      <c r="E1" s="981"/>
      <c r="F1" s="981"/>
      <c r="G1" s="981"/>
      <c r="H1" s="981"/>
      <c r="I1" s="981"/>
      <c r="J1" s="981"/>
      <c r="K1" s="981"/>
      <c r="L1" s="981"/>
      <c r="M1" s="981"/>
      <c r="N1" s="981"/>
      <c r="O1" s="981"/>
      <c r="P1" s="981"/>
      <c r="Q1" s="981"/>
      <c r="R1" s="981"/>
      <c r="S1" s="981"/>
      <c r="T1" s="981"/>
      <c r="U1" s="981"/>
      <c r="V1" s="981"/>
      <c r="W1" s="981"/>
      <c r="X1" s="981"/>
      <c r="Y1" s="981"/>
      <c r="Z1" s="981"/>
      <c r="AA1" s="981"/>
      <c r="AB1" s="981"/>
      <c r="AC1" s="981"/>
      <c r="AD1" s="981"/>
      <c r="AE1" s="981"/>
      <c r="AF1" s="981"/>
      <c r="AG1" s="981"/>
      <c r="AH1" s="981"/>
      <c r="AI1" s="981"/>
      <c r="AJ1" s="981"/>
      <c r="AK1" s="981"/>
      <c r="AL1" s="981"/>
      <c r="AM1" s="981"/>
      <c r="AN1" s="981"/>
      <c r="AO1" s="981"/>
      <c r="AP1" s="981"/>
      <c r="AQ1" s="981"/>
      <c r="AR1" s="981"/>
      <c r="AS1" s="981"/>
      <c r="AT1" s="981"/>
      <c r="AU1" s="981"/>
      <c r="AV1" s="981"/>
      <c r="AW1" s="981"/>
      <c r="AX1" s="981"/>
      <c r="AY1" s="981"/>
      <c r="AZ1" s="981"/>
      <c r="BA1" s="981"/>
      <c r="BB1" s="981"/>
      <c r="BC1" s="981"/>
      <c r="BD1" s="981"/>
      <c r="BE1" s="981"/>
      <c r="BF1" s="981"/>
      <c r="BG1" s="981"/>
      <c r="BH1" s="981"/>
      <c r="BI1" s="982" t="s">
        <v>173</v>
      </c>
      <c r="BJ1" s="982"/>
      <c r="BK1" s="982"/>
    </row>
    <row r="2" spans="1:63" ht="15.95" customHeight="1" x14ac:dyDescent="0.25">
      <c r="A2" s="981" t="s">
        <v>2</v>
      </c>
      <c r="B2" s="981"/>
      <c r="C2" s="981"/>
      <c r="D2" s="981"/>
      <c r="E2" s="981"/>
      <c r="F2" s="981"/>
      <c r="G2" s="981"/>
      <c r="H2" s="981"/>
      <c r="I2" s="981"/>
      <c r="J2" s="981"/>
      <c r="K2" s="981"/>
      <c r="L2" s="981"/>
      <c r="M2" s="981"/>
      <c r="N2" s="981"/>
      <c r="O2" s="981"/>
      <c r="P2" s="981"/>
      <c r="Q2" s="981"/>
      <c r="R2" s="981"/>
      <c r="S2" s="981"/>
      <c r="T2" s="981"/>
      <c r="U2" s="981"/>
      <c r="V2" s="981"/>
      <c r="W2" s="981"/>
      <c r="X2" s="981"/>
      <c r="Y2" s="981"/>
      <c r="Z2" s="981"/>
      <c r="AA2" s="981"/>
      <c r="AB2" s="981"/>
      <c r="AC2" s="981"/>
      <c r="AD2" s="981"/>
      <c r="AE2" s="981"/>
      <c r="AF2" s="981"/>
      <c r="AG2" s="981"/>
      <c r="AH2" s="981"/>
      <c r="AI2" s="981"/>
      <c r="AJ2" s="981"/>
      <c r="AK2" s="981"/>
      <c r="AL2" s="981"/>
      <c r="AM2" s="981"/>
      <c r="AN2" s="981"/>
      <c r="AO2" s="981"/>
      <c r="AP2" s="981"/>
      <c r="AQ2" s="981"/>
      <c r="AR2" s="981"/>
      <c r="AS2" s="981"/>
      <c r="AT2" s="981"/>
      <c r="AU2" s="981"/>
      <c r="AV2" s="981"/>
      <c r="AW2" s="981"/>
      <c r="AX2" s="981"/>
      <c r="AY2" s="981"/>
      <c r="AZ2" s="981"/>
      <c r="BA2" s="981"/>
      <c r="BB2" s="981"/>
      <c r="BC2" s="981"/>
      <c r="BD2" s="981"/>
      <c r="BE2" s="981"/>
      <c r="BF2" s="981"/>
      <c r="BG2" s="981"/>
      <c r="BH2" s="981"/>
      <c r="BI2" s="982" t="s">
        <v>3</v>
      </c>
      <c r="BJ2" s="982"/>
      <c r="BK2" s="982"/>
    </row>
    <row r="3" spans="1:63" ht="26.1" customHeight="1" x14ac:dyDescent="0.25">
      <c r="A3" s="981" t="s">
        <v>174</v>
      </c>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c r="AI3" s="981"/>
      <c r="AJ3" s="981"/>
      <c r="AK3" s="981"/>
      <c r="AL3" s="981"/>
      <c r="AM3" s="981"/>
      <c r="AN3" s="981"/>
      <c r="AO3" s="981"/>
      <c r="AP3" s="981"/>
      <c r="AQ3" s="981"/>
      <c r="AR3" s="981"/>
      <c r="AS3" s="981"/>
      <c r="AT3" s="981"/>
      <c r="AU3" s="981"/>
      <c r="AV3" s="981"/>
      <c r="AW3" s="981"/>
      <c r="AX3" s="981"/>
      <c r="AY3" s="981"/>
      <c r="AZ3" s="981"/>
      <c r="BA3" s="981"/>
      <c r="BB3" s="981"/>
      <c r="BC3" s="981"/>
      <c r="BD3" s="981"/>
      <c r="BE3" s="981"/>
      <c r="BF3" s="981"/>
      <c r="BG3" s="981"/>
      <c r="BH3" s="981"/>
      <c r="BI3" s="982" t="s">
        <v>5</v>
      </c>
      <c r="BJ3" s="982"/>
      <c r="BK3" s="982"/>
    </row>
    <row r="4" spans="1:63" ht="15.95" customHeight="1" x14ac:dyDescent="0.25">
      <c r="A4" s="981" t="s">
        <v>175</v>
      </c>
      <c r="B4" s="981"/>
      <c r="C4" s="981"/>
      <c r="D4" s="981"/>
      <c r="E4" s="981"/>
      <c r="F4" s="981"/>
      <c r="G4" s="981"/>
      <c r="H4" s="981"/>
      <c r="I4" s="981"/>
      <c r="J4" s="981"/>
      <c r="K4" s="981"/>
      <c r="L4" s="981"/>
      <c r="M4" s="981"/>
      <c r="N4" s="981"/>
      <c r="O4" s="981"/>
      <c r="P4" s="981"/>
      <c r="Q4" s="981"/>
      <c r="R4" s="981"/>
      <c r="S4" s="981"/>
      <c r="T4" s="981"/>
      <c r="U4" s="981"/>
      <c r="V4" s="981"/>
      <c r="W4" s="981"/>
      <c r="X4" s="981"/>
      <c r="Y4" s="981"/>
      <c r="Z4" s="981"/>
      <c r="AA4" s="981"/>
      <c r="AB4" s="981"/>
      <c r="AC4" s="981"/>
      <c r="AD4" s="981"/>
      <c r="AE4" s="981"/>
      <c r="AF4" s="981"/>
      <c r="AG4" s="981"/>
      <c r="AH4" s="981"/>
      <c r="AI4" s="981"/>
      <c r="AJ4" s="981"/>
      <c r="AK4" s="981"/>
      <c r="AL4" s="981"/>
      <c r="AM4" s="981"/>
      <c r="AN4" s="981"/>
      <c r="AO4" s="981"/>
      <c r="AP4" s="981"/>
      <c r="AQ4" s="981"/>
      <c r="AR4" s="981"/>
      <c r="AS4" s="981"/>
      <c r="AT4" s="981"/>
      <c r="AU4" s="981"/>
      <c r="AV4" s="981"/>
      <c r="AW4" s="981"/>
      <c r="AX4" s="981"/>
      <c r="AY4" s="981"/>
      <c r="AZ4" s="981"/>
      <c r="BA4" s="981"/>
      <c r="BB4" s="981"/>
      <c r="BC4" s="981"/>
      <c r="BD4" s="981"/>
      <c r="BE4" s="981"/>
      <c r="BF4" s="981"/>
      <c r="BG4" s="981"/>
      <c r="BH4" s="981"/>
      <c r="BI4" s="978" t="s">
        <v>176</v>
      </c>
      <c r="BJ4" s="979"/>
      <c r="BK4" s="980"/>
    </row>
    <row r="5" spans="1:63" ht="26.1" customHeight="1" x14ac:dyDescent="0.25">
      <c r="A5" s="976" t="s">
        <v>177</v>
      </c>
      <c r="B5" s="976"/>
      <c r="C5" s="976"/>
      <c r="D5" s="976"/>
      <c r="E5" s="976"/>
      <c r="F5" s="976"/>
      <c r="G5" s="976"/>
      <c r="H5" s="976"/>
      <c r="I5" s="976"/>
      <c r="J5" s="976"/>
      <c r="K5" s="976"/>
      <c r="L5" s="976"/>
      <c r="M5" s="976"/>
      <c r="N5" s="976"/>
      <c r="O5" s="976"/>
      <c r="P5" s="976"/>
      <c r="Q5" s="976"/>
      <c r="R5" s="976"/>
      <c r="S5" s="976"/>
      <c r="T5" s="976"/>
      <c r="U5" s="976"/>
      <c r="V5" s="976"/>
      <c r="W5" s="976"/>
      <c r="X5" s="976"/>
      <c r="Y5" s="976"/>
      <c r="Z5" s="976"/>
      <c r="AA5" s="976"/>
      <c r="AB5" s="976"/>
      <c r="AC5" s="976"/>
      <c r="AD5" s="976"/>
      <c r="AE5" s="976"/>
      <c r="AG5" s="976" t="s">
        <v>178</v>
      </c>
      <c r="AH5" s="976"/>
      <c r="AI5" s="976"/>
      <c r="AJ5" s="976"/>
      <c r="AK5" s="976"/>
      <c r="AL5" s="976"/>
      <c r="AM5" s="976"/>
      <c r="AN5" s="976"/>
      <c r="AO5" s="976"/>
      <c r="AP5" s="976"/>
      <c r="AQ5" s="976"/>
      <c r="AR5" s="976"/>
      <c r="AS5" s="976"/>
      <c r="AT5" s="976"/>
      <c r="AU5" s="976"/>
      <c r="AV5" s="976"/>
      <c r="AW5" s="976"/>
      <c r="AX5" s="976"/>
      <c r="AY5" s="976"/>
      <c r="AZ5" s="976"/>
      <c r="BA5" s="976"/>
      <c r="BB5" s="976"/>
      <c r="BC5" s="976"/>
      <c r="BD5" s="976"/>
      <c r="BE5" s="976"/>
      <c r="BF5" s="976"/>
      <c r="BG5" s="976"/>
      <c r="BH5" s="976"/>
      <c r="BI5" s="977"/>
      <c r="BJ5" s="977"/>
      <c r="BK5" s="977"/>
    </row>
    <row r="6" spans="1:63" ht="31.5" customHeight="1" x14ac:dyDescent="0.25">
      <c r="A6" s="153" t="s">
        <v>179</v>
      </c>
      <c r="B6" s="975"/>
      <c r="C6" s="975"/>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5"/>
      <c r="AL6" s="975"/>
      <c r="AM6" s="975"/>
      <c r="AN6" s="975"/>
      <c r="AO6" s="975"/>
      <c r="AP6" s="975"/>
      <c r="AQ6" s="975"/>
      <c r="AR6" s="975"/>
      <c r="AS6" s="975"/>
      <c r="AT6" s="975"/>
      <c r="AU6" s="975"/>
      <c r="AV6" s="975"/>
      <c r="AW6" s="975"/>
      <c r="AX6" s="975"/>
      <c r="AY6" s="975"/>
      <c r="AZ6" s="975"/>
      <c r="BA6" s="975"/>
      <c r="BB6" s="975"/>
      <c r="BC6" s="975"/>
      <c r="BD6" s="975"/>
      <c r="BE6" s="975"/>
      <c r="BF6" s="975"/>
      <c r="BG6" s="975"/>
      <c r="BH6" s="975"/>
      <c r="BI6" s="975"/>
      <c r="BJ6" s="975"/>
      <c r="BK6" s="975"/>
    </row>
    <row r="7" spans="1:63" ht="31.5" customHeight="1" x14ac:dyDescent="0.25">
      <c r="A7" s="154" t="s">
        <v>180</v>
      </c>
      <c r="B7" s="970" t="s">
        <v>181</v>
      </c>
      <c r="C7" s="972"/>
      <c r="D7" s="972"/>
      <c r="E7" s="972"/>
      <c r="F7" s="972"/>
      <c r="G7" s="972"/>
      <c r="H7" s="972"/>
      <c r="I7" s="972"/>
      <c r="J7" s="972"/>
      <c r="K7" s="972"/>
      <c r="L7" s="972"/>
      <c r="M7" s="972"/>
      <c r="N7" s="972"/>
      <c r="O7" s="972"/>
      <c r="P7" s="972"/>
      <c r="Q7" s="972"/>
      <c r="R7" s="972"/>
      <c r="S7" s="972"/>
      <c r="T7" s="972"/>
      <c r="U7" s="972"/>
      <c r="V7" s="972"/>
      <c r="W7" s="972"/>
      <c r="X7" s="972"/>
      <c r="Y7" s="972"/>
      <c r="Z7" s="972"/>
      <c r="AA7" s="972"/>
      <c r="AB7" s="972"/>
      <c r="AC7" s="972"/>
      <c r="AD7" s="972"/>
      <c r="AE7" s="972"/>
      <c r="AF7" s="972"/>
      <c r="AG7" s="972"/>
      <c r="AH7" s="972"/>
      <c r="AI7" s="972"/>
      <c r="AJ7" s="972"/>
      <c r="AK7" s="972"/>
      <c r="AL7" s="972"/>
      <c r="AM7" s="972"/>
      <c r="AN7" s="972"/>
      <c r="AO7" s="972"/>
      <c r="AP7" s="972"/>
      <c r="AQ7" s="972"/>
      <c r="AR7" s="972"/>
      <c r="AS7" s="972"/>
      <c r="AT7" s="972"/>
      <c r="AU7" s="972"/>
      <c r="AV7" s="972"/>
      <c r="AW7" s="972"/>
      <c r="AX7" s="972"/>
      <c r="AY7" s="972"/>
      <c r="AZ7" s="972"/>
      <c r="BA7" s="972"/>
      <c r="BB7" s="972"/>
      <c r="BC7" s="972"/>
      <c r="BD7" s="972"/>
      <c r="BE7" s="972"/>
      <c r="BF7" s="972"/>
      <c r="BG7" s="972"/>
      <c r="BH7" s="972"/>
      <c r="BI7" s="972"/>
      <c r="BJ7" s="972"/>
      <c r="BK7" s="971"/>
    </row>
    <row r="8" spans="1:63" ht="18.75" customHeight="1" x14ac:dyDescent="0.25">
      <c r="A8" s="145"/>
      <c r="B8" s="145"/>
      <c r="C8" s="145"/>
      <c r="D8" s="145"/>
      <c r="E8" s="145"/>
      <c r="F8" s="145"/>
      <c r="G8" s="145"/>
      <c r="H8" s="145"/>
      <c r="I8" s="145"/>
      <c r="J8" s="145"/>
      <c r="K8" s="146"/>
      <c r="L8" s="146"/>
      <c r="M8" s="146"/>
      <c r="N8" s="146"/>
      <c r="O8" s="146"/>
      <c r="P8" s="146"/>
      <c r="Q8" s="146"/>
      <c r="R8" s="146"/>
      <c r="S8" s="146"/>
      <c r="T8" s="146"/>
      <c r="U8" s="146"/>
      <c r="V8" s="146"/>
      <c r="W8" s="146"/>
      <c r="X8" s="146"/>
      <c r="Y8" s="146"/>
      <c r="Z8" s="146"/>
      <c r="AA8" s="146"/>
      <c r="AB8" s="146"/>
      <c r="AC8" s="146"/>
      <c r="AD8" s="146"/>
      <c r="AE8" s="146"/>
      <c r="AG8" s="145"/>
      <c r="AH8" s="146"/>
      <c r="AI8" s="146"/>
      <c r="AJ8" s="146"/>
      <c r="AK8" s="146"/>
      <c r="AL8" s="146"/>
      <c r="AM8" s="146"/>
      <c r="AN8" s="146"/>
      <c r="AO8" s="146"/>
    </row>
    <row r="9" spans="1:63" ht="30" customHeight="1" x14ac:dyDescent="0.25">
      <c r="A9" s="973" t="s">
        <v>182</v>
      </c>
      <c r="B9" s="192" t="s">
        <v>30</v>
      </c>
      <c r="C9" s="192" t="s">
        <v>31</v>
      </c>
      <c r="D9" s="970" t="s">
        <v>8</v>
      </c>
      <c r="E9" s="971"/>
      <c r="F9" s="192" t="s">
        <v>32</v>
      </c>
      <c r="G9" s="192" t="s">
        <v>33</v>
      </c>
      <c r="H9" s="970" t="s">
        <v>34</v>
      </c>
      <c r="I9" s="971"/>
      <c r="J9" s="192" t="s">
        <v>35</v>
      </c>
      <c r="K9" s="192" t="s">
        <v>36</v>
      </c>
      <c r="L9" s="970" t="s">
        <v>37</v>
      </c>
      <c r="M9" s="971"/>
      <c r="N9" s="192" t="s">
        <v>38</v>
      </c>
      <c r="O9" s="192" t="s">
        <v>39</v>
      </c>
      <c r="P9" s="970" t="s">
        <v>40</v>
      </c>
      <c r="Q9" s="971"/>
      <c r="R9" s="970" t="s">
        <v>183</v>
      </c>
      <c r="S9" s="971"/>
      <c r="T9" s="970" t="s">
        <v>184</v>
      </c>
      <c r="U9" s="972"/>
      <c r="V9" s="972"/>
      <c r="W9" s="972"/>
      <c r="X9" s="972"/>
      <c r="Y9" s="971"/>
      <c r="Z9" s="970" t="s">
        <v>185</v>
      </c>
      <c r="AA9" s="972"/>
      <c r="AB9" s="972"/>
      <c r="AC9" s="972"/>
      <c r="AD9" s="972"/>
      <c r="AE9" s="971"/>
      <c r="AG9" s="973" t="s">
        <v>182</v>
      </c>
      <c r="AH9" s="192" t="s">
        <v>30</v>
      </c>
      <c r="AI9" s="192" t="s">
        <v>31</v>
      </c>
      <c r="AJ9" s="970" t="s">
        <v>8</v>
      </c>
      <c r="AK9" s="971"/>
      <c r="AL9" s="192" t="s">
        <v>32</v>
      </c>
      <c r="AM9" s="192" t="s">
        <v>33</v>
      </c>
      <c r="AN9" s="970" t="s">
        <v>34</v>
      </c>
      <c r="AO9" s="971"/>
      <c r="AP9" s="192" t="s">
        <v>35</v>
      </c>
      <c r="AQ9" s="192" t="s">
        <v>36</v>
      </c>
      <c r="AR9" s="970" t="s">
        <v>37</v>
      </c>
      <c r="AS9" s="971"/>
      <c r="AT9" s="192" t="s">
        <v>38</v>
      </c>
      <c r="AU9" s="192" t="s">
        <v>39</v>
      </c>
      <c r="AV9" s="970" t="s">
        <v>40</v>
      </c>
      <c r="AW9" s="971"/>
      <c r="AX9" s="970" t="s">
        <v>183</v>
      </c>
      <c r="AY9" s="971"/>
      <c r="AZ9" s="970" t="s">
        <v>184</v>
      </c>
      <c r="BA9" s="972"/>
      <c r="BB9" s="972"/>
      <c r="BC9" s="972"/>
      <c r="BD9" s="972"/>
      <c r="BE9" s="971"/>
      <c r="BF9" s="970" t="s">
        <v>185</v>
      </c>
      <c r="BG9" s="972"/>
      <c r="BH9" s="972"/>
      <c r="BI9" s="972"/>
      <c r="BJ9" s="972"/>
      <c r="BK9" s="971"/>
    </row>
    <row r="10" spans="1:63" ht="36" customHeight="1" x14ac:dyDescent="0.25">
      <c r="A10" s="974"/>
      <c r="B10" s="118" t="s">
        <v>186</v>
      </c>
      <c r="C10" s="118" t="s">
        <v>186</v>
      </c>
      <c r="D10" s="118" t="s">
        <v>186</v>
      </c>
      <c r="E10" s="118" t="s">
        <v>187</v>
      </c>
      <c r="F10" s="118" t="s">
        <v>186</v>
      </c>
      <c r="G10" s="118" t="s">
        <v>186</v>
      </c>
      <c r="H10" s="118" t="s">
        <v>186</v>
      </c>
      <c r="I10" s="118" t="s">
        <v>187</v>
      </c>
      <c r="J10" s="118" t="s">
        <v>186</v>
      </c>
      <c r="K10" s="118" t="s">
        <v>186</v>
      </c>
      <c r="L10" s="118" t="s">
        <v>186</v>
      </c>
      <c r="M10" s="118" t="s">
        <v>187</v>
      </c>
      <c r="N10" s="118" t="s">
        <v>186</v>
      </c>
      <c r="O10" s="118" t="s">
        <v>186</v>
      </c>
      <c r="P10" s="118" t="s">
        <v>186</v>
      </c>
      <c r="Q10" s="118" t="s">
        <v>187</v>
      </c>
      <c r="R10" s="118" t="s">
        <v>186</v>
      </c>
      <c r="S10" s="118" t="s">
        <v>187</v>
      </c>
      <c r="T10" s="186" t="s">
        <v>188</v>
      </c>
      <c r="U10" s="186" t="s">
        <v>189</v>
      </c>
      <c r="V10" s="186" t="s">
        <v>190</v>
      </c>
      <c r="W10" s="186" t="s">
        <v>191</v>
      </c>
      <c r="X10" s="187" t="s">
        <v>192</v>
      </c>
      <c r="Y10" s="186" t="s">
        <v>193</v>
      </c>
      <c r="Z10" s="118" t="s">
        <v>194</v>
      </c>
      <c r="AA10" s="147" t="s">
        <v>195</v>
      </c>
      <c r="AB10" s="118" t="s">
        <v>196</v>
      </c>
      <c r="AC10" s="118" t="s">
        <v>197</v>
      </c>
      <c r="AD10" s="118" t="s">
        <v>198</v>
      </c>
      <c r="AE10" s="118" t="s">
        <v>199</v>
      </c>
      <c r="AG10" s="974"/>
      <c r="AH10" s="118" t="s">
        <v>186</v>
      </c>
      <c r="AI10" s="118" t="s">
        <v>186</v>
      </c>
      <c r="AJ10" s="118" t="s">
        <v>186</v>
      </c>
      <c r="AK10" s="118" t="s">
        <v>187</v>
      </c>
      <c r="AL10" s="118" t="s">
        <v>186</v>
      </c>
      <c r="AM10" s="118" t="s">
        <v>186</v>
      </c>
      <c r="AN10" s="118" t="s">
        <v>186</v>
      </c>
      <c r="AO10" s="118" t="s">
        <v>187</v>
      </c>
      <c r="AP10" s="118" t="s">
        <v>186</v>
      </c>
      <c r="AQ10" s="118" t="s">
        <v>186</v>
      </c>
      <c r="AR10" s="118" t="s">
        <v>186</v>
      </c>
      <c r="AS10" s="118" t="s">
        <v>187</v>
      </c>
      <c r="AT10" s="118" t="s">
        <v>186</v>
      </c>
      <c r="AU10" s="118" t="s">
        <v>186</v>
      </c>
      <c r="AV10" s="118" t="s">
        <v>186</v>
      </c>
      <c r="AW10" s="118" t="s">
        <v>187</v>
      </c>
      <c r="AX10" s="118" t="s">
        <v>186</v>
      </c>
      <c r="AY10" s="118" t="s">
        <v>187</v>
      </c>
      <c r="AZ10" s="186" t="s">
        <v>188</v>
      </c>
      <c r="BA10" s="186" t="s">
        <v>189</v>
      </c>
      <c r="BB10" s="186" t="s">
        <v>190</v>
      </c>
      <c r="BC10" s="186" t="s">
        <v>191</v>
      </c>
      <c r="BD10" s="187" t="s">
        <v>192</v>
      </c>
      <c r="BE10" s="186" t="s">
        <v>193</v>
      </c>
      <c r="BF10" s="184" t="s">
        <v>194</v>
      </c>
      <c r="BG10" s="185" t="s">
        <v>195</v>
      </c>
      <c r="BH10" s="184" t="s">
        <v>196</v>
      </c>
      <c r="BI10" s="184" t="s">
        <v>197</v>
      </c>
      <c r="BJ10" s="184" t="s">
        <v>198</v>
      </c>
      <c r="BK10" s="184" t="s">
        <v>199</v>
      </c>
    </row>
    <row r="11" spans="1:63" x14ac:dyDescent="0.25">
      <c r="A11" s="148" t="s">
        <v>200</v>
      </c>
      <c r="B11" s="148"/>
      <c r="C11" s="148"/>
      <c r="D11" s="148">
        <v>37</v>
      </c>
      <c r="E11" s="198"/>
      <c r="F11" s="148">
        <v>43</v>
      </c>
      <c r="G11" s="148">
        <v>208</v>
      </c>
      <c r="H11" s="148">
        <v>107</v>
      </c>
      <c r="I11" s="198"/>
      <c r="J11" s="385">
        <f>9+42</f>
        <v>51</v>
      </c>
      <c r="K11" s="148"/>
      <c r="L11" s="148"/>
      <c r="M11" s="198"/>
      <c r="N11" s="148"/>
      <c r="O11" s="148"/>
      <c r="P11" s="148"/>
      <c r="Q11" s="198"/>
      <c r="R11" s="189">
        <f t="shared" ref="R11:R31" si="0">B11+C11+D11+F11+G11+H11+J11+K11+L11+N11+O11+P11</f>
        <v>446</v>
      </c>
      <c r="S11" s="155">
        <f>+E11+I11+M11+Q11</f>
        <v>0</v>
      </c>
      <c r="T11" s="188"/>
      <c r="U11" s="188"/>
      <c r="V11" s="188"/>
      <c r="W11" s="188"/>
      <c r="X11" s="188"/>
      <c r="Y11" s="150"/>
      <c r="Z11" s="150"/>
      <c r="AA11" s="150"/>
      <c r="AB11" s="150"/>
      <c r="AC11" s="150"/>
      <c r="AD11" s="150"/>
      <c r="AE11" s="151"/>
      <c r="AG11" s="148" t="s">
        <v>200</v>
      </c>
      <c r="AH11" s="148"/>
      <c r="AI11" s="148"/>
      <c r="AJ11" s="148"/>
      <c r="AK11" s="198"/>
      <c r="AL11" s="148"/>
      <c r="AM11" s="148"/>
      <c r="AN11" s="148"/>
      <c r="AO11" s="198"/>
      <c r="AP11" s="148"/>
      <c r="AQ11" s="148"/>
      <c r="AR11" s="148"/>
      <c r="AS11" s="198"/>
      <c r="AT11" s="148"/>
      <c r="AU11" s="148"/>
      <c r="AV11" s="148"/>
      <c r="AW11" s="198"/>
      <c r="AX11" s="189">
        <f t="shared" ref="AX11:AX31" si="1">AH11+AI11+AJ11+AL11+AM11+AN11+AP11+AQ11+AR11+AT11+AU11+AV11</f>
        <v>0</v>
      </c>
      <c r="AY11" s="155">
        <f>+AK11+AO11+AS11+AW11</f>
        <v>0</v>
      </c>
      <c r="AZ11" s="150"/>
      <c r="BA11" s="150"/>
      <c r="BB11" s="150"/>
      <c r="BC11" s="150"/>
      <c r="BD11" s="150"/>
      <c r="BE11" s="150"/>
      <c r="BF11" s="150"/>
      <c r="BG11" s="150"/>
      <c r="BH11" s="150"/>
      <c r="BI11" s="150"/>
      <c r="BJ11" s="150"/>
      <c r="BK11" s="151"/>
    </row>
    <row r="12" spans="1:63" x14ac:dyDescent="0.25">
      <c r="A12" s="148" t="s">
        <v>201</v>
      </c>
      <c r="B12" s="148"/>
      <c r="C12" s="148"/>
      <c r="D12" s="148">
        <v>3</v>
      </c>
      <c r="E12" s="198"/>
      <c r="F12" s="148">
        <v>19</v>
      </c>
      <c r="G12" s="148">
        <v>8</v>
      </c>
      <c r="H12" s="148">
        <v>15</v>
      </c>
      <c r="I12" s="198"/>
      <c r="J12" s="385"/>
      <c r="K12" s="148"/>
      <c r="L12" s="148"/>
      <c r="M12" s="198"/>
      <c r="N12" s="148"/>
      <c r="O12" s="148"/>
      <c r="P12" s="148"/>
      <c r="Q12" s="198"/>
      <c r="R12" s="189">
        <f t="shared" si="0"/>
        <v>45</v>
      </c>
      <c r="S12" s="155">
        <f t="shared" ref="S12:S31" si="2">+E12+I12+M12+Q12</f>
        <v>0</v>
      </c>
      <c r="T12" s="188"/>
      <c r="U12" s="188"/>
      <c r="V12" s="188"/>
      <c r="W12" s="188"/>
      <c r="X12" s="188"/>
      <c r="Y12" s="150"/>
      <c r="Z12" s="150"/>
      <c r="AA12" s="150"/>
      <c r="AB12" s="150"/>
      <c r="AC12" s="150"/>
      <c r="AD12" s="150"/>
      <c r="AE12" s="150"/>
      <c r="AG12" s="148" t="s">
        <v>201</v>
      </c>
      <c r="AH12" s="148"/>
      <c r="AI12" s="148"/>
      <c r="AJ12" s="148"/>
      <c r="AK12" s="198"/>
      <c r="AL12" s="148"/>
      <c r="AM12" s="148"/>
      <c r="AN12" s="148"/>
      <c r="AO12" s="198"/>
      <c r="AP12" s="148"/>
      <c r="AQ12" s="148"/>
      <c r="AR12" s="148"/>
      <c r="AS12" s="198"/>
      <c r="AT12" s="148"/>
      <c r="AU12" s="148"/>
      <c r="AV12" s="148"/>
      <c r="AW12" s="198"/>
      <c r="AX12" s="189">
        <f t="shared" si="1"/>
        <v>0</v>
      </c>
      <c r="AY12" s="155">
        <f t="shared" ref="AY12:AY31" si="3">+AK12+AO12+AS12+AW12</f>
        <v>0</v>
      </c>
      <c r="AZ12" s="150"/>
      <c r="BA12" s="150"/>
      <c r="BB12" s="150"/>
      <c r="BC12" s="150"/>
      <c r="BD12" s="150"/>
      <c r="BE12" s="150"/>
      <c r="BF12" s="150"/>
      <c r="BG12" s="150"/>
      <c r="BH12" s="150"/>
      <c r="BI12" s="150"/>
      <c r="BJ12" s="150"/>
      <c r="BK12" s="150"/>
    </row>
    <row r="13" spans="1:63" x14ac:dyDescent="0.25">
      <c r="A13" s="148" t="s">
        <v>202</v>
      </c>
      <c r="B13" s="148"/>
      <c r="C13" s="148"/>
      <c r="D13" s="148">
        <v>8</v>
      </c>
      <c r="E13" s="198"/>
      <c r="F13" s="148">
        <v>14</v>
      </c>
      <c r="G13" s="148">
        <v>12</v>
      </c>
      <c r="H13" s="148">
        <v>15</v>
      </c>
      <c r="I13" s="198"/>
      <c r="J13" s="385">
        <v>12</v>
      </c>
      <c r="K13" s="148"/>
      <c r="L13" s="148"/>
      <c r="M13" s="198"/>
      <c r="N13" s="148"/>
      <c r="O13" s="148"/>
      <c r="P13" s="148"/>
      <c r="Q13" s="198"/>
      <c r="R13" s="189">
        <f t="shared" si="0"/>
        <v>61</v>
      </c>
      <c r="S13" s="155">
        <f t="shared" si="2"/>
        <v>0</v>
      </c>
      <c r="T13" s="188"/>
      <c r="U13" s="188"/>
      <c r="V13" s="188"/>
      <c r="W13" s="188"/>
      <c r="X13" s="188"/>
      <c r="Y13" s="150"/>
      <c r="Z13" s="150"/>
      <c r="AA13" s="150"/>
      <c r="AB13" s="150"/>
      <c r="AC13" s="150"/>
      <c r="AD13" s="150"/>
      <c r="AE13" s="150"/>
      <c r="AG13" s="148" t="s">
        <v>202</v>
      </c>
      <c r="AH13" s="148"/>
      <c r="AI13" s="148"/>
      <c r="AJ13" s="148"/>
      <c r="AK13" s="198"/>
      <c r="AL13" s="148"/>
      <c r="AM13" s="148"/>
      <c r="AN13" s="148"/>
      <c r="AO13" s="198"/>
      <c r="AP13" s="148"/>
      <c r="AQ13" s="148"/>
      <c r="AR13" s="148"/>
      <c r="AS13" s="198"/>
      <c r="AT13" s="148"/>
      <c r="AU13" s="148"/>
      <c r="AV13" s="148"/>
      <c r="AW13" s="198"/>
      <c r="AX13" s="189">
        <f t="shared" si="1"/>
        <v>0</v>
      </c>
      <c r="AY13" s="155">
        <f t="shared" si="3"/>
        <v>0</v>
      </c>
      <c r="AZ13" s="150"/>
      <c r="BA13" s="150"/>
      <c r="BB13" s="150"/>
      <c r="BC13" s="150"/>
      <c r="BD13" s="150"/>
      <c r="BE13" s="150"/>
      <c r="BF13" s="150"/>
      <c r="BG13" s="150"/>
      <c r="BH13" s="150"/>
      <c r="BI13" s="150"/>
      <c r="BJ13" s="150"/>
      <c r="BK13" s="150"/>
    </row>
    <row r="14" spans="1:63" x14ac:dyDescent="0.25">
      <c r="A14" s="148" t="s">
        <v>203</v>
      </c>
      <c r="B14" s="148"/>
      <c r="C14" s="148"/>
      <c r="D14" s="148"/>
      <c r="E14" s="198"/>
      <c r="F14" s="148">
        <v>18</v>
      </c>
      <c r="G14" s="148"/>
      <c r="H14" s="148"/>
      <c r="I14" s="198"/>
      <c r="J14" s="385">
        <v>7</v>
      </c>
      <c r="K14" s="148"/>
      <c r="L14" s="148"/>
      <c r="M14" s="198"/>
      <c r="N14" s="148"/>
      <c r="O14" s="148"/>
      <c r="P14" s="148"/>
      <c r="Q14" s="198"/>
      <c r="R14" s="189">
        <f t="shared" si="0"/>
        <v>25</v>
      </c>
      <c r="S14" s="155">
        <f t="shared" si="2"/>
        <v>0</v>
      </c>
      <c r="T14" s="188"/>
      <c r="U14" s="188"/>
      <c r="V14" s="188"/>
      <c r="W14" s="188"/>
      <c r="X14" s="188"/>
      <c r="Y14" s="150"/>
      <c r="Z14" s="150"/>
      <c r="AA14" s="150"/>
      <c r="AB14" s="150"/>
      <c r="AC14" s="150"/>
      <c r="AD14" s="150"/>
      <c r="AE14" s="150"/>
      <c r="AG14" s="148" t="s">
        <v>203</v>
      </c>
      <c r="AH14" s="148"/>
      <c r="AI14" s="148"/>
      <c r="AJ14" s="148"/>
      <c r="AK14" s="198"/>
      <c r="AL14" s="148"/>
      <c r="AM14" s="148"/>
      <c r="AN14" s="148"/>
      <c r="AO14" s="198"/>
      <c r="AP14" s="148"/>
      <c r="AQ14" s="148"/>
      <c r="AR14" s="148"/>
      <c r="AS14" s="198"/>
      <c r="AT14" s="148"/>
      <c r="AU14" s="148"/>
      <c r="AV14" s="148"/>
      <c r="AW14" s="198"/>
      <c r="AX14" s="189">
        <f t="shared" si="1"/>
        <v>0</v>
      </c>
      <c r="AY14" s="155">
        <f t="shared" si="3"/>
        <v>0</v>
      </c>
      <c r="AZ14" s="150"/>
      <c r="BA14" s="150"/>
      <c r="BB14" s="150"/>
      <c r="BC14" s="150"/>
      <c r="BD14" s="150"/>
      <c r="BE14" s="150"/>
      <c r="BF14" s="150"/>
      <c r="BG14" s="150"/>
      <c r="BH14" s="150"/>
      <c r="BI14" s="150"/>
      <c r="BJ14" s="150"/>
      <c r="BK14" s="150"/>
    </row>
    <row r="15" spans="1:63" x14ac:dyDescent="0.25">
      <c r="A15" s="148" t="s">
        <v>204</v>
      </c>
      <c r="B15" s="148"/>
      <c r="C15" s="148"/>
      <c r="D15" s="148"/>
      <c r="E15" s="198"/>
      <c r="F15" s="148">
        <v>22</v>
      </c>
      <c r="G15" s="148">
        <v>42</v>
      </c>
      <c r="H15" s="148"/>
      <c r="I15" s="198"/>
      <c r="J15" s="385">
        <v>10</v>
      </c>
      <c r="K15" s="148"/>
      <c r="L15" s="148"/>
      <c r="M15" s="198"/>
      <c r="N15" s="148"/>
      <c r="O15" s="148"/>
      <c r="P15" s="148"/>
      <c r="Q15" s="198"/>
      <c r="R15" s="189">
        <f t="shared" si="0"/>
        <v>74</v>
      </c>
      <c r="S15" s="155">
        <f t="shared" si="2"/>
        <v>0</v>
      </c>
      <c r="T15" s="188"/>
      <c r="U15" s="188"/>
      <c r="V15" s="188"/>
      <c r="W15" s="188"/>
      <c r="X15" s="188"/>
      <c r="Y15" s="150"/>
      <c r="Z15" s="150"/>
      <c r="AA15" s="150"/>
      <c r="AB15" s="150"/>
      <c r="AC15" s="150"/>
      <c r="AD15" s="150"/>
      <c r="AE15" s="150"/>
      <c r="AG15" s="148" t="s">
        <v>204</v>
      </c>
      <c r="AH15" s="148"/>
      <c r="AI15" s="148"/>
      <c r="AJ15" s="148"/>
      <c r="AK15" s="198"/>
      <c r="AL15" s="148"/>
      <c r="AM15" s="148"/>
      <c r="AN15" s="148"/>
      <c r="AO15" s="198"/>
      <c r="AP15" s="148"/>
      <c r="AQ15" s="148"/>
      <c r="AR15" s="148"/>
      <c r="AS15" s="198"/>
      <c r="AT15" s="148"/>
      <c r="AU15" s="148"/>
      <c r="AV15" s="148"/>
      <c r="AW15" s="198"/>
      <c r="AX15" s="189">
        <f t="shared" si="1"/>
        <v>0</v>
      </c>
      <c r="AY15" s="155">
        <f t="shared" si="3"/>
        <v>0</v>
      </c>
      <c r="AZ15" s="150"/>
      <c r="BA15" s="150"/>
      <c r="BB15" s="150"/>
      <c r="BC15" s="150"/>
      <c r="BD15" s="150"/>
      <c r="BE15" s="150"/>
      <c r="BF15" s="150"/>
      <c r="BG15" s="150"/>
      <c r="BH15" s="150"/>
      <c r="BI15" s="150"/>
      <c r="BJ15" s="150"/>
      <c r="BK15" s="150"/>
    </row>
    <row r="16" spans="1:63" x14ac:dyDescent="0.25">
      <c r="A16" s="148" t="s">
        <v>205</v>
      </c>
      <c r="B16" s="148"/>
      <c r="C16" s="148"/>
      <c r="D16" s="148">
        <v>16</v>
      </c>
      <c r="E16" s="198"/>
      <c r="F16" s="148">
        <v>11</v>
      </c>
      <c r="G16" s="148"/>
      <c r="H16" s="148">
        <v>27</v>
      </c>
      <c r="I16" s="198"/>
      <c r="J16" s="385">
        <v>12</v>
      </c>
      <c r="K16" s="148"/>
      <c r="L16" s="148"/>
      <c r="M16" s="198"/>
      <c r="N16" s="148"/>
      <c r="O16" s="148"/>
      <c r="P16" s="148"/>
      <c r="Q16" s="198"/>
      <c r="R16" s="189">
        <f t="shared" si="0"/>
        <v>66</v>
      </c>
      <c r="S16" s="155">
        <f t="shared" si="2"/>
        <v>0</v>
      </c>
      <c r="T16" s="188"/>
      <c r="U16" s="188"/>
      <c r="V16" s="188"/>
      <c r="W16" s="188"/>
      <c r="X16" s="188"/>
      <c r="Y16" s="150"/>
      <c r="Z16" s="150"/>
      <c r="AA16" s="150"/>
      <c r="AB16" s="150"/>
      <c r="AC16" s="150"/>
      <c r="AD16" s="150"/>
      <c r="AE16" s="150"/>
      <c r="AG16" s="148" t="s">
        <v>205</v>
      </c>
      <c r="AH16" s="148"/>
      <c r="AI16" s="148"/>
      <c r="AJ16" s="148"/>
      <c r="AK16" s="198"/>
      <c r="AL16" s="148"/>
      <c r="AM16" s="148"/>
      <c r="AN16" s="148"/>
      <c r="AO16" s="198"/>
      <c r="AP16" s="148"/>
      <c r="AQ16" s="148"/>
      <c r="AR16" s="148"/>
      <c r="AS16" s="198"/>
      <c r="AT16" s="148"/>
      <c r="AU16" s="148"/>
      <c r="AV16" s="148"/>
      <c r="AW16" s="198"/>
      <c r="AX16" s="189">
        <f t="shared" si="1"/>
        <v>0</v>
      </c>
      <c r="AY16" s="155">
        <f t="shared" si="3"/>
        <v>0</v>
      </c>
      <c r="AZ16" s="150"/>
      <c r="BA16" s="150"/>
      <c r="BB16" s="150"/>
      <c r="BC16" s="150"/>
      <c r="BD16" s="150"/>
      <c r="BE16" s="150"/>
      <c r="BF16" s="150"/>
      <c r="BG16" s="150"/>
      <c r="BH16" s="150"/>
      <c r="BI16" s="150"/>
      <c r="BJ16" s="150"/>
      <c r="BK16" s="150"/>
    </row>
    <row r="17" spans="1:63" x14ac:dyDescent="0.25">
      <c r="A17" s="148" t="s">
        <v>206</v>
      </c>
      <c r="B17" s="148"/>
      <c r="C17" s="148"/>
      <c r="D17" s="148"/>
      <c r="E17" s="198"/>
      <c r="F17" s="148">
        <v>0</v>
      </c>
      <c r="G17" s="148">
        <v>31</v>
      </c>
      <c r="H17" s="148"/>
      <c r="I17" s="198"/>
      <c r="J17" s="385">
        <v>19</v>
      </c>
      <c r="K17" s="148"/>
      <c r="L17" s="148"/>
      <c r="M17" s="198"/>
      <c r="N17" s="148"/>
      <c r="O17" s="148"/>
      <c r="P17" s="148"/>
      <c r="Q17" s="198"/>
      <c r="R17" s="189">
        <f t="shared" si="0"/>
        <v>50</v>
      </c>
      <c r="S17" s="155">
        <f t="shared" si="2"/>
        <v>0</v>
      </c>
      <c r="T17" s="188"/>
      <c r="U17" s="188"/>
      <c r="V17" s="188"/>
      <c r="W17" s="188"/>
      <c r="X17" s="188"/>
      <c r="Y17" s="150"/>
      <c r="Z17" s="150"/>
      <c r="AA17" s="150"/>
      <c r="AB17" s="150"/>
      <c r="AC17" s="150"/>
      <c r="AD17" s="150"/>
      <c r="AE17" s="150"/>
      <c r="AG17" s="148" t="s">
        <v>206</v>
      </c>
      <c r="AH17" s="148"/>
      <c r="AI17" s="148"/>
      <c r="AJ17" s="148"/>
      <c r="AK17" s="198"/>
      <c r="AL17" s="148"/>
      <c r="AM17" s="148"/>
      <c r="AN17" s="148"/>
      <c r="AO17" s="198"/>
      <c r="AP17" s="148"/>
      <c r="AQ17" s="148"/>
      <c r="AR17" s="148"/>
      <c r="AS17" s="198"/>
      <c r="AT17" s="148"/>
      <c r="AU17" s="148"/>
      <c r="AV17" s="148"/>
      <c r="AW17" s="198"/>
      <c r="AX17" s="189">
        <f t="shared" si="1"/>
        <v>0</v>
      </c>
      <c r="AY17" s="155">
        <f t="shared" si="3"/>
        <v>0</v>
      </c>
      <c r="AZ17" s="150"/>
      <c r="BA17" s="150"/>
      <c r="BB17" s="150"/>
      <c r="BC17" s="150"/>
      <c r="BD17" s="150"/>
      <c r="BE17" s="150"/>
      <c r="BF17" s="150"/>
      <c r="BG17" s="150"/>
      <c r="BH17" s="150"/>
      <c r="BI17" s="150"/>
      <c r="BJ17" s="150"/>
      <c r="BK17" s="150"/>
    </row>
    <row r="18" spans="1:63" x14ac:dyDescent="0.25">
      <c r="A18" s="148" t="s">
        <v>207</v>
      </c>
      <c r="B18" s="148"/>
      <c r="C18" s="148"/>
      <c r="D18" s="148">
        <v>10</v>
      </c>
      <c r="E18" s="198"/>
      <c r="F18" s="148">
        <v>22</v>
      </c>
      <c r="G18" s="148">
        <v>27</v>
      </c>
      <c r="H18" s="148">
        <v>20</v>
      </c>
      <c r="I18" s="198"/>
      <c r="J18" s="385"/>
      <c r="K18" s="148"/>
      <c r="L18" s="148"/>
      <c r="M18" s="198"/>
      <c r="N18" s="148"/>
      <c r="O18" s="148"/>
      <c r="P18" s="148"/>
      <c r="Q18" s="198"/>
      <c r="R18" s="189">
        <f t="shared" si="0"/>
        <v>79</v>
      </c>
      <c r="S18" s="155">
        <f t="shared" si="2"/>
        <v>0</v>
      </c>
      <c r="T18" s="188"/>
      <c r="U18" s="188"/>
      <c r="V18" s="188"/>
      <c r="W18" s="188"/>
      <c r="X18" s="188"/>
      <c r="Y18" s="150"/>
      <c r="Z18" s="150"/>
      <c r="AA18" s="150"/>
      <c r="AB18" s="150"/>
      <c r="AC18" s="150"/>
      <c r="AD18" s="150"/>
      <c r="AE18" s="150"/>
      <c r="AG18" s="148" t="s">
        <v>207</v>
      </c>
      <c r="AH18" s="148"/>
      <c r="AI18" s="148"/>
      <c r="AJ18" s="148"/>
      <c r="AK18" s="198"/>
      <c r="AL18" s="148"/>
      <c r="AM18" s="148"/>
      <c r="AN18" s="148"/>
      <c r="AO18" s="198"/>
      <c r="AP18" s="148"/>
      <c r="AQ18" s="148"/>
      <c r="AR18" s="148"/>
      <c r="AS18" s="198"/>
      <c r="AT18" s="148"/>
      <c r="AU18" s="148"/>
      <c r="AV18" s="148"/>
      <c r="AW18" s="198"/>
      <c r="AX18" s="189">
        <f t="shared" si="1"/>
        <v>0</v>
      </c>
      <c r="AY18" s="155">
        <f t="shared" si="3"/>
        <v>0</v>
      </c>
      <c r="AZ18" s="150"/>
      <c r="BA18" s="150"/>
      <c r="BB18" s="150"/>
      <c r="BC18" s="150"/>
      <c r="BD18" s="150"/>
      <c r="BE18" s="150"/>
      <c r="BF18" s="150"/>
      <c r="BG18" s="150"/>
      <c r="BH18" s="150"/>
      <c r="BI18" s="150"/>
      <c r="BJ18" s="150"/>
      <c r="BK18" s="150"/>
    </row>
    <row r="19" spans="1:63" x14ac:dyDescent="0.25">
      <c r="A19" s="148" t="s">
        <v>208</v>
      </c>
      <c r="B19" s="148"/>
      <c r="C19" s="148"/>
      <c r="D19" s="148">
        <v>27</v>
      </c>
      <c r="E19" s="198"/>
      <c r="F19" s="148">
        <v>47</v>
      </c>
      <c r="G19" s="148">
        <v>28</v>
      </c>
      <c r="H19" s="148">
        <v>28</v>
      </c>
      <c r="I19" s="198"/>
      <c r="J19" s="385">
        <v>30</v>
      </c>
      <c r="K19" s="148"/>
      <c r="L19" s="148"/>
      <c r="M19" s="198"/>
      <c r="N19" s="148"/>
      <c r="O19" s="148"/>
      <c r="P19" s="148"/>
      <c r="Q19" s="198"/>
      <c r="R19" s="189">
        <f t="shared" si="0"/>
        <v>160</v>
      </c>
      <c r="S19" s="155">
        <f t="shared" si="2"/>
        <v>0</v>
      </c>
      <c r="T19" s="188"/>
      <c r="U19" s="188"/>
      <c r="V19" s="188"/>
      <c r="W19" s="188"/>
      <c r="X19" s="188"/>
      <c r="Y19" s="150"/>
      <c r="Z19" s="150"/>
      <c r="AA19" s="150"/>
      <c r="AB19" s="150"/>
      <c r="AC19" s="150"/>
      <c r="AD19" s="150"/>
      <c r="AE19" s="150"/>
      <c r="AG19" s="148" t="s">
        <v>208</v>
      </c>
      <c r="AH19" s="148"/>
      <c r="AI19" s="148"/>
      <c r="AJ19" s="148"/>
      <c r="AK19" s="198"/>
      <c r="AL19" s="148"/>
      <c r="AM19" s="148"/>
      <c r="AN19" s="148"/>
      <c r="AO19" s="198"/>
      <c r="AP19" s="148"/>
      <c r="AQ19" s="148"/>
      <c r="AR19" s="148"/>
      <c r="AS19" s="198"/>
      <c r="AT19" s="148"/>
      <c r="AU19" s="148"/>
      <c r="AV19" s="148"/>
      <c r="AW19" s="198"/>
      <c r="AX19" s="189">
        <f t="shared" si="1"/>
        <v>0</v>
      </c>
      <c r="AY19" s="155">
        <f t="shared" si="3"/>
        <v>0</v>
      </c>
      <c r="AZ19" s="150"/>
      <c r="BA19" s="150"/>
      <c r="BB19" s="150"/>
      <c r="BC19" s="150"/>
      <c r="BD19" s="150"/>
      <c r="BE19" s="150"/>
      <c r="BF19" s="150"/>
      <c r="BG19" s="150"/>
      <c r="BH19" s="150"/>
      <c r="BI19" s="148"/>
      <c r="BJ19" s="148"/>
      <c r="BK19" s="148"/>
    </row>
    <row r="20" spans="1:63" x14ac:dyDescent="0.25">
      <c r="A20" s="148" t="s">
        <v>209</v>
      </c>
      <c r="B20" s="148"/>
      <c r="C20" s="148"/>
      <c r="D20" s="148">
        <v>15</v>
      </c>
      <c r="E20" s="198"/>
      <c r="F20" s="148">
        <v>18</v>
      </c>
      <c r="G20" s="148">
        <v>9</v>
      </c>
      <c r="H20" s="148">
        <v>13</v>
      </c>
      <c r="I20" s="198"/>
      <c r="J20" s="385">
        <v>10</v>
      </c>
      <c r="K20" s="148"/>
      <c r="L20" s="148"/>
      <c r="M20" s="198"/>
      <c r="N20" s="148"/>
      <c r="O20" s="148"/>
      <c r="P20" s="148"/>
      <c r="Q20" s="198"/>
      <c r="R20" s="189">
        <f t="shared" si="0"/>
        <v>65</v>
      </c>
      <c r="S20" s="155">
        <f t="shared" si="2"/>
        <v>0</v>
      </c>
      <c r="T20" s="188"/>
      <c r="U20" s="188"/>
      <c r="V20" s="188"/>
      <c r="W20" s="188"/>
      <c r="X20" s="188"/>
      <c r="Y20" s="150"/>
      <c r="Z20" s="150"/>
      <c r="AA20" s="150"/>
      <c r="AB20" s="150"/>
      <c r="AC20" s="150"/>
      <c r="AD20" s="150"/>
      <c r="AE20" s="150"/>
      <c r="AG20" s="148" t="s">
        <v>209</v>
      </c>
      <c r="AH20" s="148"/>
      <c r="AI20" s="148"/>
      <c r="AJ20" s="148"/>
      <c r="AK20" s="198"/>
      <c r="AL20" s="148"/>
      <c r="AM20" s="148"/>
      <c r="AN20" s="148"/>
      <c r="AO20" s="198"/>
      <c r="AP20" s="148"/>
      <c r="AQ20" s="148"/>
      <c r="AR20" s="148"/>
      <c r="AS20" s="198"/>
      <c r="AT20" s="148"/>
      <c r="AU20" s="148"/>
      <c r="AV20" s="148"/>
      <c r="AW20" s="198"/>
      <c r="AX20" s="189">
        <f t="shared" si="1"/>
        <v>0</v>
      </c>
      <c r="AY20" s="155">
        <f t="shared" si="3"/>
        <v>0</v>
      </c>
      <c r="AZ20" s="150"/>
      <c r="BA20" s="150"/>
      <c r="BB20" s="150"/>
      <c r="BC20" s="150"/>
      <c r="BD20" s="150"/>
      <c r="BE20" s="150"/>
      <c r="BF20" s="150"/>
      <c r="BG20" s="150"/>
      <c r="BH20" s="150"/>
      <c r="BI20" s="148"/>
      <c r="BJ20" s="148"/>
      <c r="BK20" s="148"/>
    </row>
    <row r="21" spans="1:63" x14ac:dyDescent="0.25">
      <c r="A21" s="148" t="s">
        <v>210</v>
      </c>
      <c r="B21" s="148"/>
      <c r="C21" s="148"/>
      <c r="D21" s="148">
        <v>12</v>
      </c>
      <c r="E21" s="198"/>
      <c r="F21" s="148">
        <v>7</v>
      </c>
      <c r="G21" s="148">
        <v>18</v>
      </c>
      <c r="H21" s="148">
        <v>13</v>
      </c>
      <c r="I21" s="198"/>
      <c r="J21" s="385">
        <v>10</v>
      </c>
      <c r="K21" s="148"/>
      <c r="L21" s="148"/>
      <c r="M21" s="198"/>
      <c r="N21" s="148"/>
      <c r="O21" s="148"/>
      <c r="P21" s="148"/>
      <c r="Q21" s="198"/>
      <c r="R21" s="189">
        <f t="shared" si="0"/>
        <v>60</v>
      </c>
      <c r="S21" s="155">
        <f t="shared" si="2"/>
        <v>0</v>
      </c>
      <c r="T21" s="188"/>
      <c r="U21" s="188"/>
      <c r="V21" s="188"/>
      <c r="W21" s="188"/>
      <c r="X21" s="188"/>
      <c r="Y21" s="150"/>
      <c r="Z21" s="150"/>
      <c r="AA21" s="150"/>
      <c r="AB21" s="150"/>
      <c r="AC21" s="150"/>
      <c r="AD21" s="150"/>
      <c r="AE21" s="150"/>
      <c r="AG21" s="148" t="s">
        <v>210</v>
      </c>
      <c r="AH21" s="148"/>
      <c r="AI21" s="148"/>
      <c r="AJ21" s="148"/>
      <c r="AK21" s="198"/>
      <c r="AL21" s="148"/>
      <c r="AM21" s="148"/>
      <c r="AN21" s="148"/>
      <c r="AO21" s="198"/>
      <c r="AP21" s="148"/>
      <c r="AQ21" s="148"/>
      <c r="AR21" s="148"/>
      <c r="AS21" s="198"/>
      <c r="AT21" s="148"/>
      <c r="AU21" s="148"/>
      <c r="AV21" s="148"/>
      <c r="AW21" s="198"/>
      <c r="AX21" s="189">
        <f t="shared" si="1"/>
        <v>0</v>
      </c>
      <c r="AY21" s="155">
        <f t="shared" si="3"/>
        <v>0</v>
      </c>
      <c r="AZ21" s="150"/>
      <c r="BA21" s="150"/>
      <c r="BB21" s="150"/>
      <c r="BC21" s="150"/>
      <c r="BD21" s="150"/>
      <c r="BE21" s="150"/>
      <c r="BF21" s="150"/>
      <c r="BG21" s="150"/>
      <c r="BH21" s="150"/>
      <c r="BI21" s="148"/>
      <c r="BJ21" s="148"/>
      <c r="BK21" s="148"/>
    </row>
    <row r="22" spans="1:63" x14ac:dyDescent="0.25">
      <c r="A22" s="148" t="s">
        <v>211</v>
      </c>
      <c r="B22" s="148"/>
      <c r="C22" s="148"/>
      <c r="D22" s="148">
        <v>14</v>
      </c>
      <c r="E22" s="198"/>
      <c r="F22" s="148">
        <v>20</v>
      </c>
      <c r="G22" s="148">
        <v>29</v>
      </c>
      <c r="H22" s="148">
        <v>16</v>
      </c>
      <c r="I22" s="198"/>
      <c r="J22" s="385"/>
      <c r="K22" s="148"/>
      <c r="L22" s="148"/>
      <c r="M22" s="198"/>
      <c r="N22" s="148"/>
      <c r="O22" s="148"/>
      <c r="P22" s="148"/>
      <c r="Q22" s="198"/>
      <c r="R22" s="189">
        <f t="shared" si="0"/>
        <v>79</v>
      </c>
      <c r="S22" s="155">
        <f t="shared" si="2"/>
        <v>0</v>
      </c>
      <c r="T22" s="188"/>
      <c r="U22" s="188"/>
      <c r="V22" s="188"/>
      <c r="W22" s="188"/>
      <c r="X22" s="188"/>
      <c r="Y22" s="150"/>
      <c r="Z22" s="150"/>
      <c r="AA22" s="150"/>
      <c r="AB22" s="150"/>
      <c r="AC22" s="150"/>
      <c r="AD22" s="150"/>
      <c r="AE22" s="150"/>
      <c r="AG22" s="148" t="s">
        <v>211</v>
      </c>
      <c r="AH22" s="148"/>
      <c r="AI22" s="148"/>
      <c r="AJ22" s="148"/>
      <c r="AK22" s="198"/>
      <c r="AL22" s="148"/>
      <c r="AM22" s="148"/>
      <c r="AN22" s="148"/>
      <c r="AO22" s="198"/>
      <c r="AP22" s="148"/>
      <c r="AQ22" s="148"/>
      <c r="AR22" s="148"/>
      <c r="AS22" s="198"/>
      <c r="AT22" s="148"/>
      <c r="AU22" s="148"/>
      <c r="AV22" s="148"/>
      <c r="AW22" s="198"/>
      <c r="AX22" s="189">
        <f t="shared" si="1"/>
        <v>0</v>
      </c>
      <c r="AY22" s="155">
        <f t="shared" si="3"/>
        <v>0</v>
      </c>
      <c r="AZ22" s="150"/>
      <c r="BA22" s="150"/>
      <c r="BB22" s="150"/>
      <c r="BC22" s="150"/>
      <c r="BD22" s="150"/>
      <c r="BE22" s="150"/>
      <c r="BF22" s="150"/>
      <c r="BG22" s="150"/>
      <c r="BH22" s="150"/>
      <c r="BI22" s="150"/>
      <c r="BJ22" s="150"/>
      <c r="BK22" s="150"/>
    </row>
    <row r="23" spans="1:63" x14ac:dyDescent="0.25">
      <c r="A23" s="148" t="s">
        <v>212</v>
      </c>
      <c r="B23" s="148"/>
      <c r="C23" s="148"/>
      <c r="D23" s="148">
        <v>18</v>
      </c>
      <c r="E23" s="198"/>
      <c r="F23" s="148">
        <v>24</v>
      </c>
      <c r="G23" s="148"/>
      <c r="H23" s="148">
        <v>2</v>
      </c>
      <c r="I23" s="198"/>
      <c r="J23" s="385">
        <v>7</v>
      </c>
      <c r="K23" s="148"/>
      <c r="L23" s="148"/>
      <c r="M23" s="198"/>
      <c r="N23" s="148"/>
      <c r="O23" s="148"/>
      <c r="P23" s="148"/>
      <c r="Q23" s="198"/>
      <c r="R23" s="189">
        <f t="shared" si="0"/>
        <v>51</v>
      </c>
      <c r="S23" s="155">
        <f t="shared" si="2"/>
        <v>0</v>
      </c>
      <c r="T23" s="188"/>
      <c r="U23" s="188"/>
      <c r="V23" s="188"/>
      <c r="W23" s="188"/>
      <c r="X23" s="188"/>
      <c r="Y23" s="150"/>
      <c r="Z23" s="150"/>
      <c r="AA23" s="150"/>
      <c r="AB23" s="150"/>
      <c r="AC23" s="150"/>
      <c r="AD23" s="150"/>
      <c r="AE23" s="150"/>
      <c r="AG23" s="148" t="s">
        <v>212</v>
      </c>
      <c r="AH23" s="148"/>
      <c r="AI23" s="148"/>
      <c r="AJ23" s="148"/>
      <c r="AK23" s="198"/>
      <c r="AL23" s="148"/>
      <c r="AM23" s="148"/>
      <c r="AN23" s="148"/>
      <c r="AO23" s="198"/>
      <c r="AP23" s="148"/>
      <c r="AQ23" s="148"/>
      <c r="AR23" s="148"/>
      <c r="AS23" s="198"/>
      <c r="AT23" s="148"/>
      <c r="AU23" s="148"/>
      <c r="AV23" s="148"/>
      <c r="AW23" s="198"/>
      <c r="AX23" s="189">
        <f t="shared" si="1"/>
        <v>0</v>
      </c>
      <c r="AY23" s="155">
        <f t="shared" si="3"/>
        <v>0</v>
      </c>
      <c r="AZ23" s="150"/>
      <c r="BA23" s="150"/>
      <c r="BB23" s="150"/>
      <c r="BC23" s="150"/>
      <c r="BD23" s="150"/>
      <c r="BE23" s="150"/>
      <c r="BF23" s="150"/>
      <c r="BG23" s="150"/>
      <c r="BH23" s="150"/>
      <c r="BI23" s="150"/>
      <c r="BJ23" s="150"/>
      <c r="BK23" s="150"/>
    </row>
    <row r="24" spans="1:63" x14ac:dyDescent="0.25">
      <c r="A24" s="148" t="s">
        <v>213</v>
      </c>
      <c r="B24" s="148"/>
      <c r="C24" s="148"/>
      <c r="D24" s="148"/>
      <c r="E24" s="198"/>
      <c r="F24" s="148">
        <v>0</v>
      </c>
      <c r="G24" s="148">
        <v>9</v>
      </c>
      <c r="H24" s="148"/>
      <c r="I24" s="198"/>
      <c r="J24" s="385"/>
      <c r="K24" s="148"/>
      <c r="L24" s="148"/>
      <c r="M24" s="198"/>
      <c r="N24" s="148"/>
      <c r="O24" s="148"/>
      <c r="P24" s="148"/>
      <c r="Q24" s="198"/>
      <c r="R24" s="189">
        <f t="shared" si="0"/>
        <v>9</v>
      </c>
      <c r="S24" s="155">
        <f t="shared" si="2"/>
        <v>0</v>
      </c>
      <c r="T24" s="188"/>
      <c r="U24" s="188"/>
      <c r="V24" s="188"/>
      <c r="W24" s="188"/>
      <c r="X24" s="188"/>
      <c r="Y24" s="150"/>
      <c r="Z24" s="150"/>
      <c r="AA24" s="150"/>
      <c r="AB24" s="150"/>
      <c r="AC24" s="150"/>
      <c r="AD24" s="150"/>
      <c r="AE24" s="150"/>
      <c r="AG24" s="148" t="s">
        <v>213</v>
      </c>
      <c r="AH24" s="148"/>
      <c r="AI24" s="148"/>
      <c r="AJ24" s="148"/>
      <c r="AK24" s="198"/>
      <c r="AL24" s="148"/>
      <c r="AM24" s="148"/>
      <c r="AN24" s="148"/>
      <c r="AO24" s="198"/>
      <c r="AP24" s="148"/>
      <c r="AQ24" s="148"/>
      <c r="AR24" s="148"/>
      <c r="AS24" s="198"/>
      <c r="AT24" s="148"/>
      <c r="AU24" s="148"/>
      <c r="AV24" s="148"/>
      <c r="AW24" s="198"/>
      <c r="AX24" s="189">
        <f t="shared" si="1"/>
        <v>0</v>
      </c>
      <c r="AY24" s="155">
        <f t="shared" si="3"/>
        <v>0</v>
      </c>
      <c r="AZ24" s="150"/>
      <c r="BA24" s="150"/>
      <c r="BB24" s="150"/>
      <c r="BC24" s="150"/>
      <c r="BD24" s="150"/>
      <c r="BE24" s="150"/>
      <c r="BF24" s="150"/>
      <c r="BG24" s="150"/>
      <c r="BH24" s="150"/>
      <c r="BI24" s="150"/>
      <c r="BJ24" s="150"/>
      <c r="BK24" s="150"/>
    </row>
    <row r="25" spans="1:63" x14ac:dyDescent="0.25">
      <c r="A25" s="148" t="s">
        <v>214</v>
      </c>
      <c r="B25" s="148"/>
      <c r="C25" s="148"/>
      <c r="D25" s="148">
        <v>15</v>
      </c>
      <c r="E25" s="198"/>
      <c r="F25" s="148">
        <v>15</v>
      </c>
      <c r="G25" s="148">
        <v>15</v>
      </c>
      <c r="H25" s="148">
        <v>12</v>
      </c>
      <c r="I25" s="198"/>
      <c r="J25" s="385">
        <v>12</v>
      </c>
      <c r="K25" s="148"/>
      <c r="L25" s="148"/>
      <c r="M25" s="198"/>
      <c r="N25" s="148"/>
      <c r="O25" s="148"/>
      <c r="P25" s="148"/>
      <c r="Q25" s="198"/>
      <c r="R25" s="189">
        <f t="shared" si="0"/>
        <v>69</v>
      </c>
      <c r="S25" s="155">
        <f t="shared" si="2"/>
        <v>0</v>
      </c>
      <c r="T25" s="188"/>
      <c r="U25" s="188"/>
      <c r="V25" s="188"/>
      <c r="W25" s="188"/>
      <c r="X25" s="188"/>
      <c r="Y25" s="150"/>
      <c r="Z25" s="150"/>
      <c r="AA25" s="150"/>
      <c r="AB25" s="150"/>
      <c r="AC25" s="150"/>
      <c r="AD25" s="150"/>
      <c r="AE25" s="150"/>
      <c r="AG25" s="148" t="s">
        <v>214</v>
      </c>
      <c r="AH25" s="148"/>
      <c r="AI25" s="148"/>
      <c r="AJ25" s="148"/>
      <c r="AK25" s="198"/>
      <c r="AL25" s="148"/>
      <c r="AM25" s="148"/>
      <c r="AN25" s="148"/>
      <c r="AO25" s="198"/>
      <c r="AP25" s="148"/>
      <c r="AQ25" s="148"/>
      <c r="AR25" s="148"/>
      <c r="AS25" s="198"/>
      <c r="AT25" s="148"/>
      <c r="AU25" s="148"/>
      <c r="AV25" s="148"/>
      <c r="AW25" s="198"/>
      <c r="AX25" s="189">
        <f t="shared" si="1"/>
        <v>0</v>
      </c>
      <c r="AY25" s="155">
        <f t="shared" si="3"/>
        <v>0</v>
      </c>
      <c r="AZ25" s="150"/>
      <c r="BA25" s="150"/>
      <c r="BB25" s="150"/>
      <c r="BC25" s="150"/>
      <c r="BD25" s="150"/>
      <c r="BE25" s="150"/>
      <c r="BF25" s="150"/>
      <c r="BG25" s="150"/>
      <c r="BH25" s="150"/>
      <c r="BI25" s="150"/>
      <c r="BJ25" s="150"/>
      <c r="BK25" s="150"/>
    </row>
    <row r="26" spans="1:63" x14ac:dyDescent="0.25">
      <c r="A26" s="148" t="s">
        <v>215</v>
      </c>
      <c r="B26" s="148"/>
      <c r="C26" s="148"/>
      <c r="D26" s="148">
        <v>24</v>
      </c>
      <c r="E26" s="198"/>
      <c r="F26" s="148">
        <v>0</v>
      </c>
      <c r="G26" s="148">
        <v>20</v>
      </c>
      <c r="H26" s="148">
        <v>15</v>
      </c>
      <c r="I26" s="198"/>
      <c r="J26" s="385"/>
      <c r="K26" s="148"/>
      <c r="L26" s="148"/>
      <c r="M26" s="198"/>
      <c r="N26" s="148"/>
      <c r="O26" s="148"/>
      <c r="P26" s="148"/>
      <c r="Q26" s="198"/>
      <c r="R26" s="189">
        <f t="shared" si="0"/>
        <v>59</v>
      </c>
      <c r="S26" s="155">
        <f t="shared" si="2"/>
        <v>0</v>
      </c>
      <c r="T26" s="188"/>
      <c r="U26" s="188"/>
      <c r="V26" s="188"/>
      <c r="W26" s="188"/>
      <c r="X26" s="188"/>
      <c r="Y26" s="150"/>
      <c r="Z26" s="150"/>
      <c r="AA26" s="150"/>
      <c r="AB26" s="150"/>
      <c r="AC26" s="150"/>
      <c r="AD26" s="150"/>
      <c r="AE26" s="150"/>
      <c r="AG26" s="148" t="s">
        <v>215</v>
      </c>
      <c r="AH26" s="148"/>
      <c r="AI26" s="148"/>
      <c r="AJ26" s="148"/>
      <c r="AK26" s="198"/>
      <c r="AL26" s="148"/>
      <c r="AM26" s="148"/>
      <c r="AN26" s="148"/>
      <c r="AO26" s="198"/>
      <c r="AP26" s="148"/>
      <c r="AQ26" s="148"/>
      <c r="AR26" s="148"/>
      <c r="AS26" s="198"/>
      <c r="AT26" s="148"/>
      <c r="AU26" s="148"/>
      <c r="AV26" s="148"/>
      <c r="AW26" s="198"/>
      <c r="AX26" s="189">
        <f t="shared" si="1"/>
        <v>0</v>
      </c>
      <c r="AY26" s="155">
        <f t="shared" si="3"/>
        <v>0</v>
      </c>
      <c r="AZ26" s="150"/>
      <c r="BA26" s="150"/>
      <c r="BB26" s="150"/>
      <c r="BC26" s="150"/>
      <c r="BD26" s="150"/>
      <c r="BE26" s="150"/>
      <c r="BF26" s="150"/>
      <c r="BG26" s="150"/>
      <c r="BH26" s="150"/>
      <c r="BI26" s="150"/>
      <c r="BJ26" s="150"/>
      <c r="BK26" s="150"/>
    </row>
    <row r="27" spans="1:63" x14ac:dyDescent="0.25">
      <c r="A27" s="148" t="s">
        <v>216</v>
      </c>
      <c r="B27" s="148"/>
      <c r="C27" s="148"/>
      <c r="D27" s="148"/>
      <c r="E27" s="198"/>
      <c r="F27" s="148">
        <v>0</v>
      </c>
      <c r="G27" s="148">
        <v>59</v>
      </c>
      <c r="H27" s="148">
        <v>17</v>
      </c>
      <c r="I27" s="198"/>
      <c r="J27" s="385">
        <v>9</v>
      </c>
      <c r="K27" s="148"/>
      <c r="L27" s="148"/>
      <c r="M27" s="198"/>
      <c r="N27" s="148"/>
      <c r="O27" s="148"/>
      <c r="P27" s="148"/>
      <c r="Q27" s="198"/>
      <c r="R27" s="189">
        <f t="shared" si="0"/>
        <v>85</v>
      </c>
      <c r="S27" s="155">
        <f t="shared" si="2"/>
        <v>0</v>
      </c>
      <c r="T27" s="188"/>
      <c r="U27" s="188"/>
      <c r="V27" s="188"/>
      <c r="W27" s="188"/>
      <c r="X27" s="188"/>
      <c r="Y27" s="150"/>
      <c r="Z27" s="150"/>
      <c r="AA27" s="150"/>
      <c r="AB27" s="150"/>
      <c r="AC27" s="150"/>
      <c r="AD27" s="150"/>
      <c r="AE27" s="150"/>
      <c r="AG27" s="148" t="s">
        <v>216</v>
      </c>
      <c r="AH27" s="148"/>
      <c r="AI27" s="148"/>
      <c r="AJ27" s="148"/>
      <c r="AK27" s="198"/>
      <c r="AL27" s="148"/>
      <c r="AM27" s="148"/>
      <c r="AN27" s="148"/>
      <c r="AO27" s="198"/>
      <c r="AP27" s="148"/>
      <c r="AQ27" s="148"/>
      <c r="AR27" s="148"/>
      <c r="AS27" s="198"/>
      <c r="AT27" s="148"/>
      <c r="AU27" s="148"/>
      <c r="AV27" s="148"/>
      <c r="AW27" s="198"/>
      <c r="AX27" s="189">
        <f t="shared" si="1"/>
        <v>0</v>
      </c>
      <c r="AY27" s="155">
        <f t="shared" si="3"/>
        <v>0</v>
      </c>
      <c r="AZ27" s="150"/>
      <c r="BA27" s="150"/>
      <c r="BB27" s="150"/>
      <c r="BC27" s="150"/>
      <c r="BD27" s="150"/>
      <c r="BE27" s="150"/>
      <c r="BF27" s="150"/>
      <c r="BG27" s="150"/>
      <c r="BH27" s="150"/>
      <c r="BI27" s="150"/>
      <c r="BJ27" s="150"/>
      <c r="BK27" s="150"/>
    </row>
    <row r="28" spans="1:63" x14ac:dyDescent="0.25">
      <c r="A28" s="148" t="s">
        <v>217</v>
      </c>
      <c r="B28" s="148"/>
      <c r="C28" s="148"/>
      <c r="D28" s="148">
        <v>6</v>
      </c>
      <c r="E28" s="198"/>
      <c r="F28" s="148">
        <v>0</v>
      </c>
      <c r="G28" s="148">
        <v>13</v>
      </c>
      <c r="H28" s="148"/>
      <c r="I28" s="198"/>
      <c r="J28" s="385">
        <v>14</v>
      </c>
      <c r="K28" s="148"/>
      <c r="L28" s="148"/>
      <c r="M28" s="198"/>
      <c r="N28" s="148"/>
      <c r="O28" s="148"/>
      <c r="P28" s="148"/>
      <c r="Q28" s="198"/>
      <c r="R28" s="189">
        <f t="shared" si="0"/>
        <v>33</v>
      </c>
      <c r="S28" s="155">
        <f t="shared" si="2"/>
        <v>0</v>
      </c>
      <c r="T28" s="188"/>
      <c r="U28" s="188"/>
      <c r="V28" s="188"/>
      <c r="W28" s="188"/>
      <c r="X28" s="188"/>
      <c r="Y28" s="150"/>
      <c r="Z28" s="150"/>
      <c r="AA28" s="150"/>
      <c r="AB28" s="150"/>
      <c r="AC28" s="150"/>
      <c r="AD28" s="150"/>
      <c r="AE28" s="150"/>
      <c r="AG28" s="148" t="s">
        <v>217</v>
      </c>
      <c r="AH28" s="148"/>
      <c r="AI28" s="148"/>
      <c r="AJ28" s="148"/>
      <c r="AK28" s="198"/>
      <c r="AL28" s="148"/>
      <c r="AM28" s="148"/>
      <c r="AN28" s="148"/>
      <c r="AO28" s="198"/>
      <c r="AP28" s="148"/>
      <c r="AQ28" s="148"/>
      <c r="AR28" s="148"/>
      <c r="AS28" s="198"/>
      <c r="AT28" s="148"/>
      <c r="AU28" s="148"/>
      <c r="AV28" s="148"/>
      <c r="AW28" s="198"/>
      <c r="AX28" s="189">
        <f t="shared" si="1"/>
        <v>0</v>
      </c>
      <c r="AY28" s="155">
        <f t="shared" si="3"/>
        <v>0</v>
      </c>
      <c r="AZ28" s="150"/>
      <c r="BA28" s="150"/>
      <c r="BB28" s="150"/>
      <c r="BC28" s="150"/>
      <c r="BD28" s="150"/>
      <c r="BE28" s="150"/>
      <c r="BF28" s="150"/>
      <c r="BG28" s="150"/>
      <c r="BH28" s="150"/>
      <c r="BI28" s="150"/>
      <c r="BJ28" s="150"/>
      <c r="BK28" s="150"/>
    </row>
    <row r="29" spans="1:63" x14ac:dyDescent="0.25">
      <c r="A29" s="148" t="s">
        <v>218</v>
      </c>
      <c r="B29" s="148"/>
      <c r="C29" s="148"/>
      <c r="D29" s="148"/>
      <c r="E29" s="198"/>
      <c r="F29" s="148">
        <v>0</v>
      </c>
      <c r="G29" s="148">
        <v>39</v>
      </c>
      <c r="H29" s="148">
        <v>31</v>
      </c>
      <c r="I29" s="198"/>
      <c r="J29" s="385"/>
      <c r="K29" s="148"/>
      <c r="L29" s="148"/>
      <c r="M29" s="198"/>
      <c r="N29" s="148"/>
      <c r="O29" s="148"/>
      <c r="P29" s="148"/>
      <c r="Q29" s="198"/>
      <c r="R29" s="189">
        <f t="shared" si="0"/>
        <v>70</v>
      </c>
      <c r="S29" s="155">
        <f t="shared" si="2"/>
        <v>0</v>
      </c>
      <c r="T29" s="188"/>
      <c r="U29" s="188"/>
      <c r="V29" s="188"/>
      <c r="W29" s="188"/>
      <c r="X29" s="188"/>
      <c r="Y29" s="150"/>
      <c r="Z29" s="150"/>
      <c r="AA29" s="150"/>
      <c r="AB29" s="150"/>
      <c r="AC29" s="150"/>
      <c r="AD29" s="150"/>
      <c r="AE29" s="150"/>
      <c r="AG29" s="148" t="s">
        <v>218</v>
      </c>
      <c r="AH29" s="148"/>
      <c r="AI29" s="148"/>
      <c r="AJ29" s="148"/>
      <c r="AK29" s="198"/>
      <c r="AL29" s="148"/>
      <c r="AM29" s="148"/>
      <c r="AN29" s="148"/>
      <c r="AO29" s="198"/>
      <c r="AP29" s="148"/>
      <c r="AQ29" s="148"/>
      <c r="AR29" s="148"/>
      <c r="AS29" s="198"/>
      <c r="AT29" s="148"/>
      <c r="AU29" s="148"/>
      <c r="AV29" s="148"/>
      <c r="AW29" s="198"/>
      <c r="AX29" s="189">
        <f t="shared" si="1"/>
        <v>0</v>
      </c>
      <c r="AY29" s="155">
        <f t="shared" si="3"/>
        <v>0</v>
      </c>
      <c r="AZ29" s="150"/>
      <c r="BA29" s="150"/>
      <c r="BB29" s="150"/>
      <c r="BC29" s="150"/>
      <c r="BD29" s="150"/>
      <c r="BE29" s="150"/>
      <c r="BF29" s="150"/>
      <c r="BG29" s="150"/>
      <c r="BH29" s="150"/>
      <c r="BI29" s="150"/>
      <c r="BJ29" s="150"/>
      <c r="BK29" s="150"/>
    </row>
    <row r="30" spans="1:63" x14ac:dyDescent="0.25">
      <c r="A30" s="148" t="s">
        <v>219</v>
      </c>
      <c r="B30" s="148"/>
      <c r="C30" s="148"/>
      <c r="D30" s="148">
        <v>15</v>
      </c>
      <c r="E30" s="198"/>
      <c r="F30" s="148">
        <v>17</v>
      </c>
      <c r="G30" s="148">
        <v>29</v>
      </c>
      <c r="H30" s="148">
        <v>40</v>
      </c>
      <c r="I30" s="198"/>
      <c r="J30" s="385">
        <v>15</v>
      </c>
      <c r="K30" s="148"/>
      <c r="L30" s="148"/>
      <c r="M30" s="198"/>
      <c r="N30" s="148"/>
      <c r="O30" s="148"/>
      <c r="P30" s="148"/>
      <c r="Q30" s="198"/>
      <c r="R30" s="189">
        <f t="shared" si="0"/>
        <v>116</v>
      </c>
      <c r="S30" s="155">
        <f t="shared" si="2"/>
        <v>0</v>
      </c>
      <c r="T30" s="188"/>
      <c r="U30" s="188"/>
      <c r="V30" s="188"/>
      <c r="W30" s="188"/>
      <c r="X30" s="188"/>
      <c r="Y30" s="150"/>
      <c r="Z30" s="150"/>
      <c r="AA30" s="150"/>
      <c r="AB30" s="150"/>
      <c r="AC30" s="150"/>
      <c r="AD30" s="150"/>
      <c r="AE30" s="150"/>
      <c r="AG30" s="148" t="s">
        <v>219</v>
      </c>
      <c r="AH30" s="148"/>
      <c r="AI30" s="148"/>
      <c r="AJ30" s="148"/>
      <c r="AK30" s="198"/>
      <c r="AL30" s="148"/>
      <c r="AM30" s="148"/>
      <c r="AN30" s="148"/>
      <c r="AO30" s="198"/>
      <c r="AP30" s="148"/>
      <c r="AQ30" s="148"/>
      <c r="AR30" s="148"/>
      <c r="AS30" s="198"/>
      <c r="AT30" s="148"/>
      <c r="AU30" s="148"/>
      <c r="AV30" s="148"/>
      <c r="AW30" s="198"/>
      <c r="AX30" s="189">
        <f t="shared" si="1"/>
        <v>0</v>
      </c>
      <c r="AY30" s="155">
        <f t="shared" si="3"/>
        <v>0</v>
      </c>
      <c r="AZ30" s="150"/>
      <c r="BA30" s="150"/>
      <c r="BB30" s="150"/>
      <c r="BC30" s="150"/>
      <c r="BD30" s="150"/>
      <c r="BE30" s="150"/>
      <c r="BF30" s="150"/>
      <c r="BG30" s="150"/>
      <c r="BH30" s="150"/>
      <c r="BI30" s="150"/>
      <c r="BJ30" s="150"/>
      <c r="BK30" s="150"/>
    </row>
    <row r="31" spans="1:63" x14ac:dyDescent="0.25">
      <c r="A31" s="148" t="s">
        <v>220</v>
      </c>
      <c r="B31" s="148"/>
      <c r="C31" s="148"/>
      <c r="D31" s="148"/>
      <c r="E31" s="198"/>
      <c r="F31" s="148">
        <v>0</v>
      </c>
      <c r="G31" s="148"/>
      <c r="H31" s="148"/>
      <c r="I31" s="198"/>
      <c r="J31" s="385"/>
      <c r="K31" s="148"/>
      <c r="L31" s="148"/>
      <c r="M31" s="198"/>
      <c r="N31" s="148"/>
      <c r="O31" s="148"/>
      <c r="P31" s="148"/>
      <c r="Q31" s="198"/>
      <c r="R31" s="189">
        <f t="shared" si="0"/>
        <v>0</v>
      </c>
      <c r="S31" s="155">
        <f t="shared" si="2"/>
        <v>0</v>
      </c>
      <c r="T31" s="188"/>
      <c r="U31" s="188"/>
      <c r="V31" s="188"/>
      <c r="W31" s="188"/>
      <c r="X31" s="188"/>
      <c r="Y31" s="150"/>
      <c r="Z31" s="150"/>
      <c r="AA31" s="150"/>
      <c r="AB31" s="150"/>
      <c r="AC31" s="150"/>
      <c r="AD31" s="150"/>
      <c r="AE31" s="150"/>
      <c r="AG31" s="148" t="s">
        <v>220</v>
      </c>
      <c r="AH31" s="148"/>
      <c r="AI31" s="148"/>
      <c r="AJ31" s="148"/>
      <c r="AK31" s="198"/>
      <c r="AL31" s="148"/>
      <c r="AM31" s="148"/>
      <c r="AN31" s="148"/>
      <c r="AO31" s="198"/>
      <c r="AP31" s="148"/>
      <c r="AQ31" s="148"/>
      <c r="AR31" s="148"/>
      <c r="AS31" s="198"/>
      <c r="AT31" s="148"/>
      <c r="AU31" s="148"/>
      <c r="AV31" s="148"/>
      <c r="AW31" s="198"/>
      <c r="AX31" s="189">
        <f t="shared" si="1"/>
        <v>0</v>
      </c>
      <c r="AY31" s="155">
        <f t="shared" si="3"/>
        <v>0</v>
      </c>
      <c r="AZ31" s="150"/>
      <c r="BA31" s="150"/>
      <c r="BB31" s="150"/>
      <c r="BC31" s="150"/>
      <c r="BD31" s="150"/>
      <c r="BE31" s="150"/>
      <c r="BF31" s="150"/>
      <c r="BG31" s="150"/>
      <c r="BH31" s="150"/>
      <c r="BI31" s="150"/>
      <c r="BJ31" s="150"/>
      <c r="BK31" s="150"/>
    </row>
    <row r="32" spans="1:63" x14ac:dyDescent="0.25">
      <c r="A32" s="152" t="s">
        <v>221</v>
      </c>
      <c r="B32" s="149">
        <f>SUM(B11:B31)</f>
        <v>0</v>
      </c>
      <c r="C32" s="149">
        <f t="shared" ref="C32:AE32" si="4">SUM(C11:C31)</f>
        <v>0</v>
      </c>
      <c r="D32" s="149">
        <f t="shared" si="4"/>
        <v>220</v>
      </c>
      <c r="E32" s="199">
        <f>SUM(E11:E31)</f>
        <v>0</v>
      </c>
      <c r="F32" s="149">
        <f t="shared" si="4"/>
        <v>297</v>
      </c>
      <c r="G32" s="149">
        <f t="shared" si="4"/>
        <v>596</v>
      </c>
      <c r="H32" s="149">
        <f t="shared" si="4"/>
        <v>371</v>
      </c>
      <c r="I32" s="199">
        <f>SUM(I11:I31)</f>
        <v>0</v>
      </c>
      <c r="J32" s="149">
        <f t="shared" si="4"/>
        <v>218</v>
      </c>
      <c r="K32" s="149">
        <f t="shared" si="4"/>
        <v>0</v>
      </c>
      <c r="L32" s="149">
        <f t="shared" si="4"/>
        <v>0</v>
      </c>
      <c r="M32" s="199">
        <f>SUM(M11:M31)</f>
        <v>0</v>
      </c>
      <c r="N32" s="149">
        <f t="shared" si="4"/>
        <v>0</v>
      </c>
      <c r="O32" s="149">
        <f t="shared" si="4"/>
        <v>0</v>
      </c>
      <c r="P32" s="149">
        <f t="shared" si="4"/>
        <v>0</v>
      </c>
      <c r="Q32" s="199">
        <f>SUM(Q11:Q31)</f>
        <v>0</v>
      </c>
      <c r="R32" s="361">
        <f t="shared" si="4"/>
        <v>1702</v>
      </c>
      <c r="S32" s="155">
        <f t="shared" si="4"/>
        <v>0</v>
      </c>
      <c r="T32" s="149">
        <f t="shared" si="4"/>
        <v>0</v>
      </c>
      <c r="U32" s="149">
        <f t="shared" si="4"/>
        <v>0</v>
      </c>
      <c r="V32" s="149">
        <f t="shared" si="4"/>
        <v>0</v>
      </c>
      <c r="W32" s="149">
        <f t="shared" si="4"/>
        <v>0</v>
      </c>
      <c r="X32" s="149">
        <f t="shared" si="4"/>
        <v>0</v>
      </c>
      <c r="Y32" s="149">
        <f t="shared" si="4"/>
        <v>0</v>
      </c>
      <c r="Z32" s="149">
        <f t="shared" si="4"/>
        <v>0</v>
      </c>
      <c r="AA32" s="149">
        <f t="shared" si="4"/>
        <v>0</v>
      </c>
      <c r="AB32" s="149">
        <f t="shared" si="4"/>
        <v>0</v>
      </c>
      <c r="AC32" s="149">
        <f t="shared" si="4"/>
        <v>0</v>
      </c>
      <c r="AD32" s="149">
        <f t="shared" si="4"/>
        <v>0</v>
      </c>
      <c r="AE32" s="149">
        <f t="shared" si="4"/>
        <v>0</v>
      </c>
      <c r="AG32" s="152" t="s">
        <v>221</v>
      </c>
      <c r="AH32" s="149">
        <f t="shared" ref="AH32:AW32" si="5">SUM(AH11:AH31)</f>
        <v>0</v>
      </c>
      <c r="AI32" s="149">
        <f t="shared" si="5"/>
        <v>0</v>
      </c>
      <c r="AJ32" s="149">
        <f t="shared" si="5"/>
        <v>0</v>
      </c>
      <c r="AK32" s="199">
        <f t="shared" si="5"/>
        <v>0</v>
      </c>
      <c r="AL32" s="149">
        <f t="shared" si="5"/>
        <v>0</v>
      </c>
      <c r="AM32" s="149">
        <f t="shared" si="5"/>
        <v>0</v>
      </c>
      <c r="AN32" s="149">
        <f t="shared" si="5"/>
        <v>0</v>
      </c>
      <c r="AO32" s="199">
        <f t="shared" si="5"/>
        <v>0</v>
      </c>
      <c r="AP32" s="149">
        <f t="shared" si="5"/>
        <v>0</v>
      </c>
      <c r="AQ32" s="149">
        <f t="shared" si="5"/>
        <v>0</v>
      </c>
      <c r="AR32" s="149">
        <f t="shared" si="5"/>
        <v>0</v>
      </c>
      <c r="AS32" s="199">
        <f t="shared" si="5"/>
        <v>0</v>
      </c>
      <c r="AT32" s="149">
        <f t="shared" si="5"/>
        <v>0</v>
      </c>
      <c r="AU32" s="149">
        <f t="shared" si="5"/>
        <v>0</v>
      </c>
      <c r="AV32" s="149">
        <f t="shared" si="5"/>
        <v>0</v>
      </c>
      <c r="AW32" s="199">
        <f t="shared" si="5"/>
        <v>0</v>
      </c>
      <c r="AX32" s="190">
        <f t="shared" ref="AX32:BK32" si="6">SUM(AX11:AX31)</f>
        <v>0</v>
      </c>
      <c r="AY32" s="156">
        <f t="shared" si="6"/>
        <v>0</v>
      </c>
      <c r="AZ32" s="149">
        <f t="shared" si="6"/>
        <v>0</v>
      </c>
      <c r="BA32" s="149">
        <f t="shared" si="6"/>
        <v>0</v>
      </c>
      <c r="BB32" s="149">
        <f t="shared" si="6"/>
        <v>0</v>
      </c>
      <c r="BC32" s="149">
        <f t="shared" si="6"/>
        <v>0</v>
      </c>
      <c r="BD32" s="149">
        <f t="shared" si="6"/>
        <v>0</v>
      </c>
      <c r="BE32" s="149">
        <f t="shared" si="6"/>
        <v>0</v>
      </c>
      <c r="BF32" s="149">
        <f t="shared" si="6"/>
        <v>0</v>
      </c>
      <c r="BG32" s="149">
        <f t="shared" si="6"/>
        <v>0</v>
      </c>
      <c r="BH32" s="149">
        <f t="shared" si="6"/>
        <v>0</v>
      </c>
      <c r="BI32" s="149">
        <f t="shared" si="6"/>
        <v>0</v>
      </c>
      <c r="BJ32" s="149">
        <f t="shared" si="6"/>
        <v>0</v>
      </c>
      <c r="BK32" s="149">
        <f t="shared" si="6"/>
        <v>0</v>
      </c>
    </row>
    <row r="34" spans="1:63" ht="33.75" customHeight="1" x14ac:dyDescent="0.25">
      <c r="A34" s="153" t="s">
        <v>179</v>
      </c>
      <c r="B34" s="975"/>
      <c r="C34" s="975"/>
      <c r="D34" s="975"/>
      <c r="E34" s="975"/>
      <c r="F34" s="975"/>
      <c r="G34" s="975"/>
      <c r="H34" s="975"/>
      <c r="I34" s="975"/>
      <c r="J34" s="975"/>
      <c r="K34" s="975"/>
      <c r="L34" s="975"/>
      <c r="M34" s="975"/>
      <c r="N34" s="975"/>
      <c r="O34" s="975"/>
      <c r="P34" s="975"/>
      <c r="Q34" s="975"/>
      <c r="R34" s="975"/>
      <c r="S34" s="975"/>
      <c r="T34" s="975"/>
      <c r="U34" s="975"/>
      <c r="V34" s="975"/>
      <c r="W34" s="975"/>
      <c r="X34" s="975"/>
      <c r="Y34" s="975"/>
      <c r="Z34" s="975"/>
      <c r="AA34" s="975"/>
      <c r="AB34" s="975"/>
      <c r="AC34" s="975"/>
      <c r="AD34" s="975"/>
      <c r="AE34" s="975"/>
      <c r="AF34" s="975"/>
      <c r="AG34" s="975"/>
      <c r="AH34" s="975"/>
      <c r="AI34" s="975"/>
      <c r="AJ34" s="975"/>
      <c r="AK34" s="975"/>
      <c r="AL34" s="975"/>
      <c r="AM34" s="975"/>
      <c r="AN34" s="975"/>
      <c r="AO34" s="975"/>
      <c r="AP34" s="975"/>
      <c r="AQ34" s="975"/>
      <c r="AR34" s="975"/>
      <c r="AS34" s="975"/>
      <c r="AT34" s="975"/>
      <c r="AU34" s="975"/>
      <c r="AV34" s="975"/>
      <c r="AW34" s="975"/>
      <c r="AX34" s="975"/>
      <c r="AY34" s="975"/>
      <c r="AZ34" s="975"/>
      <c r="BA34" s="975"/>
      <c r="BB34" s="975"/>
      <c r="BC34" s="975"/>
      <c r="BD34" s="975"/>
      <c r="BE34" s="975"/>
      <c r="BF34" s="975"/>
      <c r="BG34" s="975"/>
      <c r="BH34" s="975"/>
      <c r="BI34" s="975"/>
      <c r="BJ34" s="975"/>
      <c r="BK34" s="975"/>
    </row>
    <row r="35" spans="1:63" ht="33.75" customHeight="1" x14ac:dyDescent="0.25">
      <c r="A35" s="154" t="s">
        <v>180</v>
      </c>
      <c r="B35" s="970" t="s">
        <v>222</v>
      </c>
      <c r="C35" s="972"/>
      <c r="D35" s="972"/>
      <c r="E35" s="972"/>
      <c r="F35" s="972"/>
      <c r="G35" s="972"/>
      <c r="H35" s="972"/>
      <c r="I35" s="972"/>
      <c r="J35" s="972"/>
      <c r="K35" s="972"/>
      <c r="L35" s="972"/>
      <c r="M35" s="972"/>
      <c r="N35" s="972"/>
      <c r="O35" s="972"/>
      <c r="P35" s="972"/>
      <c r="Q35" s="972"/>
      <c r="R35" s="972"/>
      <c r="S35" s="972"/>
      <c r="T35" s="972"/>
      <c r="U35" s="972"/>
      <c r="V35" s="972"/>
      <c r="W35" s="972"/>
      <c r="X35" s="972"/>
      <c r="Y35" s="972"/>
      <c r="Z35" s="972"/>
      <c r="AA35" s="972"/>
      <c r="AB35" s="972"/>
      <c r="AC35" s="972"/>
      <c r="AD35" s="972"/>
      <c r="AE35" s="972"/>
      <c r="AF35" s="972"/>
      <c r="AG35" s="972"/>
      <c r="AH35" s="972"/>
      <c r="AI35" s="972"/>
      <c r="AJ35" s="972"/>
      <c r="AK35" s="972"/>
      <c r="AL35" s="972"/>
      <c r="AM35" s="972"/>
      <c r="AN35" s="972"/>
      <c r="AO35" s="972"/>
      <c r="AP35" s="972"/>
      <c r="AQ35" s="972"/>
      <c r="AR35" s="972"/>
      <c r="AS35" s="972"/>
      <c r="AT35" s="972"/>
      <c r="AU35" s="972"/>
      <c r="AV35" s="972"/>
      <c r="AW35" s="972"/>
      <c r="AX35" s="972"/>
      <c r="AY35" s="972"/>
      <c r="AZ35" s="972"/>
      <c r="BA35" s="972"/>
      <c r="BB35" s="972"/>
      <c r="BC35" s="972"/>
      <c r="BD35" s="972"/>
      <c r="BE35" s="972"/>
      <c r="BF35" s="972"/>
      <c r="BG35" s="972"/>
      <c r="BH35" s="972"/>
      <c r="BI35" s="972"/>
      <c r="BJ35" s="972"/>
      <c r="BK35" s="971"/>
    </row>
    <row r="37" spans="1:63" ht="30" customHeight="1" x14ac:dyDescent="0.25">
      <c r="A37" s="973" t="s">
        <v>182</v>
      </c>
      <c r="B37" s="192" t="s">
        <v>30</v>
      </c>
      <c r="C37" s="192" t="s">
        <v>31</v>
      </c>
      <c r="D37" s="970" t="s">
        <v>8</v>
      </c>
      <c r="E37" s="971"/>
      <c r="F37" s="192" t="s">
        <v>32</v>
      </c>
      <c r="G37" s="192" t="s">
        <v>33</v>
      </c>
      <c r="H37" s="970" t="s">
        <v>34</v>
      </c>
      <c r="I37" s="971"/>
      <c r="J37" s="192" t="s">
        <v>35</v>
      </c>
      <c r="K37" s="192" t="s">
        <v>36</v>
      </c>
      <c r="L37" s="970" t="s">
        <v>37</v>
      </c>
      <c r="M37" s="971"/>
      <c r="N37" s="192" t="s">
        <v>38</v>
      </c>
      <c r="O37" s="192" t="s">
        <v>39</v>
      </c>
      <c r="P37" s="970" t="s">
        <v>40</v>
      </c>
      <c r="Q37" s="971"/>
      <c r="R37" s="970" t="s">
        <v>183</v>
      </c>
      <c r="S37" s="971"/>
      <c r="T37" s="970" t="s">
        <v>184</v>
      </c>
      <c r="U37" s="972"/>
      <c r="V37" s="972"/>
      <c r="W37" s="972"/>
      <c r="X37" s="972"/>
      <c r="Y37" s="971"/>
      <c r="Z37" s="970" t="s">
        <v>185</v>
      </c>
      <c r="AA37" s="972"/>
      <c r="AB37" s="972"/>
      <c r="AC37" s="972"/>
      <c r="AD37" s="972"/>
      <c r="AE37" s="971"/>
      <c r="AG37" s="973" t="s">
        <v>182</v>
      </c>
      <c r="AH37" s="192" t="s">
        <v>30</v>
      </c>
      <c r="AI37" s="192" t="s">
        <v>31</v>
      </c>
      <c r="AJ37" s="970" t="s">
        <v>8</v>
      </c>
      <c r="AK37" s="971"/>
      <c r="AL37" s="192" t="s">
        <v>32</v>
      </c>
      <c r="AM37" s="192" t="s">
        <v>33</v>
      </c>
      <c r="AN37" s="970" t="s">
        <v>34</v>
      </c>
      <c r="AO37" s="971"/>
      <c r="AP37" s="192" t="s">
        <v>35</v>
      </c>
      <c r="AQ37" s="192" t="s">
        <v>36</v>
      </c>
      <c r="AR37" s="970" t="s">
        <v>37</v>
      </c>
      <c r="AS37" s="971"/>
      <c r="AT37" s="192" t="s">
        <v>38</v>
      </c>
      <c r="AU37" s="192" t="s">
        <v>39</v>
      </c>
      <c r="AV37" s="970" t="s">
        <v>40</v>
      </c>
      <c r="AW37" s="971"/>
      <c r="AX37" s="970" t="s">
        <v>183</v>
      </c>
      <c r="AY37" s="971"/>
      <c r="AZ37" s="970" t="s">
        <v>184</v>
      </c>
      <c r="BA37" s="972"/>
      <c r="BB37" s="972"/>
      <c r="BC37" s="972"/>
      <c r="BD37" s="972"/>
      <c r="BE37" s="971"/>
      <c r="BF37" s="970" t="s">
        <v>185</v>
      </c>
      <c r="BG37" s="972"/>
      <c r="BH37" s="972"/>
      <c r="BI37" s="972"/>
      <c r="BJ37" s="972"/>
      <c r="BK37" s="971"/>
    </row>
    <row r="38" spans="1:63" ht="36" customHeight="1" x14ac:dyDescent="0.25">
      <c r="A38" s="974"/>
      <c r="B38" s="118" t="s">
        <v>186</v>
      </c>
      <c r="C38" s="118" t="s">
        <v>186</v>
      </c>
      <c r="D38" s="118" t="s">
        <v>186</v>
      </c>
      <c r="E38" s="118" t="s">
        <v>187</v>
      </c>
      <c r="F38" s="118" t="s">
        <v>186</v>
      </c>
      <c r="G38" s="118" t="s">
        <v>186</v>
      </c>
      <c r="H38" s="118" t="s">
        <v>186</v>
      </c>
      <c r="I38" s="118" t="s">
        <v>187</v>
      </c>
      <c r="J38" s="118" t="s">
        <v>186</v>
      </c>
      <c r="K38" s="118" t="s">
        <v>186</v>
      </c>
      <c r="L38" s="118" t="s">
        <v>186</v>
      </c>
      <c r="M38" s="118" t="s">
        <v>187</v>
      </c>
      <c r="N38" s="118" t="s">
        <v>186</v>
      </c>
      <c r="O38" s="118" t="s">
        <v>186</v>
      </c>
      <c r="P38" s="118" t="s">
        <v>186</v>
      </c>
      <c r="Q38" s="118" t="s">
        <v>187</v>
      </c>
      <c r="R38" s="118" t="s">
        <v>186</v>
      </c>
      <c r="S38" s="118" t="s">
        <v>187</v>
      </c>
      <c r="T38" s="186" t="s">
        <v>188</v>
      </c>
      <c r="U38" s="186" t="s">
        <v>189</v>
      </c>
      <c r="V38" s="186" t="s">
        <v>190</v>
      </c>
      <c r="W38" s="186" t="s">
        <v>191</v>
      </c>
      <c r="X38" s="187" t="s">
        <v>192</v>
      </c>
      <c r="Y38" s="186" t="s">
        <v>193</v>
      </c>
      <c r="Z38" s="118" t="s">
        <v>194</v>
      </c>
      <c r="AA38" s="147" t="s">
        <v>195</v>
      </c>
      <c r="AB38" s="118" t="s">
        <v>196</v>
      </c>
      <c r="AC38" s="118" t="s">
        <v>197</v>
      </c>
      <c r="AD38" s="118" t="s">
        <v>198</v>
      </c>
      <c r="AE38" s="118" t="s">
        <v>199</v>
      </c>
      <c r="AG38" s="974"/>
      <c r="AH38" s="118" t="s">
        <v>186</v>
      </c>
      <c r="AI38" s="118" t="s">
        <v>186</v>
      </c>
      <c r="AJ38" s="118" t="s">
        <v>186</v>
      </c>
      <c r="AK38" s="118" t="s">
        <v>187</v>
      </c>
      <c r="AL38" s="118" t="s">
        <v>186</v>
      </c>
      <c r="AM38" s="118" t="s">
        <v>186</v>
      </c>
      <c r="AN38" s="118" t="s">
        <v>186</v>
      </c>
      <c r="AO38" s="118" t="s">
        <v>187</v>
      </c>
      <c r="AP38" s="118" t="s">
        <v>186</v>
      </c>
      <c r="AQ38" s="118" t="s">
        <v>186</v>
      </c>
      <c r="AR38" s="118" t="s">
        <v>186</v>
      </c>
      <c r="AS38" s="118" t="s">
        <v>187</v>
      </c>
      <c r="AT38" s="118" t="s">
        <v>186</v>
      </c>
      <c r="AU38" s="118" t="s">
        <v>186</v>
      </c>
      <c r="AV38" s="118" t="s">
        <v>186</v>
      </c>
      <c r="AW38" s="118" t="s">
        <v>187</v>
      </c>
      <c r="AX38" s="118" t="s">
        <v>186</v>
      </c>
      <c r="AY38" s="118" t="s">
        <v>187</v>
      </c>
      <c r="AZ38" s="186" t="s">
        <v>188</v>
      </c>
      <c r="BA38" s="186" t="s">
        <v>189</v>
      </c>
      <c r="BB38" s="186" t="s">
        <v>190</v>
      </c>
      <c r="BC38" s="186" t="s">
        <v>191</v>
      </c>
      <c r="BD38" s="187" t="s">
        <v>192</v>
      </c>
      <c r="BE38" s="186" t="s">
        <v>193</v>
      </c>
      <c r="BF38" s="184" t="s">
        <v>194</v>
      </c>
      <c r="BG38" s="185" t="s">
        <v>195</v>
      </c>
      <c r="BH38" s="184" t="s">
        <v>196</v>
      </c>
      <c r="BI38" s="184" t="s">
        <v>197</v>
      </c>
      <c r="BJ38" s="184" t="s">
        <v>198</v>
      </c>
      <c r="BK38" s="184" t="s">
        <v>199</v>
      </c>
    </row>
    <row r="39" spans="1:63" x14ac:dyDescent="0.25">
      <c r="A39" s="148" t="s">
        <v>200</v>
      </c>
      <c r="B39" s="148"/>
      <c r="C39" s="148"/>
      <c r="D39" s="312">
        <v>15</v>
      </c>
      <c r="E39" s="198"/>
      <c r="F39" s="148">
        <v>34</v>
      </c>
      <c r="G39" s="148">
        <v>12</v>
      </c>
      <c r="H39" s="148">
        <v>16</v>
      </c>
      <c r="I39" s="198"/>
      <c r="J39" s="385">
        <v>43</v>
      </c>
      <c r="K39" s="148"/>
      <c r="L39" s="148"/>
      <c r="M39" s="198"/>
      <c r="N39" s="148"/>
      <c r="O39" s="148"/>
      <c r="P39" s="148"/>
      <c r="Q39" s="198"/>
      <c r="R39" s="189">
        <f>B39+C39+D39+F39+G39+H39+J39+K39+L39+N39+O39+P39</f>
        <v>120</v>
      </c>
      <c r="S39" s="155">
        <f>+E39+I39+M39+Q39</f>
        <v>0</v>
      </c>
      <c r="T39" s="188"/>
      <c r="U39" s="188"/>
      <c r="V39" s="188"/>
      <c r="W39" s="188"/>
      <c r="X39" s="188"/>
      <c r="Y39" s="150"/>
      <c r="Z39" s="150"/>
      <c r="AA39" s="150"/>
      <c r="AB39" s="150"/>
      <c r="AC39" s="150"/>
      <c r="AD39" s="150"/>
      <c r="AE39" s="151"/>
      <c r="AG39" s="148" t="s">
        <v>200</v>
      </c>
      <c r="AH39" s="148"/>
      <c r="AI39" s="148"/>
      <c r="AJ39" s="148"/>
      <c r="AK39" s="198"/>
      <c r="AL39" s="148"/>
      <c r="AM39" s="148"/>
      <c r="AN39" s="148"/>
      <c r="AO39" s="198"/>
      <c r="AP39" s="148"/>
      <c r="AQ39" s="148"/>
      <c r="AR39" s="148"/>
      <c r="AS39" s="198"/>
      <c r="AT39" s="148"/>
      <c r="AU39" s="148"/>
      <c r="AV39" s="148"/>
      <c r="AW39" s="198"/>
      <c r="AX39" s="189">
        <f t="shared" ref="AX39:AX59" si="7">AH39+AI39+AJ39+AL39+AM39+AN39+AP39+AQ39+AR39+AT39+AU39+AV39</f>
        <v>0</v>
      </c>
      <c r="AY39" s="155">
        <f>+AK39+AO39+AS39+AW39</f>
        <v>0</v>
      </c>
      <c r="AZ39" s="150"/>
      <c r="BA39" s="150"/>
      <c r="BB39" s="150"/>
      <c r="BC39" s="150"/>
      <c r="BD39" s="150"/>
      <c r="BE39" s="150"/>
      <c r="BF39" s="150"/>
      <c r="BG39" s="150"/>
      <c r="BH39" s="150"/>
      <c r="BI39" s="150"/>
      <c r="BJ39" s="150"/>
      <c r="BK39" s="151"/>
    </row>
    <row r="40" spans="1:63" x14ac:dyDescent="0.25">
      <c r="A40" s="148" t="s">
        <v>201</v>
      </c>
      <c r="B40" s="148"/>
      <c r="C40" s="148">
        <v>9</v>
      </c>
      <c r="D40" s="313">
        <v>62</v>
      </c>
      <c r="E40" s="198"/>
      <c r="F40" s="148">
        <v>55</v>
      </c>
      <c r="G40" s="148">
        <v>52</v>
      </c>
      <c r="H40" s="148">
        <v>35</v>
      </c>
      <c r="I40" s="198"/>
      <c r="J40" s="385">
        <v>17</v>
      </c>
      <c r="K40" s="148"/>
      <c r="L40" s="148"/>
      <c r="M40" s="198"/>
      <c r="N40" s="148"/>
      <c r="O40" s="148"/>
      <c r="P40" s="148"/>
      <c r="Q40" s="198"/>
      <c r="R40" s="189">
        <f t="shared" ref="R40:R59" si="8">B40+C40+D40+F40+G40+H40+J40+K40+L40+N40+O40+P40</f>
        <v>230</v>
      </c>
      <c r="S40" s="155">
        <f t="shared" ref="S40:S59" si="9">+E40+I40+M40+Q40</f>
        <v>0</v>
      </c>
      <c r="T40" s="188"/>
      <c r="U40" s="188"/>
      <c r="V40" s="188"/>
      <c r="W40" s="188"/>
      <c r="X40" s="188"/>
      <c r="Y40" s="150"/>
      <c r="Z40" s="150"/>
      <c r="AA40" s="150"/>
      <c r="AB40" s="150"/>
      <c r="AC40" s="150"/>
      <c r="AD40" s="150"/>
      <c r="AE40" s="150"/>
      <c r="AG40" s="148" t="s">
        <v>201</v>
      </c>
      <c r="AH40" s="148"/>
      <c r="AI40" s="148"/>
      <c r="AJ40" s="148"/>
      <c r="AK40" s="198"/>
      <c r="AL40" s="148"/>
      <c r="AM40" s="148"/>
      <c r="AN40" s="148"/>
      <c r="AO40" s="198"/>
      <c r="AP40" s="148"/>
      <c r="AQ40" s="148"/>
      <c r="AR40" s="148"/>
      <c r="AS40" s="198"/>
      <c r="AT40" s="148"/>
      <c r="AU40" s="148"/>
      <c r="AV40" s="148"/>
      <c r="AW40" s="198"/>
      <c r="AX40" s="189">
        <f t="shared" si="7"/>
        <v>0</v>
      </c>
      <c r="AY40" s="155">
        <f t="shared" ref="AY40:AY59" si="10">+AK40+AO40+AS40+AW40</f>
        <v>0</v>
      </c>
      <c r="AZ40" s="150"/>
      <c r="BA40" s="150"/>
      <c r="BB40" s="150"/>
      <c r="BC40" s="150"/>
      <c r="BD40" s="150"/>
      <c r="BE40" s="150"/>
      <c r="BF40" s="150"/>
      <c r="BG40" s="150"/>
      <c r="BH40" s="150"/>
      <c r="BI40" s="150"/>
      <c r="BJ40" s="150"/>
      <c r="BK40" s="150"/>
    </row>
    <row r="41" spans="1:63" x14ac:dyDescent="0.25">
      <c r="A41" s="148" t="s">
        <v>202</v>
      </c>
      <c r="B41" s="148"/>
      <c r="C41" s="148"/>
      <c r="D41" s="313">
        <v>41</v>
      </c>
      <c r="E41" s="198"/>
      <c r="F41" s="148">
        <v>45</v>
      </c>
      <c r="G41" s="148">
        <v>50</v>
      </c>
      <c r="H41" s="148">
        <v>39</v>
      </c>
      <c r="I41" s="198"/>
      <c r="J41" s="385">
        <v>0</v>
      </c>
      <c r="K41" s="148"/>
      <c r="L41" s="148"/>
      <c r="M41" s="198"/>
      <c r="N41" s="148"/>
      <c r="O41" s="148"/>
      <c r="P41" s="148"/>
      <c r="Q41" s="198"/>
      <c r="R41" s="189">
        <f t="shared" si="8"/>
        <v>175</v>
      </c>
      <c r="S41" s="155">
        <f t="shared" si="9"/>
        <v>0</v>
      </c>
      <c r="T41" s="188"/>
      <c r="U41" s="188"/>
      <c r="V41" s="188"/>
      <c r="W41" s="188"/>
      <c r="X41" s="188"/>
      <c r="Y41" s="150"/>
      <c r="Z41" s="150"/>
      <c r="AA41" s="150"/>
      <c r="AB41" s="150"/>
      <c r="AC41" s="150"/>
      <c r="AD41" s="150"/>
      <c r="AE41" s="150"/>
      <c r="AG41" s="148" t="s">
        <v>202</v>
      </c>
      <c r="AH41" s="148"/>
      <c r="AI41" s="148"/>
      <c r="AJ41" s="148"/>
      <c r="AK41" s="198"/>
      <c r="AL41" s="148"/>
      <c r="AM41" s="148"/>
      <c r="AN41" s="148"/>
      <c r="AO41" s="198"/>
      <c r="AP41" s="148"/>
      <c r="AQ41" s="148"/>
      <c r="AR41" s="148"/>
      <c r="AS41" s="198"/>
      <c r="AT41" s="148"/>
      <c r="AU41" s="148"/>
      <c r="AV41" s="148"/>
      <c r="AW41" s="198"/>
      <c r="AX41" s="189">
        <f t="shared" si="7"/>
        <v>0</v>
      </c>
      <c r="AY41" s="155">
        <f t="shared" si="10"/>
        <v>0</v>
      </c>
      <c r="AZ41" s="150"/>
      <c r="BA41" s="150"/>
      <c r="BB41" s="150"/>
      <c r="BC41" s="150"/>
      <c r="BD41" s="150"/>
      <c r="BE41" s="150"/>
      <c r="BF41" s="150"/>
      <c r="BG41" s="150"/>
      <c r="BH41" s="150"/>
      <c r="BI41" s="150"/>
      <c r="BJ41" s="150"/>
      <c r="BK41" s="150"/>
    </row>
    <row r="42" spans="1:63" x14ac:dyDescent="0.25">
      <c r="A42" s="148" t="s">
        <v>203</v>
      </c>
      <c r="B42" s="148"/>
      <c r="C42" s="148"/>
      <c r="D42" s="313">
        <v>8</v>
      </c>
      <c r="E42" s="198"/>
      <c r="F42" s="148">
        <v>43</v>
      </c>
      <c r="G42" s="148">
        <v>10</v>
      </c>
      <c r="H42" s="148">
        <v>9</v>
      </c>
      <c r="I42" s="198"/>
      <c r="J42" s="385">
        <v>57</v>
      </c>
      <c r="K42" s="148"/>
      <c r="L42" s="148"/>
      <c r="M42" s="198"/>
      <c r="N42" s="148"/>
      <c r="O42" s="148"/>
      <c r="P42" s="148"/>
      <c r="Q42" s="198"/>
      <c r="R42" s="189">
        <f t="shared" si="8"/>
        <v>127</v>
      </c>
      <c r="S42" s="155">
        <f t="shared" si="9"/>
        <v>0</v>
      </c>
      <c r="T42" s="188"/>
      <c r="U42" s="188"/>
      <c r="V42" s="188"/>
      <c r="W42" s="188"/>
      <c r="X42" s="188"/>
      <c r="Y42" s="150"/>
      <c r="Z42" s="150"/>
      <c r="AA42" s="150"/>
      <c r="AB42" s="150"/>
      <c r="AC42" s="150"/>
      <c r="AD42" s="150"/>
      <c r="AE42" s="150"/>
      <c r="AG42" s="148" t="s">
        <v>203</v>
      </c>
      <c r="AH42" s="148"/>
      <c r="AI42" s="148"/>
      <c r="AJ42" s="148"/>
      <c r="AK42" s="198"/>
      <c r="AL42" s="148"/>
      <c r="AM42" s="148"/>
      <c r="AN42" s="148"/>
      <c r="AO42" s="198"/>
      <c r="AP42" s="148"/>
      <c r="AQ42" s="148"/>
      <c r="AR42" s="148"/>
      <c r="AS42" s="198"/>
      <c r="AT42" s="148"/>
      <c r="AU42" s="148"/>
      <c r="AV42" s="148"/>
      <c r="AW42" s="198"/>
      <c r="AX42" s="189">
        <f t="shared" si="7"/>
        <v>0</v>
      </c>
      <c r="AY42" s="155">
        <f t="shared" si="10"/>
        <v>0</v>
      </c>
      <c r="AZ42" s="150"/>
      <c r="BA42" s="150"/>
      <c r="BB42" s="150"/>
      <c r="BC42" s="150"/>
      <c r="BD42" s="150"/>
      <c r="BE42" s="150"/>
      <c r="BF42" s="150"/>
      <c r="BG42" s="150"/>
      <c r="BH42" s="150"/>
      <c r="BI42" s="150"/>
      <c r="BJ42" s="150"/>
      <c r="BK42" s="150"/>
    </row>
    <row r="43" spans="1:63" x14ac:dyDescent="0.25">
      <c r="A43" s="148" t="s">
        <v>204</v>
      </c>
      <c r="B43" s="148"/>
      <c r="C43" s="148"/>
      <c r="D43" s="313">
        <v>35</v>
      </c>
      <c r="E43" s="198"/>
      <c r="F43" s="148">
        <v>31</v>
      </c>
      <c r="G43" s="148">
        <v>110</v>
      </c>
      <c r="H43" s="148">
        <v>13</v>
      </c>
      <c r="I43" s="198"/>
      <c r="J43" s="385">
        <v>47</v>
      </c>
      <c r="K43" s="148"/>
      <c r="L43" s="148"/>
      <c r="M43" s="198"/>
      <c r="N43" s="148"/>
      <c r="O43" s="148"/>
      <c r="P43" s="148"/>
      <c r="Q43" s="198"/>
      <c r="R43" s="189">
        <f t="shared" si="8"/>
        <v>236</v>
      </c>
      <c r="S43" s="155">
        <f t="shared" si="9"/>
        <v>0</v>
      </c>
      <c r="T43" s="188"/>
      <c r="U43" s="188"/>
      <c r="V43" s="188"/>
      <c r="W43" s="188"/>
      <c r="X43" s="188"/>
      <c r="Y43" s="150"/>
      <c r="Z43" s="150"/>
      <c r="AA43" s="150"/>
      <c r="AB43" s="150"/>
      <c r="AC43" s="150"/>
      <c r="AD43" s="150"/>
      <c r="AE43" s="150"/>
      <c r="AG43" s="148" t="s">
        <v>204</v>
      </c>
      <c r="AH43" s="148"/>
      <c r="AI43" s="148"/>
      <c r="AJ43" s="148"/>
      <c r="AK43" s="198"/>
      <c r="AL43" s="148"/>
      <c r="AM43" s="148"/>
      <c r="AN43" s="148"/>
      <c r="AO43" s="198"/>
      <c r="AP43" s="148"/>
      <c r="AQ43" s="148"/>
      <c r="AR43" s="148"/>
      <c r="AS43" s="198"/>
      <c r="AT43" s="148"/>
      <c r="AU43" s="148"/>
      <c r="AV43" s="148"/>
      <c r="AW43" s="198"/>
      <c r="AX43" s="189">
        <f t="shared" si="7"/>
        <v>0</v>
      </c>
      <c r="AY43" s="155">
        <f t="shared" si="10"/>
        <v>0</v>
      </c>
      <c r="AZ43" s="150"/>
      <c r="BA43" s="150"/>
      <c r="BB43" s="150"/>
      <c r="BC43" s="150"/>
      <c r="BD43" s="150"/>
      <c r="BE43" s="150"/>
      <c r="BF43" s="150"/>
      <c r="BG43" s="150"/>
      <c r="BH43" s="150"/>
      <c r="BI43" s="150"/>
      <c r="BJ43" s="150"/>
      <c r="BK43" s="150"/>
    </row>
    <row r="44" spans="1:63" x14ac:dyDescent="0.25">
      <c r="A44" s="148" t="s">
        <v>205</v>
      </c>
      <c r="B44" s="148"/>
      <c r="C44" s="148">
        <v>9</v>
      </c>
      <c r="D44" s="313">
        <v>12</v>
      </c>
      <c r="E44" s="198"/>
      <c r="F44" s="148">
        <v>128</v>
      </c>
      <c r="G44" s="148">
        <v>163</v>
      </c>
      <c r="H44" s="148">
        <v>0</v>
      </c>
      <c r="I44" s="198"/>
      <c r="J44" s="385">
        <v>28</v>
      </c>
      <c r="K44" s="148"/>
      <c r="L44" s="148"/>
      <c r="M44" s="198"/>
      <c r="N44" s="148"/>
      <c r="O44" s="148"/>
      <c r="P44" s="148"/>
      <c r="Q44" s="198"/>
      <c r="R44" s="189">
        <f t="shared" si="8"/>
        <v>340</v>
      </c>
      <c r="S44" s="155">
        <f t="shared" si="9"/>
        <v>0</v>
      </c>
      <c r="T44" s="188"/>
      <c r="U44" s="188"/>
      <c r="V44" s="188"/>
      <c r="W44" s="188"/>
      <c r="X44" s="188"/>
      <c r="Y44" s="150"/>
      <c r="Z44" s="150"/>
      <c r="AA44" s="150"/>
      <c r="AB44" s="150"/>
      <c r="AC44" s="150"/>
      <c r="AD44" s="150"/>
      <c r="AE44" s="150"/>
      <c r="AG44" s="148" t="s">
        <v>205</v>
      </c>
      <c r="AH44" s="148"/>
      <c r="AI44" s="148"/>
      <c r="AJ44" s="148"/>
      <c r="AK44" s="198"/>
      <c r="AL44" s="148"/>
      <c r="AM44" s="148"/>
      <c r="AN44" s="148"/>
      <c r="AO44" s="198"/>
      <c r="AP44" s="148"/>
      <c r="AQ44" s="148"/>
      <c r="AR44" s="148"/>
      <c r="AS44" s="198"/>
      <c r="AT44" s="148"/>
      <c r="AU44" s="148"/>
      <c r="AV44" s="148"/>
      <c r="AW44" s="198"/>
      <c r="AX44" s="189">
        <f t="shared" si="7"/>
        <v>0</v>
      </c>
      <c r="AY44" s="155">
        <f t="shared" si="10"/>
        <v>0</v>
      </c>
      <c r="AZ44" s="150"/>
      <c r="BA44" s="150"/>
      <c r="BB44" s="150"/>
      <c r="BC44" s="150"/>
      <c r="BD44" s="150"/>
      <c r="BE44" s="150"/>
      <c r="BF44" s="150"/>
      <c r="BG44" s="150"/>
      <c r="BH44" s="150"/>
      <c r="BI44" s="150"/>
      <c r="BJ44" s="150"/>
      <c r="BK44" s="150"/>
    </row>
    <row r="45" spans="1:63" x14ac:dyDescent="0.25">
      <c r="A45" s="148" t="s">
        <v>206</v>
      </c>
      <c r="B45" s="148"/>
      <c r="C45" s="148">
        <v>13</v>
      </c>
      <c r="D45" s="313">
        <v>10</v>
      </c>
      <c r="E45" s="198"/>
      <c r="F45" s="148">
        <v>5</v>
      </c>
      <c r="G45" s="148">
        <v>1</v>
      </c>
      <c r="H45" s="148">
        <v>42</v>
      </c>
      <c r="I45" s="198"/>
      <c r="J45" s="385">
        <v>13</v>
      </c>
      <c r="K45" s="148"/>
      <c r="L45" s="148"/>
      <c r="M45" s="198"/>
      <c r="N45" s="148"/>
      <c r="O45" s="148"/>
      <c r="P45" s="148"/>
      <c r="Q45" s="198"/>
      <c r="R45" s="189">
        <f t="shared" si="8"/>
        <v>84</v>
      </c>
      <c r="S45" s="155">
        <f t="shared" si="9"/>
        <v>0</v>
      </c>
      <c r="T45" s="188"/>
      <c r="U45" s="188"/>
      <c r="V45" s="188"/>
      <c r="W45" s="188"/>
      <c r="X45" s="188"/>
      <c r="Y45" s="150"/>
      <c r="Z45" s="150"/>
      <c r="AA45" s="150"/>
      <c r="AB45" s="150"/>
      <c r="AC45" s="150"/>
      <c r="AD45" s="150"/>
      <c r="AE45" s="150"/>
      <c r="AG45" s="148" t="s">
        <v>206</v>
      </c>
      <c r="AH45" s="148"/>
      <c r="AI45" s="148"/>
      <c r="AJ45" s="148"/>
      <c r="AK45" s="198"/>
      <c r="AL45" s="148"/>
      <c r="AM45" s="148"/>
      <c r="AN45" s="148"/>
      <c r="AO45" s="198"/>
      <c r="AP45" s="148"/>
      <c r="AQ45" s="148"/>
      <c r="AR45" s="148"/>
      <c r="AS45" s="198"/>
      <c r="AT45" s="148"/>
      <c r="AU45" s="148"/>
      <c r="AV45" s="148"/>
      <c r="AW45" s="198"/>
      <c r="AX45" s="189">
        <f t="shared" si="7"/>
        <v>0</v>
      </c>
      <c r="AY45" s="155">
        <f t="shared" si="10"/>
        <v>0</v>
      </c>
      <c r="AZ45" s="150"/>
      <c r="BA45" s="150"/>
      <c r="BB45" s="150"/>
      <c r="BC45" s="150"/>
      <c r="BD45" s="150"/>
      <c r="BE45" s="150"/>
      <c r="BF45" s="150"/>
      <c r="BG45" s="150"/>
      <c r="BH45" s="150"/>
      <c r="BI45" s="150"/>
      <c r="BJ45" s="150"/>
      <c r="BK45" s="150"/>
    </row>
    <row r="46" spans="1:63" x14ac:dyDescent="0.25">
      <c r="A46" s="148" t="s">
        <v>207</v>
      </c>
      <c r="B46" s="148"/>
      <c r="C46" s="148"/>
      <c r="D46" s="313">
        <v>18</v>
      </c>
      <c r="E46" s="198"/>
      <c r="F46" s="148">
        <v>50</v>
      </c>
      <c r="G46" s="148">
        <v>73</v>
      </c>
      <c r="H46" s="148">
        <v>22</v>
      </c>
      <c r="I46" s="198"/>
      <c r="J46" s="385">
        <v>47</v>
      </c>
      <c r="K46" s="148"/>
      <c r="L46" s="148"/>
      <c r="M46" s="198"/>
      <c r="N46" s="148"/>
      <c r="O46" s="148"/>
      <c r="P46" s="148"/>
      <c r="Q46" s="198"/>
      <c r="R46" s="189">
        <f t="shared" si="8"/>
        <v>210</v>
      </c>
      <c r="S46" s="155">
        <f t="shared" si="9"/>
        <v>0</v>
      </c>
      <c r="T46" s="188"/>
      <c r="U46" s="188"/>
      <c r="V46" s="188"/>
      <c r="W46" s="188"/>
      <c r="X46" s="188"/>
      <c r="Y46" s="150"/>
      <c r="Z46" s="150"/>
      <c r="AA46" s="150"/>
      <c r="AB46" s="150"/>
      <c r="AC46" s="150"/>
      <c r="AD46" s="150"/>
      <c r="AE46" s="150"/>
      <c r="AG46" s="148" t="s">
        <v>207</v>
      </c>
      <c r="AH46" s="148"/>
      <c r="AI46" s="148"/>
      <c r="AJ46" s="148"/>
      <c r="AK46" s="198"/>
      <c r="AL46" s="148"/>
      <c r="AM46" s="148"/>
      <c r="AN46" s="148"/>
      <c r="AO46" s="198"/>
      <c r="AP46" s="148"/>
      <c r="AQ46" s="148"/>
      <c r="AR46" s="148"/>
      <c r="AS46" s="198"/>
      <c r="AT46" s="148"/>
      <c r="AU46" s="148"/>
      <c r="AV46" s="148"/>
      <c r="AW46" s="198"/>
      <c r="AX46" s="189">
        <f t="shared" si="7"/>
        <v>0</v>
      </c>
      <c r="AY46" s="155">
        <f t="shared" si="10"/>
        <v>0</v>
      </c>
      <c r="AZ46" s="150"/>
      <c r="BA46" s="150"/>
      <c r="BB46" s="150"/>
      <c r="BC46" s="150"/>
      <c r="BD46" s="150"/>
      <c r="BE46" s="150"/>
      <c r="BF46" s="150"/>
      <c r="BG46" s="150"/>
      <c r="BH46" s="150"/>
      <c r="BI46" s="150"/>
      <c r="BJ46" s="150"/>
      <c r="BK46" s="150"/>
    </row>
    <row r="47" spans="1:63" x14ac:dyDescent="0.25">
      <c r="A47" s="148" t="s">
        <v>208</v>
      </c>
      <c r="B47" s="148"/>
      <c r="C47" s="148"/>
      <c r="D47" s="313">
        <v>22</v>
      </c>
      <c r="E47" s="198"/>
      <c r="F47" s="148">
        <v>13</v>
      </c>
      <c r="G47" s="148">
        <v>75</v>
      </c>
      <c r="H47" s="148">
        <v>43</v>
      </c>
      <c r="I47" s="198"/>
      <c r="J47" s="385">
        <v>78</v>
      </c>
      <c r="K47" s="148"/>
      <c r="L47" s="148"/>
      <c r="M47" s="198"/>
      <c r="N47" s="148"/>
      <c r="O47" s="148"/>
      <c r="P47" s="148"/>
      <c r="Q47" s="198"/>
      <c r="R47" s="189">
        <f t="shared" si="8"/>
        <v>231</v>
      </c>
      <c r="S47" s="155">
        <f t="shared" si="9"/>
        <v>0</v>
      </c>
      <c r="T47" s="188"/>
      <c r="U47" s="188"/>
      <c r="V47" s="188"/>
      <c r="W47" s="188"/>
      <c r="X47" s="188"/>
      <c r="Y47" s="150"/>
      <c r="Z47" s="150"/>
      <c r="AA47" s="150"/>
      <c r="AB47" s="150"/>
      <c r="AC47" s="150"/>
      <c r="AD47" s="150"/>
      <c r="AE47" s="150"/>
      <c r="AG47" s="148" t="s">
        <v>208</v>
      </c>
      <c r="AH47" s="148"/>
      <c r="AI47" s="148"/>
      <c r="AJ47" s="148"/>
      <c r="AK47" s="198"/>
      <c r="AL47" s="148"/>
      <c r="AM47" s="148"/>
      <c r="AN47" s="148"/>
      <c r="AO47" s="198"/>
      <c r="AP47" s="148"/>
      <c r="AQ47" s="148"/>
      <c r="AR47" s="148"/>
      <c r="AS47" s="198"/>
      <c r="AT47" s="148"/>
      <c r="AU47" s="148"/>
      <c r="AV47" s="148"/>
      <c r="AW47" s="198"/>
      <c r="AX47" s="189">
        <f t="shared" si="7"/>
        <v>0</v>
      </c>
      <c r="AY47" s="155">
        <f t="shared" si="10"/>
        <v>0</v>
      </c>
      <c r="AZ47" s="150"/>
      <c r="BA47" s="150"/>
      <c r="BB47" s="150"/>
      <c r="BC47" s="150"/>
      <c r="BD47" s="150"/>
      <c r="BE47" s="150"/>
      <c r="BF47" s="150"/>
      <c r="BG47" s="150"/>
      <c r="BH47" s="150"/>
      <c r="BI47" s="148"/>
      <c r="BJ47" s="148"/>
      <c r="BK47" s="148"/>
    </row>
    <row r="48" spans="1:63" x14ac:dyDescent="0.25">
      <c r="A48" s="148" t="s">
        <v>209</v>
      </c>
      <c r="B48" s="148"/>
      <c r="C48" s="148">
        <v>64</v>
      </c>
      <c r="D48" s="313">
        <v>34</v>
      </c>
      <c r="E48" s="198"/>
      <c r="F48" s="148">
        <v>65</v>
      </c>
      <c r="G48" s="148">
        <v>17</v>
      </c>
      <c r="H48" s="148">
        <v>26</v>
      </c>
      <c r="I48" s="198"/>
      <c r="J48" s="385">
        <v>6</v>
      </c>
      <c r="K48" s="148"/>
      <c r="L48" s="148"/>
      <c r="M48" s="198"/>
      <c r="N48" s="148"/>
      <c r="O48" s="148"/>
      <c r="P48" s="148"/>
      <c r="Q48" s="198"/>
      <c r="R48" s="189">
        <f t="shared" si="8"/>
        <v>212</v>
      </c>
      <c r="S48" s="155">
        <f t="shared" si="9"/>
        <v>0</v>
      </c>
      <c r="T48" s="188"/>
      <c r="U48" s="188"/>
      <c r="V48" s="188"/>
      <c r="W48" s="188"/>
      <c r="X48" s="188"/>
      <c r="Y48" s="150"/>
      <c r="Z48" s="150"/>
      <c r="AA48" s="150"/>
      <c r="AB48" s="150"/>
      <c r="AC48" s="150"/>
      <c r="AD48" s="150"/>
      <c r="AE48" s="150"/>
      <c r="AG48" s="148" t="s">
        <v>209</v>
      </c>
      <c r="AH48" s="148"/>
      <c r="AI48" s="148"/>
      <c r="AJ48" s="148"/>
      <c r="AK48" s="198"/>
      <c r="AL48" s="148"/>
      <c r="AM48" s="148"/>
      <c r="AN48" s="148"/>
      <c r="AO48" s="198"/>
      <c r="AP48" s="148"/>
      <c r="AQ48" s="148"/>
      <c r="AR48" s="148"/>
      <c r="AS48" s="198"/>
      <c r="AT48" s="148"/>
      <c r="AU48" s="148"/>
      <c r="AV48" s="148"/>
      <c r="AW48" s="198"/>
      <c r="AX48" s="189">
        <f t="shared" si="7"/>
        <v>0</v>
      </c>
      <c r="AY48" s="155">
        <f t="shared" si="10"/>
        <v>0</v>
      </c>
      <c r="AZ48" s="150"/>
      <c r="BA48" s="150"/>
      <c r="BB48" s="150"/>
      <c r="BC48" s="150"/>
      <c r="BD48" s="150"/>
      <c r="BE48" s="150"/>
      <c r="BF48" s="150"/>
      <c r="BG48" s="150"/>
      <c r="BH48" s="150"/>
      <c r="BI48" s="148"/>
      <c r="BJ48" s="148"/>
      <c r="BK48" s="148"/>
    </row>
    <row r="49" spans="1:63" x14ac:dyDescent="0.25">
      <c r="A49" s="148" t="s">
        <v>210</v>
      </c>
      <c r="B49" s="148"/>
      <c r="C49" s="148">
        <v>10</v>
      </c>
      <c r="D49" s="313">
        <v>120</v>
      </c>
      <c r="E49" s="198"/>
      <c r="F49" s="148">
        <v>130</v>
      </c>
      <c r="G49" s="148">
        <v>65</v>
      </c>
      <c r="H49" s="148">
        <v>30</v>
      </c>
      <c r="I49" s="198"/>
      <c r="J49" s="385">
        <v>30</v>
      </c>
      <c r="K49" s="148"/>
      <c r="L49" s="148"/>
      <c r="M49" s="198"/>
      <c r="N49" s="148"/>
      <c r="O49" s="148"/>
      <c r="P49" s="148"/>
      <c r="Q49" s="198"/>
      <c r="R49" s="189">
        <f t="shared" si="8"/>
        <v>385</v>
      </c>
      <c r="S49" s="155">
        <f t="shared" si="9"/>
        <v>0</v>
      </c>
      <c r="T49" s="188"/>
      <c r="U49" s="188"/>
      <c r="V49" s="188"/>
      <c r="W49" s="188"/>
      <c r="X49" s="188"/>
      <c r="Y49" s="150"/>
      <c r="Z49" s="150"/>
      <c r="AA49" s="150"/>
      <c r="AB49" s="150"/>
      <c r="AC49" s="150"/>
      <c r="AD49" s="150"/>
      <c r="AE49" s="150"/>
      <c r="AG49" s="148" t="s">
        <v>210</v>
      </c>
      <c r="AH49" s="148"/>
      <c r="AI49" s="148"/>
      <c r="AJ49" s="148"/>
      <c r="AK49" s="198"/>
      <c r="AL49" s="148"/>
      <c r="AM49" s="148"/>
      <c r="AN49" s="148"/>
      <c r="AO49" s="198"/>
      <c r="AP49" s="148"/>
      <c r="AQ49" s="148"/>
      <c r="AR49" s="148"/>
      <c r="AS49" s="198"/>
      <c r="AT49" s="148"/>
      <c r="AU49" s="148"/>
      <c r="AV49" s="148"/>
      <c r="AW49" s="198"/>
      <c r="AX49" s="189">
        <f t="shared" si="7"/>
        <v>0</v>
      </c>
      <c r="AY49" s="155">
        <f t="shared" si="10"/>
        <v>0</v>
      </c>
      <c r="AZ49" s="150"/>
      <c r="BA49" s="150"/>
      <c r="BB49" s="150"/>
      <c r="BC49" s="150"/>
      <c r="BD49" s="150"/>
      <c r="BE49" s="150"/>
      <c r="BF49" s="150"/>
      <c r="BG49" s="150"/>
      <c r="BH49" s="150"/>
      <c r="BI49" s="148"/>
      <c r="BJ49" s="148"/>
      <c r="BK49" s="148"/>
    </row>
    <row r="50" spans="1:63" x14ac:dyDescent="0.25">
      <c r="A50" s="148" t="s">
        <v>211</v>
      </c>
      <c r="B50" s="148"/>
      <c r="C50" s="148">
        <v>9</v>
      </c>
      <c r="D50" s="313">
        <v>48</v>
      </c>
      <c r="E50" s="198"/>
      <c r="F50" s="148">
        <v>108</v>
      </c>
      <c r="G50" s="148">
        <v>20</v>
      </c>
      <c r="H50" s="148">
        <v>19</v>
      </c>
      <c r="I50" s="198"/>
      <c r="J50" s="385">
        <v>9</v>
      </c>
      <c r="K50" s="148"/>
      <c r="L50" s="148"/>
      <c r="M50" s="198"/>
      <c r="N50" s="148"/>
      <c r="O50" s="148"/>
      <c r="P50" s="148"/>
      <c r="Q50" s="198"/>
      <c r="R50" s="189">
        <f t="shared" si="8"/>
        <v>213</v>
      </c>
      <c r="S50" s="155">
        <f t="shared" si="9"/>
        <v>0</v>
      </c>
      <c r="T50" s="188"/>
      <c r="U50" s="188"/>
      <c r="V50" s="188"/>
      <c r="W50" s="188"/>
      <c r="X50" s="188"/>
      <c r="Y50" s="150"/>
      <c r="Z50" s="150"/>
      <c r="AA50" s="150"/>
      <c r="AB50" s="150"/>
      <c r="AC50" s="150"/>
      <c r="AD50" s="150"/>
      <c r="AE50" s="150"/>
      <c r="AG50" s="148" t="s">
        <v>211</v>
      </c>
      <c r="AH50" s="148"/>
      <c r="AI50" s="148"/>
      <c r="AJ50" s="148"/>
      <c r="AK50" s="198"/>
      <c r="AL50" s="148"/>
      <c r="AM50" s="148"/>
      <c r="AN50" s="148"/>
      <c r="AO50" s="198"/>
      <c r="AP50" s="148"/>
      <c r="AQ50" s="148"/>
      <c r="AR50" s="148"/>
      <c r="AS50" s="198"/>
      <c r="AT50" s="148"/>
      <c r="AU50" s="148"/>
      <c r="AV50" s="148"/>
      <c r="AW50" s="198"/>
      <c r="AX50" s="189">
        <f t="shared" si="7"/>
        <v>0</v>
      </c>
      <c r="AY50" s="155">
        <f t="shared" si="10"/>
        <v>0</v>
      </c>
      <c r="AZ50" s="150"/>
      <c r="BA50" s="150"/>
      <c r="BB50" s="150"/>
      <c r="BC50" s="150"/>
      <c r="BD50" s="150"/>
      <c r="BE50" s="150"/>
      <c r="BF50" s="150"/>
      <c r="BG50" s="150"/>
      <c r="BH50" s="150"/>
      <c r="BI50" s="150"/>
      <c r="BJ50" s="150"/>
      <c r="BK50" s="150"/>
    </row>
    <row r="51" spans="1:63" x14ac:dyDescent="0.25">
      <c r="A51" s="148" t="s">
        <v>212</v>
      </c>
      <c r="B51" s="148"/>
      <c r="C51" s="148"/>
      <c r="D51" s="313">
        <v>0</v>
      </c>
      <c r="E51" s="198"/>
      <c r="F51" s="148">
        <v>0</v>
      </c>
      <c r="G51" s="148">
        <v>0</v>
      </c>
      <c r="H51" s="148">
        <v>0</v>
      </c>
      <c r="I51" s="198"/>
      <c r="J51" s="385">
        <v>41</v>
      </c>
      <c r="K51" s="148"/>
      <c r="L51" s="148"/>
      <c r="M51" s="198"/>
      <c r="N51" s="148"/>
      <c r="O51" s="148"/>
      <c r="P51" s="148"/>
      <c r="Q51" s="198"/>
      <c r="R51" s="189">
        <f t="shared" si="8"/>
        <v>41</v>
      </c>
      <c r="S51" s="155">
        <f t="shared" si="9"/>
        <v>0</v>
      </c>
      <c r="T51" s="188"/>
      <c r="U51" s="188"/>
      <c r="V51" s="188"/>
      <c r="W51" s="188"/>
      <c r="X51" s="188"/>
      <c r="Y51" s="150"/>
      <c r="Z51" s="150"/>
      <c r="AA51" s="150"/>
      <c r="AB51" s="150"/>
      <c r="AC51" s="150"/>
      <c r="AD51" s="150"/>
      <c r="AE51" s="150"/>
      <c r="AG51" s="148" t="s">
        <v>212</v>
      </c>
      <c r="AH51" s="148"/>
      <c r="AI51" s="148"/>
      <c r="AJ51" s="148"/>
      <c r="AK51" s="198"/>
      <c r="AL51" s="148"/>
      <c r="AM51" s="148"/>
      <c r="AN51" s="148"/>
      <c r="AO51" s="198"/>
      <c r="AP51" s="148"/>
      <c r="AQ51" s="148"/>
      <c r="AR51" s="148"/>
      <c r="AS51" s="198"/>
      <c r="AT51" s="148"/>
      <c r="AU51" s="148"/>
      <c r="AV51" s="148"/>
      <c r="AW51" s="198"/>
      <c r="AX51" s="189">
        <f t="shared" si="7"/>
        <v>0</v>
      </c>
      <c r="AY51" s="155">
        <f t="shared" si="10"/>
        <v>0</v>
      </c>
      <c r="AZ51" s="150"/>
      <c r="BA51" s="150"/>
      <c r="BB51" s="150"/>
      <c r="BC51" s="150"/>
      <c r="BD51" s="150"/>
      <c r="BE51" s="150"/>
      <c r="BF51" s="150"/>
      <c r="BG51" s="150"/>
      <c r="BH51" s="150"/>
      <c r="BI51" s="150"/>
      <c r="BJ51" s="150"/>
      <c r="BK51" s="150"/>
    </row>
    <row r="52" spans="1:63" x14ac:dyDescent="0.25">
      <c r="A52" s="148" t="s">
        <v>213</v>
      </c>
      <c r="B52" s="148"/>
      <c r="C52" s="148"/>
      <c r="D52" s="313">
        <v>0</v>
      </c>
      <c r="E52" s="198"/>
      <c r="F52" s="148">
        <v>0</v>
      </c>
      <c r="G52" s="148">
        <v>9</v>
      </c>
      <c r="H52" s="148">
        <v>12</v>
      </c>
      <c r="I52" s="198"/>
      <c r="J52" s="385">
        <v>0</v>
      </c>
      <c r="K52" s="148"/>
      <c r="L52" s="148"/>
      <c r="M52" s="198"/>
      <c r="N52" s="148"/>
      <c r="O52" s="148"/>
      <c r="P52" s="148"/>
      <c r="Q52" s="198"/>
      <c r="R52" s="189">
        <f t="shared" si="8"/>
        <v>21</v>
      </c>
      <c r="S52" s="155">
        <f t="shared" si="9"/>
        <v>0</v>
      </c>
      <c r="T52" s="188"/>
      <c r="U52" s="188"/>
      <c r="V52" s="188"/>
      <c r="W52" s="188"/>
      <c r="X52" s="188"/>
      <c r="Y52" s="150"/>
      <c r="Z52" s="150"/>
      <c r="AA52" s="150"/>
      <c r="AB52" s="150"/>
      <c r="AC52" s="150"/>
      <c r="AD52" s="150"/>
      <c r="AE52" s="150"/>
      <c r="AG52" s="148" t="s">
        <v>213</v>
      </c>
      <c r="AH52" s="148"/>
      <c r="AI52" s="148"/>
      <c r="AJ52" s="148"/>
      <c r="AK52" s="198"/>
      <c r="AL52" s="148"/>
      <c r="AM52" s="148"/>
      <c r="AN52" s="148"/>
      <c r="AO52" s="198"/>
      <c r="AP52" s="148"/>
      <c r="AQ52" s="148"/>
      <c r="AR52" s="148"/>
      <c r="AS52" s="198"/>
      <c r="AT52" s="148"/>
      <c r="AU52" s="148"/>
      <c r="AV52" s="148"/>
      <c r="AW52" s="198"/>
      <c r="AX52" s="189">
        <f t="shared" si="7"/>
        <v>0</v>
      </c>
      <c r="AY52" s="155">
        <f t="shared" si="10"/>
        <v>0</v>
      </c>
      <c r="AZ52" s="150"/>
      <c r="BA52" s="150"/>
      <c r="BB52" s="150"/>
      <c r="BC52" s="150"/>
      <c r="BD52" s="150"/>
      <c r="BE52" s="150"/>
      <c r="BF52" s="150"/>
      <c r="BG52" s="150"/>
      <c r="BH52" s="150"/>
      <c r="BI52" s="150"/>
      <c r="BJ52" s="150"/>
      <c r="BK52" s="150"/>
    </row>
    <row r="53" spans="1:63" x14ac:dyDescent="0.25">
      <c r="A53" s="148" t="s">
        <v>214</v>
      </c>
      <c r="B53" s="148"/>
      <c r="C53" s="148">
        <v>20</v>
      </c>
      <c r="D53" s="313">
        <v>31</v>
      </c>
      <c r="E53" s="198"/>
      <c r="F53" s="148">
        <v>4</v>
      </c>
      <c r="G53" s="148">
        <v>11</v>
      </c>
      <c r="H53" s="148">
        <v>57</v>
      </c>
      <c r="I53" s="198"/>
      <c r="J53" s="385">
        <v>18</v>
      </c>
      <c r="K53" s="148"/>
      <c r="L53" s="148"/>
      <c r="M53" s="198"/>
      <c r="N53" s="148"/>
      <c r="O53" s="148"/>
      <c r="P53" s="148"/>
      <c r="Q53" s="198"/>
      <c r="R53" s="189">
        <f t="shared" si="8"/>
        <v>141</v>
      </c>
      <c r="S53" s="155">
        <f t="shared" si="9"/>
        <v>0</v>
      </c>
      <c r="T53" s="188"/>
      <c r="U53" s="188"/>
      <c r="V53" s="188"/>
      <c r="W53" s="188"/>
      <c r="X53" s="188"/>
      <c r="Y53" s="150"/>
      <c r="Z53" s="150"/>
      <c r="AA53" s="150"/>
      <c r="AB53" s="150"/>
      <c r="AC53" s="150"/>
      <c r="AD53" s="150"/>
      <c r="AE53" s="150"/>
      <c r="AG53" s="148" t="s">
        <v>214</v>
      </c>
      <c r="AH53" s="148"/>
      <c r="AI53" s="148"/>
      <c r="AJ53" s="148"/>
      <c r="AK53" s="198"/>
      <c r="AL53" s="148"/>
      <c r="AM53" s="148"/>
      <c r="AN53" s="148"/>
      <c r="AO53" s="198"/>
      <c r="AP53" s="148"/>
      <c r="AQ53" s="148"/>
      <c r="AR53" s="148"/>
      <c r="AS53" s="198"/>
      <c r="AT53" s="148"/>
      <c r="AU53" s="148"/>
      <c r="AV53" s="148"/>
      <c r="AW53" s="198"/>
      <c r="AX53" s="189">
        <f t="shared" si="7"/>
        <v>0</v>
      </c>
      <c r="AY53" s="155">
        <f t="shared" si="10"/>
        <v>0</v>
      </c>
      <c r="AZ53" s="150"/>
      <c r="BA53" s="150"/>
      <c r="BB53" s="150"/>
      <c r="BC53" s="150"/>
      <c r="BD53" s="150"/>
      <c r="BE53" s="150"/>
      <c r="BF53" s="150"/>
      <c r="BG53" s="150"/>
      <c r="BH53" s="150"/>
      <c r="BI53" s="150"/>
      <c r="BJ53" s="150"/>
      <c r="BK53" s="150"/>
    </row>
    <row r="54" spans="1:63" x14ac:dyDescent="0.25">
      <c r="A54" s="148" t="s">
        <v>215</v>
      </c>
      <c r="B54" s="148"/>
      <c r="C54" s="148"/>
      <c r="D54" s="313">
        <v>0</v>
      </c>
      <c r="E54" s="198"/>
      <c r="F54" s="148">
        <v>38</v>
      </c>
      <c r="G54" s="148">
        <v>0</v>
      </c>
      <c r="H54" s="148">
        <v>3</v>
      </c>
      <c r="I54" s="198"/>
      <c r="J54" s="385">
        <v>20</v>
      </c>
      <c r="K54" s="148"/>
      <c r="L54" s="148"/>
      <c r="M54" s="198"/>
      <c r="N54" s="148"/>
      <c r="O54" s="148"/>
      <c r="P54" s="148"/>
      <c r="Q54" s="198"/>
      <c r="R54" s="189">
        <f t="shared" si="8"/>
        <v>61</v>
      </c>
      <c r="S54" s="155">
        <f t="shared" si="9"/>
        <v>0</v>
      </c>
      <c r="T54" s="188"/>
      <c r="U54" s="188"/>
      <c r="V54" s="188"/>
      <c r="W54" s="188"/>
      <c r="X54" s="188"/>
      <c r="Y54" s="150"/>
      <c r="Z54" s="150"/>
      <c r="AA54" s="150"/>
      <c r="AB54" s="150"/>
      <c r="AC54" s="150"/>
      <c r="AD54" s="150"/>
      <c r="AE54" s="150"/>
      <c r="AG54" s="148" t="s">
        <v>215</v>
      </c>
      <c r="AH54" s="148"/>
      <c r="AI54" s="148"/>
      <c r="AJ54" s="148"/>
      <c r="AK54" s="198"/>
      <c r="AL54" s="148"/>
      <c r="AM54" s="148"/>
      <c r="AN54" s="148"/>
      <c r="AO54" s="198"/>
      <c r="AP54" s="148"/>
      <c r="AQ54" s="148"/>
      <c r="AR54" s="148"/>
      <c r="AS54" s="198"/>
      <c r="AT54" s="148"/>
      <c r="AU54" s="148"/>
      <c r="AV54" s="148"/>
      <c r="AW54" s="198"/>
      <c r="AX54" s="189">
        <f t="shared" si="7"/>
        <v>0</v>
      </c>
      <c r="AY54" s="155">
        <f t="shared" si="10"/>
        <v>0</v>
      </c>
      <c r="AZ54" s="150"/>
      <c r="BA54" s="150"/>
      <c r="BB54" s="150"/>
      <c r="BC54" s="150"/>
      <c r="BD54" s="150"/>
      <c r="BE54" s="150"/>
      <c r="BF54" s="150"/>
      <c r="BG54" s="150"/>
      <c r="BH54" s="150"/>
      <c r="BI54" s="150"/>
      <c r="BJ54" s="150"/>
      <c r="BK54" s="150"/>
    </row>
    <row r="55" spans="1:63" x14ac:dyDescent="0.25">
      <c r="A55" s="148" t="s">
        <v>216</v>
      </c>
      <c r="B55" s="148"/>
      <c r="C55" s="148"/>
      <c r="D55" s="313">
        <v>67</v>
      </c>
      <c r="E55" s="198"/>
      <c r="F55" s="148">
        <v>18</v>
      </c>
      <c r="G55" s="148">
        <v>59</v>
      </c>
      <c r="H55" s="148">
        <v>46</v>
      </c>
      <c r="I55" s="198"/>
      <c r="J55" s="385">
        <v>15</v>
      </c>
      <c r="K55" s="148"/>
      <c r="L55" s="148"/>
      <c r="M55" s="198"/>
      <c r="N55" s="148"/>
      <c r="O55" s="148"/>
      <c r="P55" s="148"/>
      <c r="Q55" s="198"/>
      <c r="R55" s="189">
        <f t="shared" si="8"/>
        <v>205</v>
      </c>
      <c r="S55" s="155">
        <f t="shared" si="9"/>
        <v>0</v>
      </c>
      <c r="T55" s="188"/>
      <c r="U55" s="188"/>
      <c r="V55" s="188"/>
      <c r="W55" s="188"/>
      <c r="X55" s="188"/>
      <c r="Y55" s="150"/>
      <c r="Z55" s="150"/>
      <c r="AA55" s="150"/>
      <c r="AB55" s="150"/>
      <c r="AC55" s="150"/>
      <c r="AD55" s="150"/>
      <c r="AE55" s="150"/>
      <c r="AG55" s="148" t="s">
        <v>216</v>
      </c>
      <c r="AH55" s="148"/>
      <c r="AI55" s="148"/>
      <c r="AJ55" s="148"/>
      <c r="AK55" s="198"/>
      <c r="AL55" s="148"/>
      <c r="AM55" s="148"/>
      <c r="AN55" s="148"/>
      <c r="AO55" s="198"/>
      <c r="AP55" s="148"/>
      <c r="AQ55" s="148"/>
      <c r="AR55" s="148"/>
      <c r="AS55" s="198"/>
      <c r="AT55" s="148"/>
      <c r="AU55" s="148"/>
      <c r="AV55" s="148"/>
      <c r="AW55" s="198"/>
      <c r="AX55" s="189">
        <f t="shared" si="7"/>
        <v>0</v>
      </c>
      <c r="AY55" s="155">
        <f t="shared" si="10"/>
        <v>0</v>
      </c>
      <c r="AZ55" s="150"/>
      <c r="BA55" s="150"/>
      <c r="BB55" s="150"/>
      <c r="BC55" s="150"/>
      <c r="BD55" s="150"/>
      <c r="BE55" s="150"/>
      <c r="BF55" s="150"/>
      <c r="BG55" s="150"/>
      <c r="BH55" s="150"/>
      <c r="BI55" s="150"/>
      <c r="BJ55" s="150"/>
      <c r="BK55" s="150"/>
    </row>
    <row r="56" spans="1:63" x14ac:dyDescent="0.25">
      <c r="A56" s="148" t="s">
        <v>217</v>
      </c>
      <c r="B56" s="148"/>
      <c r="C56" s="148"/>
      <c r="D56" s="313">
        <v>13</v>
      </c>
      <c r="E56" s="198"/>
      <c r="F56" s="148">
        <v>3</v>
      </c>
      <c r="G56" s="148">
        <v>18</v>
      </c>
      <c r="H56" s="148">
        <v>0</v>
      </c>
      <c r="I56" s="198"/>
      <c r="J56" s="385">
        <v>18</v>
      </c>
      <c r="K56" s="148"/>
      <c r="L56" s="148"/>
      <c r="M56" s="198"/>
      <c r="N56" s="148"/>
      <c r="O56" s="148"/>
      <c r="P56" s="148"/>
      <c r="Q56" s="198"/>
      <c r="R56" s="189">
        <f t="shared" si="8"/>
        <v>52</v>
      </c>
      <c r="S56" s="155">
        <f t="shared" si="9"/>
        <v>0</v>
      </c>
      <c r="T56" s="188"/>
      <c r="U56" s="188"/>
      <c r="V56" s="188"/>
      <c r="W56" s="188"/>
      <c r="X56" s="188"/>
      <c r="Y56" s="150"/>
      <c r="Z56" s="150"/>
      <c r="AA56" s="150"/>
      <c r="AB56" s="150"/>
      <c r="AC56" s="150"/>
      <c r="AD56" s="150"/>
      <c r="AE56" s="150"/>
      <c r="AG56" s="148" t="s">
        <v>217</v>
      </c>
      <c r="AH56" s="148"/>
      <c r="AI56" s="148"/>
      <c r="AJ56" s="148"/>
      <c r="AK56" s="198"/>
      <c r="AL56" s="148"/>
      <c r="AM56" s="148"/>
      <c r="AN56" s="148"/>
      <c r="AO56" s="198"/>
      <c r="AP56" s="148"/>
      <c r="AQ56" s="148"/>
      <c r="AR56" s="148"/>
      <c r="AS56" s="198"/>
      <c r="AT56" s="148"/>
      <c r="AU56" s="148"/>
      <c r="AV56" s="148"/>
      <c r="AW56" s="198"/>
      <c r="AX56" s="189">
        <f t="shared" si="7"/>
        <v>0</v>
      </c>
      <c r="AY56" s="155">
        <f t="shared" si="10"/>
        <v>0</v>
      </c>
      <c r="AZ56" s="150"/>
      <c r="BA56" s="150"/>
      <c r="BB56" s="150"/>
      <c r="BC56" s="150"/>
      <c r="BD56" s="150"/>
      <c r="BE56" s="150"/>
      <c r="BF56" s="150"/>
      <c r="BG56" s="150"/>
      <c r="BH56" s="150"/>
      <c r="BI56" s="150"/>
      <c r="BJ56" s="150"/>
      <c r="BK56" s="150"/>
    </row>
    <row r="57" spans="1:63" x14ac:dyDescent="0.25">
      <c r="A57" s="148" t="s">
        <v>218</v>
      </c>
      <c r="B57" s="148"/>
      <c r="C57" s="148"/>
      <c r="D57" s="313">
        <v>6</v>
      </c>
      <c r="E57" s="198"/>
      <c r="F57" s="148">
        <v>7</v>
      </c>
      <c r="G57" s="148">
        <v>3</v>
      </c>
      <c r="H57" s="148">
        <v>37</v>
      </c>
      <c r="I57" s="198"/>
      <c r="J57" s="385">
        <v>18</v>
      </c>
      <c r="K57" s="148"/>
      <c r="L57" s="148"/>
      <c r="M57" s="198"/>
      <c r="N57" s="148"/>
      <c r="O57" s="148"/>
      <c r="P57" s="148"/>
      <c r="Q57" s="198"/>
      <c r="R57" s="189">
        <f t="shared" si="8"/>
        <v>71</v>
      </c>
      <c r="S57" s="155">
        <f t="shared" si="9"/>
        <v>0</v>
      </c>
      <c r="T57" s="188"/>
      <c r="U57" s="188"/>
      <c r="V57" s="188"/>
      <c r="W57" s="188"/>
      <c r="X57" s="188"/>
      <c r="Y57" s="150"/>
      <c r="Z57" s="150"/>
      <c r="AA57" s="150"/>
      <c r="AB57" s="150"/>
      <c r="AC57" s="150"/>
      <c r="AD57" s="150"/>
      <c r="AE57" s="150"/>
      <c r="AG57" s="148" t="s">
        <v>218</v>
      </c>
      <c r="AH57" s="148"/>
      <c r="AI57" s="148"/>
      <c r="AJ57" s="148"/>
      <c r="AK57" s="198"/>
      <c r="AL57" s="148"/>
      <c r="AM57" s="148"/>
      <c r="AN57" s="148"/>
      <c r="AO57" s="198"/>
      <c r="AP57" s="148"/>
      <c r="AQ57" s="148"/>
      <c r="AR57" s="148"/>
      <c r="AS57" s="198"/>
      <c r="AT57" s="148"/>
      <c r="AU57" s="148"/>
      <c r="AV57" s="148"/>
      <c r="AW57" s="198"/>
      <c r="AX57" s="189">
        <f t="shared" si="7"/>
        <v>0</v>
      </c>
      <c r="AY57" s="155">
        <f t="shared" si="10"/>
        <v>0</v>
      </c>
      <c r="AZ57" s="150"/>
      <c r="BA57" s="150"/>
      <c r="BB57" s="150"/>
      <c r="BC57" s="150"/>
      <c r="BD57" s="150"/>
      <c r="BE57" s="150"/>
      <c r="BF57" s="150"/>
      <c r="BG57" s="150"/>
      <c r="BH57" s="150"/>
      <c r="BI57" s="150"/>
      <c r="BJ57" s="150"/>
      <c r="BK57" s="150"/>
    </row>
    <row r="58" spans="1:63" x14ac:dyDescent="0.25">
      <c r="A58" s="148" t="s">
        <v>219</v>
      </c>
      <c r="B58" s="148"/>
      <c r="C58" s="148"/>
      <c r="D58" s="313">
        <v>0</v>
      </c>
      <c r="E58" s="198"/>
      <c r="F58" s="148">
        <v>12</v>
      </c>
      <c r="G58" s="148">
        <v>12</v>
      </c>
      <c r="H58" s="148">
        <v>5</v>
      </c>
      <c r="I58" s="198"/>
      <c r="J58" s="385">
        <v>12</v>
      </c>
      <c r="K58" s="148"/>
      <c r="L58" s="148"/>
      <c r="M58" s="198"/>
      <c r="N58" s="148"/>
      <c r="O58" s="148"/>
      <c r="P58" s="148"/>
      <c r="Q58" s="198"/>
      <c r="R58" s="189">
        <f t="shared" si="8"/>
        <v>41</v>
      </c>
      <c r="S58" s="155">
        <f t="shared" si="9"/>
        <v>0</v>
      </c>
      <c r="T58" s="188"/>
      <c r="U58" s="188"/>
      <c r="V58" s="188"/>
      <c r="W58" s="188"/>
      <c r="X58" s="188"/>
      <c r="Y58" s="150"/>
      <c r="Z58" s="150"/>
      <c r="AA58" s="150"/>
      <c r="AB58" s="150"/>
      <c r="AC58" s="150"/>
      <c r="AD58" s="150"/>
      <c r="AE58" s="150"/>
      <c r="AG58" s="148" t="s">
        <v>219</v>
      </c>
      <c r="AH58" s="148"/>
      <c r="AI58" s="148"/>
      <c r="AJ58" s="148"/>
      <c r="AK58" s="198"/>
      <c r="AL58" s="148"/>
      <c r="AM58" s="148"/>
      <c r="AN58" s="148"/>
      <c r="AO58" s="198"/>
      <c r="AP58" s="148"/>
      <c r="AQ58" s="148"/>
      <c r="AR58" s="148"/>
      <c r="AS58" s="198"/>
      <c r="AT58" s="148"/>
      <c r="AU58" s="148"/>
      <c r="AV58" s="148"/>
      <c r="AW58" s="198"/>
      <c r="AX58" s="189">
        <f t="shared" si="7"/>
        <v>0</v>
      </c>
      <c r="AY58" s="155">
        <f t="shared" si="10"/>
        <v>0</v>
      </c>
      <c r="AZ58" s="150"/>
      <c r="BA58" s="150"/>
      <c r="BB58" s="150"/>
      <c r="BC58" s="150"/>
      <c r="BD58" s="150"/>
      <c r="BE58" s="150"/>
      <c r="BF58" s="150"/>
      <c r="BG58" s="150"/>
      <c r="BH58" s="150"/>
      <c r="BI58" s="150"/>
      <c r="BJ58" s="150"/>
      <c r="BK58" s="150"/>
    </row>
    <row r="59" spans="1:63" x14ac:dyDescent="0.25">
      <c r="A59" s="148" t="s">
        <v>220</v>
      </c>
      <c r="B59" s="148"/>
      <c r="C59" s="148"/>
      <c r="D59" s="313">
        <v>0</v>
      </c>
      <c r="E59" s="198"/>
      <c r="F59" s="148">
        <v>0</v>
      </c>
      <c r="G59" s="148">
        <v>30</v>
      </c>
      <c r="H59" s="148">
        <v>0</v>
      </c>
      <c r="I59" s="198"/>
      <c r="J59" s="385">
        <v>0</v>
      </c>
      <c r="K59" s="148"/>
      <c r="L59" s="148"/>
      <c r="M59" s="198"/>
      <c r="N59" s="148"/>
      <c r="O59" s="148"/>
      <c r="P59" s="148"/>
      <c r="Q59" s="198"/>
      <c r="R59" s="189">
        <f t="shared" si="8"/>
        <v>30</v>
      </c>
      <c r="S59" s="155">
        <f t="shared" si="9"/>
        <v>0</v>
      </c>
      <c r="T59" s="188"/>
      <c r="U59" s="188"/>
      <c r="V59" s="188"/>
      <c r="W59" s="188"/>
      <c r="X59" s="188"/>
      <c r="Y59" s="150"/>
      <c r="Z59" s="150"/>
      <c r="AA59" s="150"/>
      <c r="AB59" s="150"/>
      <c r="AC59" s="150"/>
      <c r="AD59" s="150"/>
      <c r="AE59" s="150"/>
      <c r="AG59" s="148" t="s">
        <v>220</v>
      </c>
      <c r="AH59" s="148"/>
      <c r="AI59" s="148"/>
      <c r="AJ59" s="148"/>
      <c r="AK59" s="198"/>
      <c r="AL59" s="148"/>
      <c r="AM59" s="148"/>
      <c r="AN59" s="148"/>
      <c r="AO59" s="198"/>
      <c r="AP59" s="148"/>
      <c r="AQ59" s="148"/>
      <c r="AR59" s="148"/>
      <c r="AS59" s="198"/>
      <c r="AT59" s="148"/>
      <c r="AU59" s="148"/>
      <c r="AV59" s="148"/>
      <c r="AW59" s="198"/>
      <c r="AX59" s="189">
        <f t="shared" si="7"/>
        <v>0</v>
      </c>
      <c r="AY59" s="155">
        <f t="shared" si="10"/>
        <v>0</v>
      </c>
      <c r="AZ59" s="150"/>
      <c r="BA59" s="150"/>
      <c r="BB59" s="150"/>
      <c r="BC59" s="150"/>
      <c r="BD59" s="150"/>
      <c r="BE59" s="150"/>
      <c r="BF59" s="150"/>
      <c r="BG59" s="150"/>
      <c r="BH59" s="150"/>
      <c r="BI59" s="150"/>
      <c r="BJ59" s="150"/>
      <c r="BK59" s="150"/>
    </row>
    <row r="60" spans="1:63" x14ac:dyDescent="0.25">
      <c r="A60" s="152" t="s">
        <v>221</v>
      </c>
      <c r="B60" s="149">
        <f t="shared" ref="B60:Q60" si="11">SUM(B39:B59)</f>
        <v>0</v>
      </c>
      <c r="C60" s="149">
        <f>SUM(C39:C59)</f>
        <v>134</v>
      </c>
      <c r="D60" s="149">
        <f>SUM(D39:D59)</f>
        <v>542</v>
      </c>
      <c r="E60" s="199">
        <f t="shared" si="11"/>
        <v>0</v>
      </c>
      <c r="F60" s="149">
        <f t="shared" si="11"/>
        <v>789</v>
      </c>
      <c r="G60" s="149">
        <f>SUM(G39:G59)</f>
        <v>790</v>
      </c>
      <c r="H60" s="149">
        <f t="shared" si="11"/>
        <v>454</v>
      </c>
      <c r="I60" s="199">
        <f t="shared" si="11"/>
        <v>0</v>
      </c>
      <c r="J60" s="149">
        <f t="shared" si="11"/>
        <v>517</v>
      </c>
      <c r="K60" s="149">
        <f t="shared" si="11"/>
        <v>0</v>
      </c>
      <c r="L60" s="149">
        <f t="shared" si="11"/>
        <v>0</v>
      </c>
      <c r="M60" s="199">
        <f t="shared" si="11"/>
        <v>0</v>
      </c>
      <c r="N60" s="149">
        <f t="shared" si="11"/>
        <v>0</v>
      </c>
      <c r="O60" s="149">
        <f t="shared" si="11"/>
        <v>0</v>
      </c>
      <c r="P60" s="149">
        <f t="shared" si="11"/>
        <v>0</v>
      </c>
      <c r="Q60" s="199">
        <f t="shared" si="11"/>
        <v>0</v>
      </c>
      <c r="R60" s="361">
        <f t="shared" ref="R60:AE60" si="12">SUM(R39:R59)</f>
        <v>3226</v>
      </c>
      <c r="S60" s="155">
        <f t="shared" si="12"/>
        <v>0</v>
      </c>
      <c r="T60" s="149">
        <f t="shared" si="12"/>
        <v>0</v>
      </c>
      <c r="U60" s="149">
        <f t="shared" si="12"/>
        <v>0</v>
      </c>
      <c r="V60" s="149">
        <f t="shared" si="12"/>
        <v>0</v>
      </c>
      <c r="W60" s="149">
        <f t="shared" si="12"/>
        <v>0</v>
      </c>
      <c r="X60" s="149">
        <f t="shared" si="12"/>
        <v>0</v>
      </c>
      <c r="Y60" s="149">
        <f t="shared" si="12"/>
        <v>0</v>
      </c>
      <c r="Z60" s="149">
        <f t="shared" si="12"/>
        <v>0</v>
      </c>
      <c r="AA60" s="149">
        <f t="shared" si="12"/>
        <v>0</v>
      </c>
      <c r="AB60" s="149">
        <f t="shared" si="12"/>
        <v>0</v>
      </c>
      <c r="AC60" s="149">
        <f t="shared" si="12"/>
        <v>0</v>
      </c>
      <c r="AD60" s="149">
        <f t="shared" si="12"/>
        <v>0</v>
      </c>
      <c r="AE60" s="149">
        <f t="shared" si="12"/>
        <v>0</v>
      </c>
      <c r="AG60" s="152" t="s">
        <v>221</v>
      </c>
      <c r="AH60" s="149">
        <f t="shared" ref="AH60:AW60" si="13">SUM(AH39:AH59)</f>
        <v>0</v>
      </c>
      <c r="AI60" s="149">
        <f t="shared" si="13"/>
        <v>0</v>
      </c>
      <c r="AJ60" s="149">
        <f t="shared" si="13"/>
        <v>0</v>
      </c>
      <c r="AK60" s="199">
        <f t="shared" si="13"/>
        <v>0</v>
      </c>
      <c r="AL60" s="149">
        <f t="shared" si="13"/>
        <v>0</v>
      </c>
      <c r="AM60" s="149">
        <f t="shared" si="13"/>
        <v>0</v>
      </c>
      <c r="AN60" s="149">
        <f t="shared" si="13"/>
        <v>0</v>
      </c>
      <c r="AO60" s="199">
        <f t="shared" si="13"/>
        <v>0</v>
      </c>
      <c r="AP60" s="149">
        <f t="shared" si="13"/>
        <v>0</v>
      </c>
      <c r="AQ60" s="149">
        <f t="shared" si="13"/>
        <v>0</v>
      </c>
      <c r="AR60" s="149">
        <f t="shared" si="13"/>
        <v>0</v>
      </c>
      <c r="AS60" s="199">
        <f t="shared" si="13"/>
        <v>0</v>
      </c>
      <c r="AT60" s="149">
        <f t="shared" si="13"/>
        <v>0</v>
      </c>
      <c r="AU60" s="149">
        <f t="shared" si="13"/>
        <v>0</v>
      </c>
      <c r="AV60" s="149">
        <f t="shared" si="13"/>
        <v>0</v>
      </c>
      <c r="AW60" s="199">
        <f t="shared" si="13"/>
        <v>0</v>
      </c>
      <c r="AX60" s="190">
        <f t="shared" ref="AX60:BK60" si="14">SUM(AX39:AX59)</f>
        <v>0</v>
      </c>
      <c r="AY60" s="156">
        <f t="shared" si="14"/>
        <v>0</v>
      </c>
      <c r="AZ60" s="149">
        <f t="shared" si="14"/>
        <v>0</v>
      </c>
      <c r="BA60" s="149">
        <f t="shared" si="14"/>
        <v>0</v>
      </c>
      <c r="BB60" s="149">
        <f t="shared" si="14"/>
        <v>0</v>
      </c>
      <c r="BC60" s="149">
        <f t="shared" si="14"/>
        <v>0</v>
      </c>
      <c r="BD60" s="149">
        <f t="shared" si="14"/>
        <v>0</v>
      </c>
      <c r="BE60" s="149">
        <f t="shared" si="14"/>
        <v>0</v>
      </c>
      <c r="BF60" s="149">
        <f t="shared" si="14"/>
        <v>0</v>
      </c>
      <c r="BG60" s="149">
        <f t="shared" si="14"/>
        <v>0</v>
      </c>
      <c r="BH60" s="149">
        <f t="shared" si="14"/>
        <v>0</v>
      </c>
      <c r="BI60" s="149">
        <f t="shared" si="14"/>
        <v>0</v>
      </c>
      <c r="BJ60" s="149">
        <f t="shared" si="14"/>
        <v>0</v>
      </c>
      <c r="BK60" s="149">
        <f t="shared" si="14"/>
        <v>0</v>
      </c>
    </row>
    <row r="65" spans="1:18" x14ac:dyDescent="0.25">
      <c r="A65" s="117"/>
      <c r="B65" s="434" t="s">
        <v>30</v>
      </c>
      <c r="C65" s="434" t="s">
        <v>31</v>
      </c>
      <c r="D65" s="968" t="s">
        <v>8</v>
      </c>
      <c r="E65" s="968"/>
      <c r="F65" s="434" t="s">
        <v>32</v>
      </c>
      <c r="G65" s="434" t="s">
        <v>33</v>
      </c>
      <c r="H65" s="968" t="s">
        <v>34</v>
      </c>
      <c r="I65" s="968"/>
      <c r="J65" s="434" t="s">
        <v>35</v>
      </c>
      <c r="K65" s="434" t="s">
        <v>36</v>
      </c>
      <c r="L65" s="968" t="s">
        <v>37</v>
      </c>
      <c r="M65" s="968"/>
      <c r="N65" s="434" t="s">
        <v>38</v>
      </c>
      <c r="O65" s="434" t="s">
        <v>39</v>
      </c>
      <c r="P65" s="968" t="s">
        <v>40</v>
      </c>
      <c r="Q65" s="968"/>
      <c r="R65" s="969">
        <f>+SUM(R67:R68)</f>
        <v>5978</v>
      </c>
    </row>
    <row r="66" spans="1:18" ht="28.5" x14ac:dyDescent="0.25">
      <c r="A66" s="117"/>
      <c r="B66" s="434" t="s">
        <v>186</v>
      </c>
      <c r="C66" s="434" t="s">
        <v>186</v>
      </c>
      <c r="D66" s="434" t="s">
        <v>186</v>
      </c>
      <c r="E66" s="434" t="s">
        <v>187</v>
      </c>
      <c r="F66" s="434" t="s">
        <v>186</v>
      </c>
      <c r="G66" s="434" t="s">
        <v>186</v>
      </c>
      <c r="H66" s="434" t="s">
        <v>186</v>
      </c>
      <c r="I66" s="434" t="s">
        <v>187</v>
      </c>
      <c r="J66" s="434" t="s">
        <v>186</v>
      </c>
      <c r="K66" s="434" t="s">
        <v>186</v>
      </c>
      <c r="L66" s="434" t="s">
        <v>186</v>
      </c>
      <c r="M66" s="434" t="s">
        <v>187</v>
      </c>
      <c r="N66" s="434" t="s">
        <v>186</v>
      </c>
      <c r="O66" s="434" t="s">
        <v>186</v>
      </c>
      <c r="P66" s="434" t="s">
        <v>186</v>
      </c>
      <c r="Q66" s="434" t="s">
        <v>187</v>
      </c>
      <c r="R66" s="969"/>
    </row>
    <row r="67" spans="1:18" x14ac:dyDescent="0.25">
      <c r="A67" s="433" t="s">
        <v>581</v>
      </c>
      <c r="B67" s="117">
        <v>0</v>
      </c>
      <c r="C67" s="117">
        <v>41</v>
      </c>
      <c r="D67" s="117">
        <v>660</v>
      </c>
      <c r="E67" s="117"/>
      <c r="F67" s="117">
        <v>449</v>
      </c>
      <c r="G67" s="117">
        <v>754</v>
      </c>
      <c r="H67" s="117">
        <v>552</v>
      </c>
      <c r="I67" s="117"/>
      <c r="J67" s="117">
        <v>533</v>
      </c>
      <c r="K67" s="117"/>
      <c r="L67" s="117"/>
      <c r="M67" s="117"/>
      <c r="N67" s="117"/>
      <c r="O67" s="117"/>
      <c r="P67" s="117"/>
      <c r="Q67" s="117"/>
      <c r="R67" s="189">
        <f t="shared" ref="R67:R68" si="15">B67+C67+D67+F67+G67+H67+J67+K67+L67+N67+O67+P67</f>
        <v>2989</v>
      </c>
    </row>
    <row r="68" spans="1:18" x14ac:dyDescent="0.25">
      <c r="A68" s="433" t="s">
        <v>582</v>
      </c>
      <c r="B68" s="117">
        <v>0</v>
      </c>
      <c r="C68" s="117">
        <v>92</v>
      </c>
      <c r="D68" s="117">
        <v>697</v>
      </c>
      <c r="E68" s="117"/>
      <c r="F68" s="117">
        <v>482</v>
      </c>
      <c r="G68" s="117">
        <v>724</v>
      </c>
      <c r="H68" s="117">
        <v>475</v>
      </c>
      <c r="I68" s="117"/>
      <c r="J68" s="117">
        <v>519</v>
      </c>
      <c r="K68" s="117"/>
      <c r="L68" s="117"/>
      <c r="M68" s="117"/>
      <c r="N68" s="117"/>
      <c r="O68" s="117"/>
      <c r="P68" s="117"/>
      <c r="Q68" s="117"/>
      <c r="R68" s="189">
        <f t="shared" si="15"/>
        <v>2989</v>
      </c>
    </row>
  </sheetData>
  <mergeCells count="51">
    <mergeCell ref="BI4:BK4"/>
    <mergeCell ref="A4:BH4"/>
    <mergeCell ref="BI1:BK1"/>
    <mergeCell ref="BI2:BK2"/>
    <mergeCell ref="BI3:BK3"/>
    <mergeCell ref="A1:BH1"/>
    <mergeCell ref="A2:BH2"/>
    <mergeCell ref="A3:BH3"/>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R37:S37"/>
    <mergeCell ref="T37:Y37"/>
    <mergeCell ref="A37:A38"/>
    <mergeCell ref="D37:E37"/>
    <mergeCell ref="H37:I37"/>
    <mergeCell ref="L37:M37"/>
    <mergeCell ref="P37:Q37"/>
    <mergeCell ref="D65:E65"/>
    <mergeCell ref="H65:I65"/>
    <mergeCell ref="L65:M65"/>
    <mergeCell ref="P65:Q65"/>
    <mergeCell ref="R65:R66"/>
  </mergeCells>
  <pageMargins left="0.7" right="0.7" top="0.75" bottom="0.75" header="0.3" footer="0.3"/>
  <pageSetup scale="18" orientation="landscape"/>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65" zoomScaleNormal="65" workbookViewId="0">
      <selection activeCell="Q36" sqref="Q36:AD36"/>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2"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0" customFormat="1" x14ac:dyDescent="0.25">
      <c r="A1" s="119" t="s">
        <v>333</v>
      </c>
      <c r="B1" s="119" t="s">
        <v>334</v>
      </c>
      <c r="C1" s="119" t="s">
        <v>335</v>
      </c>
      <c r="D1" s="119" t="s">
        <v>336</v>
      </c>
      <c r="E1" s="119" t="s">
        <v>337</v>
      </c>
      <c r="F1" s="119" t="s">
        <v>338</v>
      </c>
      <c r="G1" s="119" t="s">
        <v>339</v>
      </c>
      <c r="H1" s="119" t="s">
        <v>184</v>
      </c>
      <c r="I1" s="119" t="s">
        <v>340</v>
      </c>
    </row>
    <row r="2" spans="1:9" s="120" customFormat="1" x14ac:dyDescent="0.25">
      <c r="A2" s="121" t="s">
        <v>341</v>
      </c>
      <c r="B2" s="116" t="s">
        <v>342</v>
      </c>
      <c r="C2" s="121" t="s">
        <v>343</v>
      </c>
      <c r="D2" s="122" t="s">
        <v>344</v>
      </c>
      <c r="E2" s="117" t="s">
        <v>345</v>
      </c>
      <c r="F2" s="123" t="s">
        <v>346</v>
      </c>
      <c r="G2" s="124" t="s">
        <v>347</v>
      </c>
      <c r="H2" s="124" t="s">
        <v>348</v>
      </c>
      <c r="I2" s="123" t="s">
        <v>349</v>
      </c>
    </row>
    <row r="3" spans="1:9" x14ac:dyDescent="0.25">
      <c r="A3" s="121" t="s">
        <v>350</v>
      </c>
      <c r="B3" s="116" t="s">
        <v>351</v>
      </c>
      <c r="C3" s="121" t="s">
        <v>352</v>
      </c>
      <c r="D3" s="125" t="s">
        <v>353</v>
      </c>
      <c r="E3" s="117" t="s">
        <v>354</v>
      </c>
      <c r="F3" s="123" t="s">
        <v>355</v>
      </c>
      <c r="G3" s="124" t="s">
        <v>356</v>
      </c>
      <c r="H3" s="124" t="s">
        <v>193</v>
      </c>
      <c r="I3" s="123" t="s">
        <v>357</v>
      </c>
    </row>
    <row r="4" spans="1:9" x14ac:dyDescent="0.25">
      <c r="A4" s="121" t="s">
        <v>358</v>
      </c>
      <c r="B4" s="116" t="s">
        <v>359</v>
      </c>
      <c r="C4" s="121" t="s">
        <v>360</v>
      </c>
      <c r="D4" s="125" t="s">
        <v>361</v>
      </c>
      <c r="E4" s="117" t="s">
        <v>362</v>
      </c>
      <c r="F4" s="123" t="s">
        <v>363</v>
      </c>
      <c r="G4" s="124" t="s">
        <v>364</v>
      </c>
      <c r="H4" s="124" t="s">
        <v>188</v>
      </c>
      <c r="I4" s="123" t="s">
        <v>365</v>
      </c>
    </row>
    <row r="5" spans="1:9" x14ac:dyDescent="0.25">
      <c r="A5" s="121" t="s">
        <v>366</v>
      </c>
      <c r="B5" s="116" t="s">
        <v>367</v>
      </c>
      <c r="C5" s="121" t="s">
        <v>368</v>
      </c>
      <c r="D5" s="125" t="s">
        <v>369</v>
      </c>
      <c r="E5" s="117" t="s">
        <v>370</v>
      </c>
      <c r="F5" s="123" t="s">
        <v>371</v>
      </c>
      <c r="G5" s="124" t="s">
        <v>372</v>
      </c>
      <c r="H5" s="124" t="s">
        <v>189</v>
      </c>
      <c r="I5" s="123" t="s">
        <v>373</v>
      </c>
    </row>
    <row r="6" spans="1:9" ht="30" x14ac:dyDescent="0.25">
      <c r="A6" s="121" t="s">
        <v>374</v>
      </c>
      <c r="B6" s="116" t="s">
        <v>375</v>
      </c>
      <c r="C6" s="121" t="s">
        <v>376</v>
      </c>
      <c r="D6" s="125" t="s">
        <v>377</v>
      </c>
      <c r="E6" s="117" t="s">
        <v>378</v>
      </c>
      <c r="G6" s="124" t="s">
        <v>379</v>
      </c>
      <c r="H6" s="124" t="s">
        <v>190</v>
      </c>
      <c r="I6" s="123" t="s">
        <v>380</v>
      </c>
    </row>
    <row r="7" spans="1:9" ht="30" x14ac:dyDescent="0.25">
      <c r="B7" s="116" t="s">
        <v>381</v>
      </c>
      <c r="C7" s="121" t="s">
        <v>382</v>
      </c>
      <c r="D7" s="125" t="s">
        <v>383</v>
      </c>
      <c r="E7" s="123" t="s">
        <v>384</v>
      </c>
      <c r="G7" s="117" t="s">
        <v>199</v>
      </c>
      <c r="H7" s="124" t="s">
        <v>191</v>
      </c>
      <c r="I7" s="123" t="s">
        <v>385</v>
      </c>
    </row>
    <row r="8" spans="1:9" ht="30" x14ac:dyDescent="0.25">
      <c r="A8" s="126"/>
      <c r="B8" s="116" t="s">
        <v>386</v>
      </c>
      <c r="C8" s="121" t="s">
        <v>387</v>
      </c>
      <c r="D8" s="125" t="s">
        <v>388</v>
      </c>
      <c r="E8" s="123" t="s">
        <v>389</v>
      </c>
      <c r="I8" s="123" t="s">
        <v>390</v>
      </c>
    </row>
    <row r="9" spans="1:9" ht="32.1" customHeight="1" x14ac:dyDescent="0.25">
      <c r="A9" s="126"/>
      <c r="B9" s="116" t="s">
        <v>391</v>
      </c>
      <c r="C9" s="121" t="s">
        <v>392</v>
      </c>
      <c r="D9" s="125" t="s">
        <v>393</v>
      </c>
      <c r="E9" s="123" t="s">
        <v>394</v>
      </c>
      <c r="I9" s="123" t="s">
        <v>395</v>
      </c>
    </row>
    <row r="10" spans="1:9" x14ac:dyDescent="0.25">
      <c r="A10" s="126"/>
      <c r="B10" s="116" t="s">
        <v>396</v>
      </c>
      <c r="C10" s="121" t="s">
        <v>397</v>
      </c>
      <c r="D10" s="125" t="s">
        <v>398</v>
      </c>
      <c r="E10" s="123" t="s">
        <v>399</v>
      </c>
      <c r="I10" s="123" t="s">
        <v>400</v>
      </c>
    </row>
    <row r="11" spans="1:9" x14ac:dyDescent="0.25">
      <c r="A11" s="126"/>
      <c r="B11" s="116" t="s">
        <v>401</v>
      </c>
      <c r="C11" s="121" t="s">
        <v>402</v>
      </c>
      <c r="D11" s="125" t="s">
        <v>403</v>
      </c>
      <c r="E11" s="123" t="s">
        <v>404</v>
      </c>
      <c r="I11" s="123" t="s">
        <v>405</v>
      </c>
    </row>
    <row r="12" spans="1:9" ht="30" x14ac:dyDescent="0.25">
      <c r="A12" s="126"/>
      <c r="B12" s="116" t="s">
        <v>406</v>
      </c>
      <c r="C12" s="121" t="s">
        <v>407</v>
      </c>
      <c r="D12" s="125" t="s">
        <v>408</v>
      </c>
      <c r="E12" s="123" t="s">
        <v>409</v>
      </c>
      <c r="I12" s="123" t="s">
        <v>410</v>
      </c>
    </row>
    <row r="13" spans="1:9" x14ac:dyDescent="0.25">
      <c r="A13" s="126"/>
      <c r="B13" s="279" t="s">
        <v>411</v>
      </c>
      <c r="D13" s="125" t="s">
        <v>412</v>
      </c>
      <c r="E13" s="123" t="s">
        <v>413</v>
      </c>
      <c r="I13" s="123" t="s">
        <v>414</v>
      </c>
    </row>
    <row r="14" spans="1:9" x14ac:dyDescent="0.25">
      <c r="A14" s="126"/>
      <c r="B14" s="116" t="s">
        <v>415</v>
      </c>
      <c r="C14" s="126"/>
      <c r="D14" s="125" t="s">
        <v>416</v>
      </c>
      <c r="E14" s="123" t="s">
        <v>417</v>
      </c>
    </row>
    <row r="15" spans="1:9" x14ac:dyDescent="0.25">
      <c r="A15" s="126"/>
      <c r="B15" s="116" t="s">
        <v>418</v>
      </c>
      <c r="C15" s="126"/>
      <c r="D15" s="125" t="s">
        <v>419</v>
      </c>
      <c r="E15" s="123" t="s">
        <v>420</v>
      </c>
    </row>
    <row r="16" spans="1:9" x14ac:dyDescent="0.25">
      <c r="A16" s="126"/>
      <c r="B16" s="116" t="s">
        <v>421</v>
      </c>
      <c r="C16" s="126"/>
      <c r="D16" s="125" t="s">
        <v>422</v>
      </c>
      <c r="E16" s="127"/>
    </row>
    <row r="17" spans="1:5" x14ac:dyDescent="0.25">
      <c r="A17" s="126"/>
      <c r="B17" s="116" t="s">
        <v>423</v>
      </c>
      <c r="C17" s="126"/>
      <c r="D17" s="125" t="s">
        <v>424</v>
      </c>
      <c r="E17" s="127"/>
    </row>
    <row r="18" spans="1:5" x14ac:dyDescent="0.25">
      <c r="A18" s="126"/>
      <c r="B18" s="116" t="s">
        <v>425</v>
      </c>
      <c r="C18" s="126"/>
      <c r="D18" s="125" t="s">
        <v>426</v>
      </c>
      <c r="E18" s="127"/>
    </row>
    <row r="19" spans="1:5" x14ac:dyDescent="0.25">
      <c r="A19" s="126"/>
      <c r="B19" s="116" t="s">
        <v>427</v>
      </c>
      <c r="C19" s="126"/>
      <c r="D19" s="125" t="s">
        <v>428</v>
      </c>
      <c r="E19" s="127"/>
    </row>
    <row r="20" spans="1:5" x14ac:dyDescent="0.25">
      <c r="A20" s="126"/>
      <c r="B20" s="116" t="s">
        <v>429</v>
      </c>
      <c r="C20" s="126"/>
      <c r="D20" s="125" t="s">
        <v>430</v>
      </c>
      <c r="E20" s="127"/>
    </row>
    <row r="21" spans="1:5" x14ac:dyDescent="0.25">
      <c r="B21" s="116" t="s">
        <v>431</v>
      </c>
      <c r="D21" s="125" t="s">
        <v>432</v>
      </c>
      <c r="E21" s="127"/>
    </row>
    <row r="22" spans="1:5" x14ac:dyDescent="0.25">
      <c r="B22" s="116" t="s">
        <v>433</v>
      </c>
      <c r="D22" s="125" t="s">
        <v>434</v>
      </c>
      <c r="E22" s="127"/>
    </row>
    <row r="23" spans="1:5" x14ac:dyDescent="0.25">
      <c r="B23" s="116" t="s">
        <v>435</v>
      </c>
      <c r="D23" s="125" t="s">
        <v>436</v>
      </c>
      <c r="E23" s="127"/>
    </row>
    <row r="24" spans="1:5" x14ac:dyDescent="0.25">
      <c r="D24" s="128" t="s">
        <v>437</v>
      </c>
      <c r="E24" s="128" t="s">
        <v>438</v>
      </c>
    </row>
    <row r="25" spans="1:5" x14ac:dyDescent="0.25">
      <c r="D25" s="129" t="s">
        <v>439</v>
      </c>
      <c r="E25" s="123" t="s">
        <v>440</v>
      </c>
    </row>
    <row r="26" spans="1:5" x14ac:dyDescent="0.25">
      <c r="D26" s="129" t="s">
        <v>441</v>
      </c>
      <c r="E26" s="123" t="s">
        <v>442</v>
      </c>
    </row>
    <row r="27" spans="1:5" x14ac:dyDescent="0.25">
      <c r="D27" s="983" t="s">
        <v>443</v>
      </c>
      <c r="E27" s="123" t="s">
        <v>444</v>
      </c>
    </row>
    <row r="28" spans="1:5" x14ac:dyDescent="0.25">
      <c r="D28" s="984"/>
      <c r="E28" s="123" t="s">
        <v>445</v>
      </c>
    </row>
    <row r="29" spans="1:5" x14ac:dyDescent="0.25">
      <c r="D29" s="984"/>
      <c r="E29" s="123" t="s">
        <v>446</v>
      </c>
    </row>
    <row r="30" spans="1:5" x14ac:dyDescent="0.25">
      <c r="D30" s="985"/>
      <c r="E30" s="123" t="s">
        <v>447</v>
      </c>
    </row>
    <row r="31" spans="1:5" x14ac:dyDescent="0.25">
      <c r="D31" s="129" t="s">
        <v>448</v>
      </c>
      <c r="E31" s="123" t="s">
        <v>449</v>
      </c>
    </row>
    <row r="32" spans="1:5" x14ac:dyDescent="0.25">
      <c r="D32" s="129" t="s">
        <v>450</v>
      </c>
      <c r="E32" s="123" t="s">
        <v>451</v>
      </c>
    </row>
    <row r="33" spans="4:5" x14ac:dyDescent="0.25">
      <c r="D33" s="129" t="s">
        <v>452</v>
      </c>
      <c r="E33" s="123" t="s">
        <v>453</v>
      </c>
    </row>
    <row r="34" spans="4:5" x14ac:dyDescent="0.25">
      <c r="D34" s="129" t="s">
        <v>454</v>
      </c>
      <c r="E34" s="123" t="s">
        <v>455</v>
      </c>
    </row>
    <row r="35" spans="4:5" x14ac:dyDescent="0.25">
      <c r="D35" s="129" t="s">
        <v>456</v>
      </c>
      <c r="E35" s="123" t="s">
        <v>457</v>
      </c>
    </row>
    <row r="36" spans="4:5" x14ac:dyDescent="0.25">
      <c r="D36" s="129" t="s">
        <v>458</v>
      </c>
      <c r="E36" s="123" t="s">
        <v>459</v>
      </c>
    </row>
    <row r="37" spans="4:5" x14ac:dyDescent="0.25">
      <c r="D37" s="129" t="s">
        <v>460</v>
      </c>
      <c r="E37" s="123" t="s">
        <v>461</v>
      </c>
    </row>
    <row r="38" spans="4:5" x14ac:dyDescent="0.25">
      <c r="D38" s="129" t="s">
        <v>462</v>
      </c>
      <c r="E38" s="123" t="s">
        <v>463</v>
      </c>
    </row>
    <row r="39" spans="4:5" x14ac:dyDescent="0.25">
      <c r="D39" s="130" t="s">
        <v>464</v>
      </c>
      <c r="E39" s="123" t="s">
        <v>465</v>
      </c>
    </row>
    <row r="40" spans="4:5" x14ac:dyDescent="0.25">
      <c r="D40" s="130" t="s">
        <v>466</v>
      </c>
      <c r="E40" s="123" t="s">
        <v>467</v>
      </c>
    </row>
    <row r="41" spans="4:5" x14ac:dyDescent="0.25">
      <c r="D41" s="129" t="s">
        <v>468</v>
      </c>
      <c r="E41" s="123" t="s">
        <v>469</v>
      </c>
    </row>
    <row r="42" spans="4:5" x14ac:dyDescent="0.25">
      <c r="D42" s="129" t="s">
        <v>470</v>
      </c>
      <c r="E42" s="123" t="s">
        <v>471</v>
      </c>
    </row>
    <row r="43" spans="4:5" x14ac:dyDescent="0.25">
      <c r="D43" s="130" t="s">
        <v>472</v>
      </c>
      <c r="E43" s="123" t="s">
        <v>473</v>
      </c>
    </row>
    <row r="44" spans="4:5" x14ac:dyDescent="0.25">
      <c r="D44" s="131" t="s">
        <v>474</v>
      </c>
      <c r="E44" s="123" t="s">
        <v>475</v>
      </c>
    </row>
    <row r="45" spans="4:5" x14ac:dyDescent="0.25">
      <c r="D45" s="125" t="s">
        <v>476</v>
      </c>
      <c r="E45" s="123" t="s">
        <v>477</v>
      </c>
    </row>
    <row r="46" spans="4:5" x14ac:dyDescent="0.25">
      <c r="D46" s="125" t="s">
        <v>478</v>
      </c>
      <c r="E46" s="123" t="s">
        <v>479</v>
      </c>
    </row>
    <row r="47" spans="4:5" x14ac:dyDescent="0.25">
      <c r="D47" s="125" t="s">
        <v>480</v>
      </c>
      <c r="E47" s="123" t="s">
        <v>481</v>
      </c>
    </row>
    <row r="48" spans="4:5" x14ac:dyDescent="0.25">
      <c r="D48" s="125" t="s">
        <v>482</v>
      </c>
      <c r="E48" s="123" t="s">
        <v>483</v>
      </c>
    </row>
    <row r="49" spans="4:4" x14ac:dyDescent="0.25">
      <c r="D49" s="128" t="s">
        <v>484</v>
      </c>
    </row>
    <row r="50" spans="4:4" x14ac:dyDescent="0.25">
      <c r="D50" s="125" t="s">
        <v>485</v>
      </c>
    </row>
    <row r="51" spans="4:4" x14ac:dyDescent="0.25">
      <c r="D51" s="125" t="s">
        <v>486</v>
      </c>
    </row>
    <row r="52" spans="4:4" x14ac:dyDescent="0.25">
      <c r="D52" s="128" t="s">
        <v>487</v>
      </c>
    </row>
    <row r="53" spans="4:4" x14ac:dyDescent="0.25">
      <c r="D53" s="131" t="s">
        <v>488</v>
      </c>
    </row>
    <row r="54" spans="4:4" x14ac:dyDescent="0.25">
      <c r="D54" s="131" t="s">
        <v>489</v>
      </c>
    </row>
    <row r="55" spans="4:4" x14ac:dyDescent="0.25">
      <c r="D55" s="131" t="s">
        <v>490</v>
      </c>
    </row>
    <row r="56" spans="4:4" x14ac:dyDescent="0.25">
      <c r="D56" s="131" t="s">
        <v>491</v>
      </c>
    </row>
  </sheetData>
  <mergeCells count="1">
    <mergeCell ref="D27:D30"/>
  </mergeCells>
  <pageMargins left="0.7" right="0.7" top="0.75" bottom="0.75" header="0.3" footer="0.3"/>
  <pageSetup scale="27" orientation="landscape"/>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6" zoomScale="65" zoomScaleNormal="65" workbookViewId="0">
      <selection activeCell="Q36" sqref="Q36:AD36"/>
    </sheetView>
  </sheetViews>
  <sheetFormatPr baseColWidth="10" defaultColWidth="10.85546875" defaultRowHeight="15" x14ac:dyDescent="0.25"/>
  <cols>
    <col min="1" max="1" width="72" style="132" bestFit="1" customWidth="1"/>
    <col min="2" max="2" width="73.42578125" style="132" customWidth="1"/>
    <col min="3" max="3" width="10.85546875" style="132"/>
    <col min="4" max="4" width="31.140625" style="132" customWidth="1"/>
    <col min="5" max="5" width="70.140625" style="132" customWidth="1"/>
    <col min="6" max="6" width="17.28515625" style="132" customWidth="1"/>
    <col min="7" max="8" width="21.85546875" style="132" customWidth="1"/>
    <col min="9" max="9" width="19.28515625" style="132" customWidth="1"/>
    <col min="10" max="10" width="42" style="132" customWidth="1"/>
    <col min="11" max="16384" width="10.85546875" style="132"/>
  </cols>
  <sheetData>
    <row r="1" spans="1:2" ht="25.5" customHeight="1" x14ac:dyDescent="0.25">
      <c r="A1" s="988" t="s">
        <v>241</v>
      </c>
      <c r="B1" s="989"/>
    </row>
    <row r="2" spans="1:2" ht="25.5" customHeight="1" x14ac:dyDescent="0.25">
      <c r="A2" s="990" t="s">
        <v>492</v>
      </c>
      <c r="B2" s="991"/>
    </row>
    <row r="3" spans="1:2" x14ac:dyDescent="0.25">
      <c r="A3" s="195" t="s">
        <v>493</v>
      </c>
      <c r="B3" s="133" t="s">
        <v>494</v>
      </c>
    </row>
    <row r="4" spans="1:2" x14ac:dyDescent="0.25">
      <c r="A4" s="196" t="s">
        <v>9</v>
      </c>
      <c r="B4" s="140" t="s">
        <v>495</v>
      </c>
    </row>
    <row r="5" spans="1:2" ht="105" x14ac:dyDescent="0.25">
      <c r="A5" s="196" t="s">
        <v>10</v>
      </c>
      <c r="B5" s="200" t="s">
        <v>496</v>
      </c>
    </row>
    <row r="6" spans="1:2" x14ac:dyDescent="0.25">
      <c r="A6" s="196" t="s">
        <v>15</v>
      </c>
      <c r="B6" s="992" t="s">
        <v>497</v>
      </c>
    </row>
    <row r="7" spans="1:2" x14ac:dyDescent="0.25">
      <c r="A7" s="196" t="s">
        <v>17</v>
      </c>
      <c r="B7" s="993"/>
    </row>
    <row r="8" spans="1:2" x14ac:dyDescent="0.25">
      <c r="A8" s="196" t="s">
        <v>19</v>
      </c>
      <c r="B8" s="993"/>
    </row>
    <row r="9" spans="1:2" x14ac:dyDescent="0.25">
      <c r="A9" s="196" t="s">
        <v>498</v>
      </c>
      <c r="B9" s="994"/>
    </row>
    <row r="10" spans="1:2" ht="30" x14ac:dyDescent="0.25">
      <c r="A10" s="196" t="s">
        <v>7</v>
      </c>
      <c r="B10" s="134" t="s">
        <v>499</v>
      </c>
    </row>
    <row r="11" spans="1:2" ht="45" x14ac:dyDescent="0.25">
      <c r="A11" s="196" t="s">
        <v>27</v>
      </c>
      <c r="B11" s="134" t="s">
        <v>500</v>
      </c>
    </row>
    <row r="12" spans="1:2" ht="60" x14ac:dyDescent="0.25">
      <c r="A12" s="196" t="s">
        <v>26</v>
      </c>
      <c r="B12" s="135" t="s">
        <v>501</v>
      </c>
    </row>
    <row r="13" spans="1:2" ht="30" x14ac:dyDescent="0.25">
      <c r="A13" s="196" t="s">
        <v>502</v>
      </c>
      <c r="B13" s="135" t="s">
        <v>503</v>
      </c>
    </row>
    <row r="14" spans="1:2" ht="45" x14ac:dyDescent="0.25">
      <c r="A14" s="196" t="s">
        <v>504</v>
      </c>
      <c r="B14" s="135" t="s">
        <v>505</v>
      </c>
    </row>
    <row r="15" spans="1:2" ht="72" customHeight="1" x14ac:dyDescent="0.25">
      <c r="A15" s="197" t="s">
        <v>506</v>
      </c>
      <c r="B15" s="136" t="s">
        <v>507</v>
      </c>
    </row>
    <row r="16" spans="1:2" ht="194.25" x14ac:dyDescent="0.25">
      <c r="A16" s="197" t="s">
        <v>508</v>
      </c>
      <c r="B16" s="137" t="s">
        <v>509</v>
      </c>
    </row>
    <row r="17" spans="1:2" ht="25.5" customHeight="1" x14ac:dyDescent="0.25">
      <c r="A17" s="990" t="s">
        <v>510</v>
      </c>
      <c r="B17" s="991"/>
    </row>
    <row r="18" spans="1:2" x14ac:dyDescent="0.25">
      <c r="A18" s="195" t="s">
        <v>493</v>
      </c>
      <c r="B18" s="133" t="s">
        <v>494</v>
      </c>
    </row>
    <row r="19" spans="1:2" x14ac:dyDescent="0.25">
      <c r="A19" s="196" t="s">
        <v>9</v>
      </c>
      <c r="B19" s="140" t="s">
        <v>495</v>
      </c>
    </row>
    <row r="20" spans="1:2" ht="105" x14ac:dyDescent="0.25">
      <c r="A20" s="196" t="s">
        <v>10</v>
      </c>
      <c r="B20" s="139" t="s">
        <v>511</v>
      </c>
    </row>
    <row r="21" spans="1:2" ht="30" x14ac:dyDescent="0.25">
      <c r="A21" s="196" t="s">
        <v>512</v>
      </c>
      <c r="B21" s="135" t="s">
        <v>513</v>
      </c>
    </row>
    <row r="22" spans="1:2" ht="45" x14ac:dyDescent="0.25">
      <c r="A22" s="196" t="s">
        <v>514</v>
      </c>
      <c r="B22" s="135" t="s">
        <v>515</v>
      </c>
    </row>
    <row r="23" spans="1:2" ht="75" x14ac:dyDescent="0.25">
      <c r="A23" s="196" t="s">
        <v>516</v>
      </c>
      <c r="B23" s="135" t="s">
        <v>517</v>
      </c>
    </row>
    <row r="24" spans="1:2" ht="30" x14ac:dyDescent="0.25">
      <c r="A24" s="196" t="s">
        <v>518</v>
      </c>
      <c r="B24" s="135" t="s">
        <v>519</v>
      </c>
    </row>
    <row r="25" spans="1:2" x14ac:dyDescent="0.25">
      <c r="A25" s="196" t="s">
        <v>340</v>
      </c>
      <c r="B25" s="135" t="s">
        <v>520</v>
      </c>
    </row>
    <row r="26" spans="1:2" ht="45.95" customHeight="1" x14ac:dyDescent="0.25">
      <c r="A26" s="196" t="s">
        <v>521</v>
      </c>
      <c r="B26" s="138" t="s">
        <v>522</v>
      </c>
    </row>
    <row r="27" spans="1:2" ht="75" x14ac:dyDescent="0.25">
      <c r="A27" s="196" t="s">
        <v>253</v>
      </c>
      <c r="B27" s="138" t="s">
        <v>523</v>
      </c>
    </row>
    <row r="28" spans="1:2" ht="45" x14ac:dyDescent="0.25">
      <c r="A28" s="196" t="s">
        <v>524</v>
      </c>
      <c r="B28" s="138" t="s">
        <v>525</v>
      </c>
    </row>
    <row r="29" spans="1:2" ht="45" x14ac:dyDescent="0.25">
      <c r="A29" s="196" t="s">
        <v>526</v>
      </c>
      <c r="B29" s="138" t="s">
        <v>527</v>
      </c>
    </row>
    <row r="30" spans="1:2" ht="45" x14ac:dyDescent="0.25">
      <c r="A30" s="196" t="s">
        <v>337</v>
      </c>
      <c r="B30" s="138" t="s">
        <v>528</v>
      </c>
    </row>
    <row r="31" spans="1:2" ht="159" customHeight="1" x14ac:dyDescent="0.25">
      <c r="A31" s="196" t="s">
        <v>529</v>
      </c>
      <c r="B31" s="311" t="s">
        <v>530</v>
      </c>
    </row>
    <row r="32" spans="1:2" ht="30" x14ac:dyDescent="0.25">
      <c r="A32" s="196" t="s">
        <v>531</v>
      </c>
      <c r="B32" s="138" t="s">
        <v>532</v>
      </c>
    </row>
    <row r="33" spans="1:2" ht="30" x14ac:dyDescent="0.25">
      <c r="A33" s="196" t="s">
        <v>533</v>
      </c>
      <c r="B33" s="138" t="s">
        <v>534</v>
      </c>
    </row>
    <row r="34" spans="1:2" ht="30" x14ac:dyDescent="0.25">
      <c r="A34" s="196" t="s">
        <v>535</v>
      </c>
      <c r="B34" s="138" t="s">
        <v>536</v>
      </c>
    </row>
    <row r="35" spans="1:2" ht="30" x14ac:dyDescent="0.25">
      <c r="A35" s="196" t="s">
        <v>537</v>
      </c>
      <c r="B35" s="138" t="s">
        <v>538</v>
      </c>
    </row>
    <row r="36" spans="1:2" ht="75" x14ac:dyDescent="0.25">
      <c r="A36" s="196" t="s">
        <v>539</v>
      </c>
      <c r="B36" s="138" t="s">
        <v>540</v>
      </c>
    </row>
    <row r="37" spans="1:2" x14ac:dyDescent="0.25">
      <c r="A37" s="196" t="s">
        <v>243</v>
      </c>
      <c r="B37" s="138" t="s">
        <v>541</v>
      </c>
    </row>
    <row r="38" spans="1:2" ht="30" x14ac:dyDescent="0.25">
      <c r="A38" s="196" t="s">
        <v>542</v>
      </c>
      <c r="B38" s="138" t="s">
        <v>543</v>
      </c>
    </row>
    <row r="39" spans="1:2" ht="45" x14ac:dyDescent="0.25">
      <c r="A39" s="196" t="s">
        <v>544</v>
      </c>
      <c r="B39" s="138" t="s">
        <v>545</v>
      </c>
    </row>
    <row r="40" spans="1:2" ht="28.5" x14ac:dyDescent="0.25">
      <c r="A40" s="197" t="s">
        <v>246</v>
      </c>
      <c r="B40" s="138" t="s">
        <v>546</v>
      </c>
    </row>
    <row r="41" spans="1:2" ht="25.5" customHeight="1" x14ac:dyDescent="0.25">
      <c r="A41" s="990" t="s">
        <v>547</v>
      </c>
      <c r="B41" s="991"/>
    </row>
    <row r="42" spans="1:2" x14ac:dyDescent="0.25">
      <c r="A42" s="988" t="s">
        <v>548</v>
      </c>
      <c r="B42" s="989"/>
    </row>
    <row r="43" spans="1:2" ht="72" customHeight="1" x14ac:dyDescent="0.25">
      <c r="A43" s="986" t="s">
        <v>549</v>
      </c>
      <c r="B43" s="987"/>
    </row>
    <row r="44" spans="1:2" ht="30" x14ac:dyDescent="0.25">
      <c r="A44" s="196" t="s">
        <v>526</v>
      </c>
      <c r="B44" s="138" t="s">
        <v>550</v>
      </c>
    </row>
    <row r="45" spans="1:2" ht="45" x14ac:dyDescent="0.25">
      <c r="A45" s="197" t="s">
        <v>551</v>
      </c>
      <c r="B45" s="138" t="s">
        <v>552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553</v>
      </c>
      <c r="C1" s="999" t="s">
        <v>554</v>
      </c>
      <c r="D1" s="999"/>
      <c r="E1" s="999"/>
      <c r="F1" s="999"/>
      <c r="G1" s="1000" t="s">
        <v>555</v>
      </c>
      <c r="H1" s="1001"/>
      <c r="I1" s="1001"/>
      <c r="J1" s="1002"/>
      <c r="K1" s="998" t="s">
        <v>556</v>
      </c>
      <c r="L1" s="998"/>
      <c r="M1" s="998"/>
      <c r="N1" s="998"/>
    </row>
    <row r="2" spans="1:14" x14ac:dyDescent="0.25">
      <c r="C2" s="4"/>
      <c r="D2" s="4"/>
      <c r="E2" s="4"/>
      <c r="F2" s="4" t="s">
        <v>557</v>
      </c>
      <c r="G2" s="30"/>
      <c r="H2" s="4"/>
      <c r="I2" s="4"/>
      <c r="J2" s="31" t="s">
        <v>557</v>
      </c>
      <c r="K2" s="4"/>
      <c r="L2" s="4"/>
      <c r="M2" s="4"/>
      <c r="N2" s="4" t="s">
        <v>557</v>
      </c>
    </row>
    <row r="3" spans="1:14" x14ac:dyDescent="0.25">
      <c r="A3" s="996" t="s">
        <v>558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99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996"/>
      <c r="B5" s="5">
        <v>3</v>
      </c>
      <c r="C5" s="6">
        <v>0.05</v>
      </c>
      <c r="D5" s="6">
        <v>0.05</v>
      </c>
      <c r="E5" s="6">
        <v>0.1</v>
      </c>
      <c r="F5" s="7">
        <f>(C5+D5+E5)</f>
        <v>0.2</v>
      </c>
      <c r="G5" s="32">
        <v>0.1</v>
      </c>
      <c r="H5" s="6">
        <v>0.1</v>
      </c>
      <c r="I5" s="6">
        <v>0.1</v>
      </c>
      <c r="J5" s="33">
        <f>(G5+H5+I5)</f>
        <v>0.30000000000000004</v>
      </c>
      <c r="K5" s="24"/>
      <c r="L5" s="5"/>
      <c r="M5" s="5"/>
      <c r="N5" s="5"/>
    </row>
    <row r="6" spans="1:14" x14ac:dyDescent="0.25">
      <c r="A6" s="996"/>
      <c r="B6" s="5">
        <v>4</v>
      </c>
      <c r="C6" s="6">
        <v>0.1</v>
      </c>
      <c r="D6" s="6">
        <v>0.1</v>
      </c>
      <c r="E6" s="6">
        <v>0.2</v>
      </c>
      <c r="F6" s="7">
        <f>(C6+D6+E6)</f>
        <v>0.4</v>
      </c>
      <c r="G6" s="32">
        <v>0</v>
      </c>
      <c r="H6" s="6">
        <v>0</v>
      </c>
      <c r="I6" s="6">
        <v>0.1</v>
      </c>
      <c r="J6" s="33">
        <f>(G6+H6+I6)</f>
        <v>0.1</v>
      </c>
      <c r="K6" s="24"/>
      <c r="L6" s="5"/>
      <c r="M6" s="5"/>
      <c r="N6" s="5"/>
    </row>
    <row r="7" spans="1:14" x14ac:dyDescent="0.25">
      <c r="A7" s="996"/>
      <c r="B7" s="5">
        <v>5</v>
      </c>
      <c r="C7" s="6">
        <v>0</v>
      </c>
      <c r="D7" s="6">
        <v>0</v>
      </c>
      <c r="E7" s="6">
        <v>0</v>
      </c>
      <c r="F7" s="7">
        <f>(C7+D7+E7)</f>
        <v>0</v>
      </c>
      <c r="G7" s="32">
        <v>0</v>
      </c>
      <c r="H7" s="6">
        <v>0</v>
      </c>
      <c r="I7" s="6">
        <v>0</v>
      </c>
      <c r="J7" s="33">
        <f>(G7+H7+I7)</f>
        <v>0</v>
      </c>
      <c r="K7" s="24"/>
      <c r="L7" s="5"/>
      <c r="M7" s="5"/>
      <c r="N7" s="5"/>
    </row>
    <row r="8" spans="1:14" x14ac:dyDescent="0.25">
      <c r="A8" s="996" t="s">
        <v>559</v>
      </c>
      <c r="B8" s="9">
        <v>6</v>
      </c>
      <c r="C8" s="10">
        <v>0.1</v>
      </c>
      <c r="D8" s="10">
        <v>0.1</v>
      </c>
      <c r="E8" s="10">
        <v>0.1</v>
      </c>
      <c r="F8" s="11">
        <f>C8+D8+E8</f>
        <v>0.30000000000000004</v>
      </c>
      <c r="G8" s="34"/>
      <c r="H8" s="9"/>
      <c r="I8" s="9"/>
      <c r="J8" s="35"/>
      <c r="K8" s="25"/>
      <c r="L8" s="9"/>
      <c r="M8" s="9"/>
      <c r="N8" s="9"/>
    </row>
    <row r="9" spans="1:14" x14ac:dyDescent="0.25">
      <c r="A9" s="996"/>
      <c r="B9" s="9">
        <v>7</v>
      </c>
      <c r="C9" s="9"/>
      <c r="D9" s="9"/>
      <c r="E9" s="9"/>
      <c r="F9" s="19"/>
      <c r="G9" s="36"/>
      <c r="H9" s="9"/>
      <c r="I9" s="9"/>
      <c r="J9" s="35"/>
      <c r="K9" s="25"/>
      <c r="L9" s="9"/>
      <c r="M9" s="9"/>
      <c r="N9" s="9"/>
    </row>
    <row r="10" spans="1:14" x14ac:dyDescent="0.25">
      <c r="A10" s="996"/>
      <c r="B10" s="9">
        <v>8</v>
      </c>
      <c r="C10" s="9"/>
      <c r="D10" s="9"/>
      <c r="E10" s="9"/>
      <c r="F10" s="19"/>
      <c r="G10" s="36"/>
      <c r="H10" s="9"/>
      <c r="I10" s="9"/>
      <c r="J10" s="35"/>
      <c r="K10" s="25"/>
      <c r="L10" s="9"/>
      <c r="M10" s="9"/>
      <c r="N10" s="9"/>
    </row>
    <row r="11" spans="1:14" x14ac:dyDescent="0.25">
      <c r="A11" s="996"/>
      <c r="B11" s="9">
        <v>9</v>
      </c>
      <c r="C11" s="9"/>
      <c r="D11" s="9"/>
      <c r="E11" s="9"/>
      <c r="F11" s="19"/>
      <c r="G11" s="36"/>
      <c r="H11" s="9"/>
      <c r="I11" s="9"/>
      <c r="J11" s="35"/>
      <c r="K11" s="25"/>
      <c r="L11" s="9"/>
      <c r="M11" s="9"/>
      <c r="N11" s="9"/>
    </row>
    <row r="12" spans="1:14" x14ac:dyDescent="0.25">
      <c r="A12" s="996" t="s">
        <v>560</v>
      </c>
      <c r="B12" s="14">
        <v>10</v>
      </c>
      <c r="C12" s="14"/>
      <c r="D12" s="14"/>
      <c r="E12" s="14"/>
      <c r="F12" s="20"/>
      <c r="G12" s="37"/>
      <c r="H12" s="14"/>
      <c r="I12" s="14"/>
      <c r="J12" s="38"/>
      <c r="K12" s="26"/>
      <c r="L12" s="14"/>
      <c r="M12" s="14"/>
      <c r="N12" s="14"/>
    </row>
    <row r="13" spans="1:14" x14ac:dyDescent="0.25">
      <c r="A13" s="996"/>
      <c r="B13" s="14">
        <v>11</v>
      </c>
      <c r="C13" s="14"/>
      <c r="D13" s="14"/>
      <c r="E13" s="14"/>
      <c r="F13" s="20"/>
      <c r="G13" s="37"/>
      <c r="H13" s="14"/>
      <c r="I13" s="14"/>
      <c r="J13" s="38"/>
      <c r="K13" s="26"/>
      <c r="L13" s="14"/>
      <c r="M13" s="14"/>
      <c r="N13" s="14"/>
    </row>
    <row r="14" spans="1:14" x14ac:dyDescent="0.25">
      <c r="A14" s="996"/>
      <c r="B14" s="14">
        <v>12</v>
      </c>
      <c r="C14" s="14"/>
      <c r="D14" s="14"/>
      <c r="E14" s="14"/>
      <c r="F14" s="20"/>
      <c r="G14" s="37"/>
      <c r="H14" s="14"/>
      <c r="I14" s="14"/>
      <c r="J14" s="38"/>
      <c r="K14" s="26"/>
      <c r="L14" s="14"/>
      <c r="M14" s="14"/>
      <c r="N14" s="14"/>
    </row>
    <row r="15" spans="1:14" x14ac:dyDescent="0.25">
      <c r="A15" s="996"/>
      <c r="B15" s="14">
        <v>13</v>
      </c>
      <c r="C15" s="14"/>
      <c r="D15" s="14"/>
      <c r="E15" s="14"/>
      <c r="F15" s="20"/>
      <c r="G15" s="37"/>
      <c r="H15" s="14"/>
      <c r="I15" s="14"/>
      <c r="J15" s="38"/>
      <c r="K15" s="26"/>
      <c r="L15" s="14"/>
      <c r="M15" s="14"/>
      <c r="N15" s="14"/>
    </row>
    <row r="16" spans="1:14" x14ac:dyDescent="0.25">
      <c r="A16" s="996" t="s">
        <v>561</v>
      </c>
      <c r="B16" s="15">
        <v>14</v>
      </c>
      <c r="C16" s="15"/>
      <c r="D16" s="15"/>
      <c r="E16" s="15"/>
      <c r="F16" s="21"/>
      <c r="G16" s="39"/>
      <c r="H16" s="15"/>
      <c r="I16" s="15"/>
      <c r="J16" s="40"/>
      <c r="K16" s="27"/>
      <c r="L16" s="15"/>
      <c r="M16" s="15"/>
      <c r="N16" s="15"/>
    </row>
    <row r="17" spans="1:14" x14ac:dyDescent="0.25">
      <c r="A17" s="996"/>
      <c r="B17" s="15">
        <v>15</v>
      </c>
      <c r="C17" s="15"/>
      <c r="D17" s="15"/>
      <c r="E17" s="15"/>
      <c r="F17" s="21"/>
      <c r="G17" s="39"/>
      <c r="H17" s="15"/>
      <c r="I17" s="15"/>
      <c r="J17" s="40"/>
      <c r="K17" s="27"/>
      <c r="L17" s="15"/>
      <c r="M17" s="15"/>
      <c r="N17" s="15"/>
    </row>
    <row r="18" spans="1:14" x14ac:dyDescent="0.25">
      <c r="A18" s="996"/>
      <c r="B18" s="15">
        <v>16</v>
      </c>
      <c r="C18" s="15"/>
      <c r="D18" s="15"/>
      <c r="E18" s="15"/>
      <c r="F18" s="21"/>
      <c r="G18" s="39"/>
      <c r="H18" s="15"/>
      <c r="I18" s="15"/>
      <c r="J18" s="40"/>
      <c r="K18" s="27"/>
      <c r="L18" s="15"/>
      <c r="M18" s="15"/>
      <c r="N18" s="15"/>
    </row>
    <row r="19" spans="1:14" x14ac:dyDescent="0.25">
      <c r="A19" s="996" t="s">
        <v>562</v>
      </c>
      <c r="B19" s="18">
        <v>17</v>
      </c>
      <c r="C19" s="18"/>
      <c r="D19" s="18"/>
      <c r="E19" s="18"/>
      <c r="F19" s="22"/>
      <c r="G19" s="41"/>
      <c r="H19" s="18"/>
      <c r="I19" s="18"/>
      <c r="J19" s="42"/>
      <c r="K19" s="28"/>
      <c r="L19" s="18"/>
      <c r="M19" s="18"/>
      <c r="N19" s="18"/>
    </row>
    <row r="20" spans="1:14" x14ac:dyDescent="0.25">
      <c r="A20" s="996"/>
      <c r="B20" s="18">
        <v>18</v>
      </c>
      <c r="C20" s="18"/>
      <c r="D20" s="18"/>
      <c r="E20" s="18"/>
      <c r="F20" s="22"/>
      <c r="G20" s="41"/>
      <c r="H20" s="18"/>
      <c r="I20" s="18"/>
      <c r="J20" s="42"/>
      <c r="K20" s="28"/>
      <c r="L20" s="18"/>
      <c r="M20" s="18"/>
      <c r="N20" s="18"/>
    </row>
    <row r="21" spans="1:14" x14ac:dyDescent="0.25">
      <c r="A21" s="996"/>
      <c r="B21" s="18">
        <v>19</v>
      </c>
      <c r="C21" s="18"/>
      <c r="D21" s="18"/>
      <c r="E21" s="18"/>
      <c r="F21" s="22"/>
      <c r="G21" s="41"/>
      <c r="H21" s="18"/>
      <c r="I21" s="18"/>
      <c r="J21" s="42"/>
      <c r="K21" s="28"/>
      <c r="L21" s="18"/>
      <c r="M21" s="18"/>
      <c r="N21" s="18"/>
    </row>
    <row r="22" spans="1:14" x14ac:dyDescent="0.25">
      <c r="A22" s="996"/>
      <c r="B22" s="18">
        <v>20</v>
      </c>
      <c r="C22" s="18"/>
      <c r="D22" s="18"/>
      <c r="E22" s="18"/>
      <c r="F22" s="22"/>
      <c r="G22" s="41"/>
      <c r="H22" s="18"/>
      <c r="I22" s="18"/>
      <c r="J22" s="42"/>
      <c r="K22" s="28"/>
      <c r="L22" s="18"/>
      <c r="M22" s="18"/>
      <c r="N22" s="18"/>
    </row>
    <row r="23" spans="1:14" x14ac:dyDescent="0.25">
      <c r="A23" s="996" t="s">
        <v>563</v>
      </c>
      <c r="B23" s="13">
        <v>21</v>
      </c>
      <c r="C23" s="13"/>
      <c r="D23" s="13"/>
      <c r="E23" s="13"/>
      <c r="F23" s="23"/>
      <c r="G23" s="43"/>
      <c r="H23" s="13"/>
      <c r="I23" s="13"/>
      <c r="J23" s="44"/>
      <c r="K23" s="29"/>
      <c r="L23" s="13"/>
      <c r="M23" s="13"/>
      <c r="N23" s="13"/>
    </row>
    <row r="24" spans="1:14" x14ac:dyDescent="0.25">
      <c r="A24" s="996"/>
      <c r="B24" s="13">
        <v>22</v>
      </c>
      <c r="C24" s="13"/>
      <c r="D24" s="13"/>
      <c r="E24" s="13"/>
      <c r="F24" s="23"/>
      <c r="G24" s="43"/>
      <c r="H24" s="13"/>
      <c r="I24" s="13"/>
      <c r="J24" s="44"/>
      <c r="K24" s="29"/>
      <c r="L24" s="13"/>
      <c r="M24" s="13"/>
      <c r="N24" s="13"/>
    </row>
    <row r="25" spans="1:14" x14ac:dyDescent="0.25">
      <c r="A25" s="996"/>
      <c r="B25" s="13">
        <v>23</v>
      </c>
      <c r="C25" s="13"/>
      <c r="D25" s="13"/>
      <c r="E25" s="13"/>
      <c r="F25" s="23"/>
      <c r="G25" s="43"/>
      <c r="H25" s="13"/>
      <c r="I25" s="13"/>
      <c r="J25" s="44"/>
      <c r="K25" s="29"/>
      <c r="L25" s="13"/>
      <c r="M25" s="13"/>
      <c r="N25" s="13"/>
    </row>
    <row r="26" spans="1:14" x14ac:dyDescent="0.25">
      <c r="A26" s="996"/>
      <c r="B26" s="13">
        <v>24</v>
      </c>
      <c r="C26" s="13"/>
      <c r="D26" s="13"/>
      <c r="E26" s="13"/>
      <c r="F26" s="23"/>
      <c r="G26" s="43"/>
      <c r="H26" s="13"/>
      <c r="I26" s="13"/>
      <c r="J26" s="44"/>
      <c r="K26" s="29"/>
      <c r="L26" s="13"/>
      <c r="M26" s="13"/>
      <c r="N26" s="13"/>
    </row>
    <row r="27" spans="1:14" x14ac:dyDescent="0.25">
      <c r="A27" s="996" t="s">
        <v>564</v>
      </c>
      <c r="B27" s="9">
        <v>25</v>
      </c>
      <c r="C27" s="9"/>
      <c r="D27" s="9"/>
      <c r="E27" s="9"/>
      <c r="F27" s="9"/>
      <c r="G27" s="9"/>
      <c r="H27" s="9"/>
      <c r="I27" s="9"/>
      <c r="J27" s="9"/>
      <c r="K27" s="9"/>
      <c r="L27" s="9"/>
      <c r="M27" s="9"/>
      <c r="N27" s="9"/>
    </row>
    <row r="28" spans="1:14" x14ac:dyDescent="0.25">
      <c r="A28" s="996"/>
      <c r="B28" s="9">
        <v>26</v>
      </c>
      <c r="C28" s="9"/>
      <c r="D28" s="9"/>
      <c r="E28" s="9"/>
      <c r="F28" s="9"/>
      <c r="G28" s="9"/>
      <c r="H28" s="9"/>
      <c r="I28" s="9"/>
      <c r="J28" s="9"/>
      <c r="K28" s="9"/>
      <c r="L28" s="9"/>
      <c r="M28" s="9"/>
      <c r="N28" s="9"/>
    </row>
    <row r="29" spans="1:14" x14ac:dyDescent="0.25">
      <c r="A29" s="996"/>
      <c r="B29" s="9">
        <v>27</v>
      </c>
      <c r="C29" s="9"/>
      <c r="D29" s="9"/>
      <c r="E29" s="9"/>
      <c r="F29" s="9"/>
      <c r="G29" s="9"/>
      <c r="H29" s="9"/>
      <c r="I29" s="9"/>
      <c r="J29" s="9"/>
      <c r="K29" s="9"/>
      <c r="L29" s="9"/>
      <c r="M29" s="9"/>
      <c r="N29" s="9"/>
    </row>
    <row r="30" spans="1:14" x14ac:dyDescent="0.25">
      <c r="A30" s="996"/>
      <c r="B30" s="9">
        <v>28</v>
      </c>
      <c r="C30" s="9"/>
      <c r="D30" s="9"/>
      <c r="E30" s="9"/>
      <c r="F30" s="9"/>
      <c r="G30" s="9"/>
      <c r="H30" s="9"/>
      <c r="I30" s="9"/>
      <c r="J30" s="9"/>
      <c r="K30" s="9"/>
      <c r="L30" s="9"/>
      <c r="M30" s="9"/>
      <c r="N30" s="9"/>
    </row>
    <row r="31" spans="1:14" x14ac:dyDescent="0.25">
      <c r="A31" s="996"/>
      <c r="B31" s="9">
        <v>29</v>
      </c>
      <c r="C31" s="9"/>
      <c r="D31" s="9"/>
      <c r="E31" s="9"/>
      <c r="F31" s="9"/>
      <c r="G31" s="9"/>
      <c r="H31" s="9"/>
      <c r="I31" s="9"/>
      <c r="J31" s="9"/>
      <c r="K31" s="9"/>
      <c r="L31" s="9"/>
      <c r="M31" s="9"/>
      <c r="N31" s="9"/>
    </row>
    <row r="32" spans="1:14" x14ac:dyDescent="0.25">
      <c r="A32" s="996" t="s">
        <v>565</v>
      </c>
      <c r="B32" s="16">
        <v>30</v>
      </c>
      <c r="C32" s="16"/>
      <c r="D32" s="16"/>
      <c r="E32" s="16"/>
      <c r="F32" s="16"/>
      <c r="G32" s="16"/>
      <c r="H32" s="16"/>
      <c r="I32" s="16"/>
      <c r="J32" s="16"/>
      <c r="K32" s="16"/>
      <c r="L32" s="16"/>
      <c r="M32" s="16"/>
      <c r="N32" s="16"/>
    </row>
    <row r="33" spans="1:14" x14ac:dyDescent="0.25">
      <c r="A33" s="996"/>
      <c r="B33" s="16">
        <v>31</v>
      </c>
      <c r="C33" s="16"/>
      <c r="D33" s="16"/>
      <c r="E33" s="16"/>
      <c r="F33" s="16"/>
      <c r="G33" s="16"/>
      <c r="H33" s="16"/>
      <c r="I33" s="16"/>
      <c r="J33" s="16"/>
      <c r="K33" s="16"/>
      <c r="L33" s="16"/>
      <c r="M33" s="16"/>
      <c r="N33" s="16"/>
    </row>
    <row r="34" spans="1:14" x14ac:dyDescent="0.25">
      <c r="A34" s="996"/>
      <c r="B34" s="16">
        <v>32</v>
      </c>
      <c r="C34" s="16"/>
      <c r="D34" s="16"/>
      <c r="E34" s="16"/>
      <c r="F34" s="16"/>
      <c r="G34" s="16"/>
      <c r="H34" s="16"/>
      <c r="I34" s="16"/>
      <c r="J34" s="16"/>
      <c r="K34" s="16"/>
      <c r="L34" s="16"/>
      <c r="M34" s="16"/>
      <c r="N34" s="16"/>
    </row>
    <row r="35" spans="1:14" x14ac:dyDescent="0.25">
      <c r="A35" s="996" t="s">
        <v>566</v>
      </c>
      <c r="B35" s="17">
        <v>33</v>
      </c>
      <c r="C35" s="14"/>
      <c r="D35" s="14"/>
      <c r="E35" s="14"/>
      <c r="F35" s="14"/>
      <c r="G35" s="14"/>
      <c r="H35" s="14"/>
      <c r="I35" s="14"/>
      <c r="J35" s="14"/>
      <c r="K35" s="14"/>
      <c r="L35" s="14"/>
      <c r="M35" s="14"/>
      <c r="N35" s="14"/>
    </row>
    <row r="36" spans="1:14" x14ac:dyDescent="0.25">
      <c r="A36" s="996"/>
      <c r="B36" s="14">
        <v>34</v>
      </c>
      <c r="C36" s="14"/>
      <c r="D36" s="14"/>
      <c r="E36" s="14"/>
      <c r="F36" s="14"/>
      <c r="G36" s="14"/>
      <c r="H36" s="14"/>
      <c r="I36" s="14"/>
      <c r="J36" s="14"/>
      <c r="K36" s="14"/>
      <c r="L36" s="14"/>
      <c r="M36" s="14"/>
      <c r="N36" s="14"/>
    </row>
    <row r="37" spans="1:14" x14ac:dyDescent="0.25">
      <c r="A37" s="996"/>
      <c r="B37" s="45">
        <v>35</v>
      </c>
      <c r="C37" s="14"/>
      <c r="D37" s="14"/>
      <c r="E37" s="14"/>
      <c r="F37" s="14"/>
      <c r="G37" s="14"/>
      <c r="H37" s="14"/>
      <c r="I37" s="14"/>
      <c r="J37" s="14"/>
      <c r="K37" s="14"/>
      <c r="L37" s="14"/>
      <c r="M37" s="14"/>
      <c r="N37" s="14"/>
    </row>
    <row r="38" spans="1:14" x14ac:dyDescent="0.25">
      <c r="A38" s="996" t="s">
        <v>567</v>
      </c>
      <c r="B38" s="8">
        <v>36</v>
      </c>
      <c r="C38" s="8"/>
      <c r="D38" s="8"/>
      <c r="E38" s="8"/>
      <c r="F38" s="8"/>
      <c r="G38" s="8"/>
      <c r="H38" s="8"/>
      <c r="I38" s="8"/>
      <c r="J38" s="8"/>
      <c r="K38" s="8"/>
      <c r="L38" s="8"/>
      <c r="M38" s="8"/>
      <c r="N38" s="8"/>
    </row>
    <row r="39" spans="1:14" x14ac:dyDescent="0.25">
      <c r="A39" s="996"/>
      <c r="B39" s="8">
        <v>37</v>
      </c>
      <c r="C39" s="8"/>
      <c r="D39" s="8"/>
      <c r="E39" s="8"/>
      <c r="F39" s="8"/>
      <c r="G39" s="8"/>
      <c r="H39" s="8"/>
      <c r="I39" s="8"/>
      <c r="J39" s="8"/>
      <c r="K39" s="8"/>
      <c r="L39" s="8"/>
      <c r="M39" s="8"/>
      <c r="N39" s="8"/>
    </row>
    <row r="40" spans="1:14" x14ac:dyDescent="0.25">
      <c r="A40" s="996"/>
      <c r="B40" s="8">
        <v>38</v>
      </c>
      <c r="C40" s="8"/>
      <c r="D40" s="8"/>
      <c r="E40" s="8"/>
      <c r="F40" s="8"/>
      <c r="G40" s="8"/>
      <c r="H40" s="8"/>
      <c r="I40" s="8"/>
      <c r="J40" s="8"/>
      <c r="K40" s="8"/>
      <c r="L40" s="8"/>
      <c r="M40" s="8"/>
      <c r="N40" s="8"/>
    </row>
    <row r="41" spans="1:14" x14ac:dyDescent="0.25">
      <c r="A41" s="997" t="s">
        <v>568</v>
      </c>
      <c r="B41" s="46">
        <v>39</v>
      </c>
      <c r="C41" s="47"/>
      <c r="D41" s="47"/>
      <c r="E41" s="47"/>
      <c r="F41" s="47"/>
      <c r="G41" s="47"/>
      <c r="H41" s="47"/>
      <c r="I41" s="47"/>
      <c r="J41" s="47"/>
      <c r="K41" s="47"/>
      <c r="L41" s="47"/>
      <c r="M41" s="47"/>
      <c r="N41" s="47"/>
    </row>
    <row r="42" spans="1:14" x14ac:dyDescent="0.25">
      <c r="A42" s="997"/>
      <c r="B42" s="47">
        <v>40</v>
      </c>
      <c r="C42" s="47"/>
      <c r="D42" s="47"/>
      <c r="E42" s="47"/>
      <c r="F42" s="47"/>
      <c r="G42" s="47"/>
      <c r="H42" s="47"/>
      <c r="I42" s="47"/>
      <c r="J42" s="47"/>
      <c r="K42" s="47"/>
      <c r="L42" s="47"/>
      <c r="M42" s="47"/>
      <c r="N42" s="47"/>
    </row>
    <row r="43" spans="1:14" x14ac:dyDescent="0.25">
      <c r="A43" s="997"/>
      <c r="B43" s="47">
        <v>41</v>
      </c>
      <c r="C43" s="47"/>
      <c r="D43" s="47"/>
      <c r="E43" s="47"/>
      <c r="F43" s="47"/>
      <c r="G43" s="47"/>
      <c r="H43" s="47"/>
      <c r="I43" s="47"/>
      <c r="J43" s="47"/>
      <c r="K43" s="47"/>
      <c r="L43" s="47"/>
      <c r="M43" s="47"/>
      <c r="N43" s="47"/>
    </row>
    <row r="44" spans="1:14" x14ac:dyDescent="0.25">
      <c r="A44" s="997"/>
      <c r="B44" s="48">
        <v>42</v>
      </c>
      <c r="C44" s="47"/>
      <c r="D44" s="47"/>
      <c r="E44" s="47"/>
      <c r="F44" s="47"/>
      <c r="G44" s="47"/>
      <c r="H44" s="47"/>
      <c r="I44" s="47"/>
      <c r="J44" s="47"/>
      <c r="K44" s="47"/>
      <c r="L44" s="47"/>
      <c r="M44" s="47"/>
      <c r="N44" s="47"/>
    </row>
    <row r="45" spans="1:14" x14ac:dyDescent="0.25">
      <c r="A45" s="995" t="s">
        <v>569</v>
      </c>
      <c r="B45" s="12">
        <v>43</v>
      </c>
      <c r="C45" s="12"/>
      <c r="D45" s="12"/>
      <c r="E45" s="12"/>
      <c r="F45" s="12"/>
      <c r="G45" s="12"/>
      <c r="H45" s="12"/>
      <c r="I45" s="12"/>
      <c r="J45" s="12"/>
      <c r="K45" s="12"/>
      <c r="L45" s="12"/>
      <c r="M45" s="12"/>
      <c r="N45" s="12"/>
    </row>
    <row r="46" spans="1:14" x14ac:dyDescent="0.25">
      <c r="A46" s="995"/>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A74"/>
  <sheetViews>
    <sheetView showGridLines="0" topLeftCell="BA14" zoomScale="114" zoomScaleNormal="60" workbookViewId="0">
      <selection activeCell="BA14" sqref="BA1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8</v>
      </c>
      <c r="D7" s="527" t="s">
        <v>9</v>
      </c>
      <c r="E7" s="545"/>
      <c r="F7" s="545"/>
      <c r="G7" s="545"/>
      <c r="H7" s="528"/>
      <c r="I7" s="548">
        <v>45020</v>
      </c>
      <c r="J7" s="549"/>
      <c r="K7" s="527" t="s">
        <v>10</v>
      </c>
      <c r="L7" s="528"/>
      <c r="M7" s="554" t="s">
        <v>11</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12</v>
      </c>
      <c r="N8" s="581"/>
      <c r="O8" s="582"/>
      <c r="P8" s="583"/>
      <c r="Q8" s="54"/>
      <c r="R8" s="54"/>
      <c r="S8" s="54"/>
      <c r="T8" s="54"/>
      <c r="U8" s="54"/>
      <c r="V8" s="54"/>
      <c r="W8" s="54"/>
      <c r="X8" s="54"/>
      <c r="Y8" s="54"/>
      <c r="Z8" s="55"/>
      <c r="AA8" s="54"/>
      <c r="AB8" s="54"/>
      <c r="AC8" s="60"/>
      <c r="AD8" s="61"/>
    </row>
    <row r="9" spans="1:53" ht="15.75" customHeight="1" thickBot="1" x14ac:dyDescent="0.3">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9"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BA16" s="309"/>
    </row>
    <row r="17" spans="1:53" s="76" customFormat="1" ht="37.5" customHeight="1" thickBot="1" x14ac:dyDescent="0.3">
      <c r="A17" s="512" t="s">
        <v>23</v>
      </c>
      <c r="B17" s="513"/>
      <c r="C17" s="514" t="s">
        <v>92</v>
      </c>
      <c r="D17" s="515"/>
      <c r="E17" s="515"/>
      <c r="F17" s="515"/>
      <c r="G17" s="515"/>
      <c r="H17" s="515"/>
      <c r="I17" s="515"/>
      <c r="J17" s="515"/>
      <c r="K17" s="515"/>
      <c r="L17" s="515"/>
      <c r="M17" s="515"/>
      <c r="N17" s="515"/>
      <c r="O17" s="515"/>
      <c r="P17" s="515"/>
      <c r="Q17" s="516"/>
      <c r="R17" s="501" t="s">
        <v>25</v>
      </c>
      <c r="S17" s="502"/>
      <c r="T17" s="502"/>
      <c r="U17" s="502"/>
      <c r="V17" s="503"/>
      <c r="W17" s="517">
        <v>1</v>
      </c>
      <c r="X17" s="518"/>
      <c r="Y17" s="502" t="s">
        <v>26</v>
      </c>
      <c r="Z17" s="502"/>
      <c r="AA17" s="502"/>
      <c r="AB17" s="503"/>
      <c r="AC17" s="519">
        <v>0.2</v>
      </c>
      <c r="AD17" s="520"/>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59"/>
      <c r="B21" s="54"/>
      <c r="C21" s="157" t="s">
        <v>30</v>
      </c>
      <c r="D21" s="158" t="s">
        <v>31</v>
      </c>
      <c r="E21" s="158" t="s">
        <v>8</v>
      </c>
      <c r="F21" s="158" t="s">
        <v>32</v>
      </c>
      <c r="G21" s="158" t="s">
        <v>33</v>
      </c>
      <c r="H21" s="158" t="s">
        <v>34</v>
      </c>
      <c r="I21" s="158" t="s">
        <v>35</v>
      </c>
      <c r="J21" s="158" t="s">
        <v>36</v>
      </c>
      <c r="K21" s="158" t="s">
        <v>37</v>
      </c>
      <c r="L21" s="158" t="s">
        <v>38</v>
      </c>
      <c r="M21" s="158" t="s">
        <v>39</v>
      </c>
      <c r="N21" s="158" t="s">
        <v>40</v>
      </c>
      <c r="O21" s="158" t="s">
        <v>41</v>
      </c>
      <c r="P21" s="159" t="s">
        <v>42</v>
      </c>
      <c r="Q21" s="157" t="s">
        <v>30</v>
      </c>
      <c r="R21" s="158" t="s">
        <v>31</v>
      </c>
      <c r="S21" s="158" t="s">
        <v>8</v>
      </c>
      <c r="T21" s="158" t="s">
        <v>32</v>
      </c>
      <c r="U21" s="158" t="s">
        <v>33</v>
      </c>
      <c r="V21" s="158" t="s">
        <v>34</v>
      </c>
      <c r="W21" s="158" t="s">
        <v>35</v>
      </c>
      <c r="X21" s="158" t="s">
        <v>36</v>
      </c>
      <c r="Y21" s="158" t="s">
        <v>37</v>
      </c>
      <c r="Z21" s="158" t="s">
        <v>38</v>
      </c>
      <c r="AA21" s="158" t="s">
        <v>39</v>
      </c>
      <c r="AB21" s="158" t="s">
        <v>40</v>
      </c>
      <c r="AC21" s="158" t="s">
        <v>41</v>
      </c>
      <c r="AD21" s="159" t="s">
        <v>42</v>
      </c>
      <c r="AE21" s="3"/>
      <c r="AF21" s="3"/>
      <c r="BA21" s="309"/>
    </row>
    <row r="22" spans="1:53" ht="32.1" customHeight="1" x14ac:dyDescent="0.25">
      <c r="A22" s="452" t="s">
        <v>43</v>
      </c>
      <c r="B22" s="454"/>
      <c r="C22" s="178"/>
      <c r="D22" s="176"/>
      <c r="E22" s="176"/>
      <c r="F22" s="176"/>
      <c r="G22" s="176"/>
      <c r="H22" s="176"/>
      <c r="I22" s="176"/>
      <c r="J22" s="176"/>
      <c r="K22" s="176"/>
      <c r="L22" s="176"/>
      <c r="M22" s="176"/>
      <c r="N22" s="176"/>
      <c r="O22" s="176">
        <f>SUM(C22:N22)</f>
        <v>0</v>
      </c>
      <c r="P22" s="179"/>
      <c r="Q22" s="178">
        <v>425475150</v>
      </c>
      <c r="R22" s="176"/>
      <c r="S22" s="176">
        <v>19186925</v>
      </c>
      <c r="T22" s="176">
        <f>35000000+21559511</f>
        <v>56559511</v>
      </c>
      <c r="U22" s="176"/>
      <c r="V22" s="176">
        <f>2139477+34249272</f>
        <v>36388749</v>
      </c>
      <c r="W22" s="176"/>
      <c r="X22" s="176"/>
      <c r="Y22" s="176"/>
      <c r="Z22" s="176"/>
      <c r="AA22" s="176"/>
      <c r="AB22" s="176"/>
      <c r="AC22" s="176">
        <f>SUM(Q22:AB22)</f>
        <v>537610335</v>
      </c>
      <c r="AD22" s="183"/>
      <c r="AE22" s="3"/>
      <c r="AF22" s="3"/>
    </row>
    <row r="23" spans="1:53" ht="32.1" customHeight="1" x14ac:dyDescent="0.25">
      <c r="A23" s="453" t="s">
        <v>44</v>
      </c>
      <c r="B23" s="455"/>
      <c r="C23" s="174"/>
      <c r="D23" s="173"/>
      <c r="E23" s="173"/>
      <c r="F23" s="173"/>
      <c r="G23" s="173"/>
      <c r="H23" s="173"/>
      <c r="I23" s="173"/>
      <c r="J23" s="173"/>
      <c r="K23" s="173"/>
      <c r="L23" s="173"/>
      <c r="M23" s="173"/>
      <c r="N23" s="173"/>
      <c r="O23" s="173">
        <f>SUM(C23:N23)</f>
        <v>0</v>
      </c>
      <c r="P23" s="191" t="str">
        <f>IFERROR(O23/(SUMIF(C23:N23,"&gt;0",C22:N22))," ")</f>
        <v xml:space="preserve"> </v>
      </c>
      <c r="Q23" s="178">
        <v>45618029</v>
      </c>
      <c r="R23" s="178">
        <v>274389683</v>
      </c>
      <c r="S23" s="178">
        <v>37936095</v>
      </c>
      <c r="T23" s="173"/>
      <c r="U23" s="173"/>
      <c r="V23" s="173"/>
      <c r="W23" s="173"/>
      <c r="X23" s="173"/>
      <c r="Y23" s="173"/>
      <c r="Z23" s="173"/>
      <c r="AA23" s="173"/>
      <c r="AB23" s="173"/>
      <c r="AC23" s="173">
        <f>SUM(Q23:AB23)</f>
        <v>357943807</v>
      </c>
      <c r="AD23" s="181">
        <f>+AC23/AC22</f>
        <v>0.66580529371705621</v>
      </c>
      <c r="AE23" s="3"/>
      <c r="AF23" s="3"/>
    </row>
    <row r="24" spans="1:53" ht="32.1" customHeight="1" x14ac:dyDescent="0.25">
      <c r="A24" s="453" t="s">
        <v>45</v>
      </c>
      <c r="B24" s="455"/>
      <c r="C24" s="174">
        <f>25110242+1804187+19304540</f>
        <v>46218969</v>
      </c>
      <c r="D24" s="173">
        <f>1749515+3375000+3750000+461422+1166666+618000+432600+475860+4505045</f>
        <v>16534108</v>
      </c>
      <c r="E24" s="173">
        <v>4956875</v>
      </c>
      <c r="F24" s="173">
        <v>5038625</v>
      </c>
      <c r="G24" s="173"/>
      <c r="H24" s="173"/>
      <c r="I24" s="173"/>
      <c r="J24" s="173"/>
      <c r="K24" s="173"/>
      <c r="L24" s="173"/>
      <c r="M24" s="173"/>
      <c r="N24" s="173"/>
      <c r="O24" s="206">
        <f>SUM(C24:N24)</f>
        <v>72748577</v>
      </c>
      <c r="P24" s="177"/>
      <c r="Q24" s="174"/>
      <c r="R24" s="173">
        <v>18502650</v>
      </c>
      <c r="S24" s="173">
        <v>36997500</v>
      </c>
      <c r="T24" s="173">
        <f>36997500+1918693</f>
        <v>38916193</v>
      </c>
      <c r="U24" s="173">
        <f>36997500+1918693+3888889+21559511</f>
        <v>64364593</v>
      </c>
      <c r="V24" s="173">
        <f>36997500+1918693+3888889</f>
        <v>42805082</v>
      </c>
      <c r="W24" s="173">
        <f>36997500+1918693+2139477+3888889+11416424</f>
        <v>56360983</v>
      </c>
      <c r="X24" s="173">
        <f>36997500+1918693+3888889</f>
        <v>42805082</v>
      </c>
      <c r="Y24" s="173">
        <f>36997500+1918692+3888889+11416424</f>
        <v>54221505</v>
      </c>
      <c r="Z24" s="173">
        <f>36997500+1918692+3888889</f>
        <v>42805081</v>
      </c>
      <c r="AA24" s="173">
        <f>36997500+1918692+3888889+11416424</f>
        <v>54221505</v>
      </c>
      <c r="AB24" s="173">
        <f>73995000+3837384+7777777</f>
        <v>85610161</v>
      </c>
      <c r="AC24" s="173">
        <f>SUM(Q24:AB24)</f>
        <v>537610335</v>
      </c>
      <c r="AD24" s="181"/>
      <c r="AE24" s="3"/>
      <c r="AF24" s="3"/>
    </row>
    <row r="25" spans="1:53" ht="32.1" customHeight="1" x14ac:dyDescent="0.25">
      <c r="A25" s="481" t="s">
        <v>46</v>
      </c>
      <c r="B25" s="487"/>
      <c r="C25" s="174">
        <v>2894648</v>
      </c>
      <c r="D25" s="174">
        <v>31987653</v>
      </c>
      <c r="E25" s="174">
        <v>22040035</v>
      </c>
      <c r="F25" s="175"/>
      <c r="G25" s="175"/>
      <c r="H25" s="175"/>
      <c r="I25" s="175"/>
      <c r="J25" s="175"/>
      <c r="K25" s="175"/>
      <c r="L25" s="175"/>
      <c r="M25" s="175"/>
      <c r="N25" s="175"/>
      <c r="O25" s="175">
        <f>SUM(C25:N25)</f>
        <v>56922336</v>
      </c>
      <c r="P25" s="180">
        <f>+O25/O24</f>
        <v>0.78245291313395726</v>
      </c>
      <c r="Q25" s="178" t="s">
        <v>48</v>
      </c>
      <c r="R25" s="178">
        <v>944067</v>
      </c>
      <c r="S25" s="178">
        <v>14912614</v>
      </c>
      <c r="T25" s="175"/>
      <c r="U25" s="175"/>
      <c r="V25" s="175"/>
      <c r="W25" s="175"/>
      <c r="X25" s="175"/>
      <c r="Y25" s="175"/>
      <c r="Z25" s="175"/>
      <c r="AA25" s="175"/>
      <c r="AB25" s="175"/>
      <c r="AC25" s="175">
        <f>SUM(Q25:AB25)</f>
        <v>15856681</v>
      </c>
      <c r="AD25" s="182">
        <f>+AC25/AC23</f>
        <v>4.4299358418568753E-2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thickBot="1" x14ac:dyDescent="0.3">
      <c r="A30" s="85" t="s">
        <v>93</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3.1" customHeight="1" x14ac:dyDescent="0.25">
      <c r="A32" s="452" t="s">
        <v>56</v>
      </c>
      <c r="B32" s="456" t="s">
        <v>57</v>
      </c>
      <c r="C32" s="456" t="s">
        <v>51</v>
      </c>
      <c r="D32" s="480" t="s">
        <v>58</v>
      </c>
      <c r="E32" s="456"/>
      <c r="F32" s="456"/>
      <c r="G32" s="456"/>
      <c r="H32" s="456"/>
      <c r="I32" s="456"/>
      <c r="J32" s="456"/>
      <c r="K32" s="456"/>
      <c r="L32" s="456"/>
      <c r="M32" s="456"/>
      <c r="N32" s="456"/>
      <c r="O32" s="456"/>
      <c r="P32" s="457"/>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thickBot="1" x14ac:dyDescent="0.3">
      <c r="A33" s="453"/>
      <c r="B33" s="478"/>
      <c r="C33" s="479"/>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53.25" customHeight="1" x14ac:dyDescent="0.25">
      <c r="A34" s="462" t="s">
        <v>93</v>
      </c>
      <c r="B34" s="464">
        <v>0.2</v>
      </c>
      <c r="C34" s="102" t="s">
        <v>64</v>
      </c>
      <c r="D34" s="258">
        <f>D69</f>
        <v>0</v>
      </c>
      <c r="E34" s="259">
        <f t="shared" ref="E34:O34" si="0">E69</f>
        <v>9.9750000000000005E-2</v>
      </c>
      <c r="F34" s="259">
        <f t="shared" si="0"/>
        <v>7.5250000000000011E-2</v>
      </c>
      <c r="G34" s="259">
        <f t="shared" si="0"/>
        <v>0.11675000000000001</v>
      </c>
      <c r="H34" s="259">
        <f t="shared" si="0"/>
        <v>7.5250000000000011E-2</v>
      </c>
      <c r="I34" s="259">
        <f t="shared" si="0"/>
        <v>0.11675000000000001</v>
      </c>
      <c r="J34" s="259">
        <f t="shared" si="0"/>
        <v>7.5250000000000011E-2</v>
      </c>
      <c r="K34" s="259">
        <f t="shared" si="0"/>
        <v>0.11675000000000001</v>
      </c>
      <c r="L34" s="259">
        <f t="shared" si="0"/>
        <v>7.5250000000000011E-2</v>
      </c>
      <c r="M34" s="259">
        <f t="shared" si="0"/>
        <v>0.11675000000000001</v>
      </c>
      <c r="N34" s="259">
        <f t="shared" si="0"/>
        <v>7.325000000000001E-2</v>
      </c>
      <c r="O34" s="260">
        <f t="shared" si="0"/>
        <v>5.9000000000000004E-2</v>
      </c>
      <c r="P34" s="254">
        <f>SUM(D34:O34)</f>
        <v>1.0000000000000002</v>
      </c>
      <c r="Q34" s="447" t="s">
        <v>94</v>
      </c>
      <c r="R34" s="447"/>
      <c r="S34" s="466"/>
      <c r="T34" s="447" t="s">
        <v>95</v>
      </c>
      <c r="U34" s="447"/>
      <c r="V34" s="466"/>
      <c r="W34" s="615" t="s">
        <v>96</v>
      </c>
      <c r="X34" s="616"/>
      <c r="Y34" s="616"/>
      <c r="Z34" s="617"/>
      <c r="AA34" s="446"/>
      <c r="AB34" s="447"/>
      <c r="AC34" s="447"/>
      <c r="AD34" s="448"/>
      <c r="AG34" s="87"/>
      <c r="AH34" s="87"/>
      <c r="AI34" s="87"/>
      <c r="AJ34" s="87"/>
      <c r="AK34" s="87"/>
      <c r="AL34" s="87"/>
      <c r="AM34" s="87"/>
      <c r="AN34" s="87"/>
      <c r="AO34" s="87"/>
    </row>
    <row r="35" spans="1:41" ht="53.25" customHeight="1" thickBot="1" x14ac:dyDescent="0.3">
      <c r="A35" s="463"/>
      <c r="B35" s="465"/>
      <c r="C35" s="91" t="s">
        <v>68</v>
      </c>
      <c r="D35" s="256">
        <f>D66</f>
        <v>0</v>
      </c>
      <c r="E35" s="246">
        <f t="shared" ref="E35:O35" si="1">E66</f>
        <v>0.10150000000000001</v>
      </c>
      <c r="F35" s="246">
        <f t="shared" si="1"/>
        <v>7.5250000000000011E-2</v>
      </c>
      <c r="G35" s="246">
        <f t="shared" si="1"/>
        <v>0</v>
      </c>
      <c r="H35" s="246">
        <f t="shared" si="1"/>
        <v>0</v>
      </c>
      <c r="I35" s="246">
        <f t="shared" si="1"/>
        <v>0</v>
      </c>
      <c r="J35" s="246">
        <f t="shared" si="1"/>
        <v>0</v>
      </c>
      <c r="K35" s="246">
        <f t="shared" si="1"/>
        <v>0</v>
      </c>
      <c r="L35" s="246">
        <f t="shared" si="1"/>
        <v>0</v>
      </c>
      <c r="M35" s="246">
        <f t="shared" si="1"/>
        <v>0</v>
      </c>
      <c r="N35" s="246">
        <f t="shared" si="1"/>
        <v>0</v>
      </c>
      <c r="O35" s="247">
        <f t="shared" si="1"/>
        <v>0</v>
      </c>
      <c r="P35" s="255">
        <f>SUM(D35:O35)</f>
        <v>0.17675000000000002</v>
      </c>
      <c r="Q35" s="450"/>
      <c r="R35" s="450"/>
      <c r="S35" s="467"/>
      <c r="T35" s="450"/>
      <c r="U35" s="450"/>
      <c r="V35" s="467"/>
      <c r="W35" s="618"/>
      <c r="X35" s="619"/>
      <c r="Y35" s="619"/>
      <c r="Z35" s="620"/>
      <c r="AA35" s="449"/>
      <c r="AB35" s="450"/>
      <c r="AC35" s="450"/>
      <c r="AD35" s="451"/>
      <c r="AE35" s="49"/>
      <c r="AG35" s="87"/>
      <c r="AH35" s="87"/>
      <c r="AI35" s="87"/>
      <c r="AJ35" s="87"/>
      <c r="AK35" s="87"/>
      <c r="AL35" s="87"/>
      <c r="AM35" s="87"/>
      <c r="AN35" s="87"/>
      <c r="AO35" s="87"/>
    </row>
    <row r="36" spans="1:41" ht="26.1" customHeight="1" x14ac:dyDescent="0.25">
      <c r="A36" s="452" t="s">
        <v>69</v>
      </c>
      <c r="B36" s="456" t="s">
        <v>70</v>
      </c>
      <c r="C36" s="480" t="s">
        <v>71</v>
      </c>
      <c r="D36" s="456"/>
      <c r="E36" s="456"/>
      <c r="F36" s="456"/>
      <c r="G36" s="456"/>
      <c r="H36" s="456"/>
      <c r="I36" s="456"/>
      <c r="J36" s="456"/>
      <c r="K36" s="456"/>
      <c r="L36" s="456"/>
      <c r="M36" s="456"/>
      <c r="N36" s="456"/>
      <c r="O36" s="456"/>
      <c r="P36" s="457"/>
      <c r="Q36" s="613" t="s">
        <v>72</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thickBot="1" x14ac:dyDescent="0.3">
      <c r="A37" s="481"/>
      <c r="B37" s="482"/>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14"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46.5" customHeight="1" x14ac:dyDescent="0.25">
      <c r="A38" s="599" t="s">
        <v>97</v>
      </c>
      <c r="B38" s="601">
        <v>0.08</v>
      </c>
      <c r="C38" s="211" t="s">
        <v>64</v>
      </c>
      <c r="D38" s="269">
        <v>0</v>
      </c>
      <c r="E38" s="269">
        <v>0.06</v>
      </c>
      <c r="F38" s="205">
        <v>0.105</v>
      </c>
      <c r="G38" s="205">
        <v>0.105</v>
      </c>
      <c r="H38" s="205">
        <v>0.105</v>
      </c>
      <c r="I38" s="205">
        <v>0.105</v>
      </c>
      <c r="J38" s="205">
        <v>0.105</v>
      </c>
      <c r="K38" s="205">
        <v>0.105</v>
      </c>
      <c r="L38" s="205">
        <v>0.105</v>
      </c>
      <c r="M38" s="205">
        <v>0.105</v>
      </c>
      <c r="N38" s="205">
        <v>0.1</v>
      </c>
      <c r="O38" s="205">
        <v>0</v>
      </c>
      <c r="P38" s="249">
        <f t="shared" ref="P38:P43" si="2">SUM(D38:O38)</f>
        <v>0.99999999999999989</v>
      </c>
      <c r="Q38" s="442" t="s">
        <v>98</v>
      </c>
      <c r="R38" s="442"/>
      <c r="S38" s="442"/>
      <c r="T38" s="442"/>
      <c r="U38" s="442"/>
      <c r="V38" s="442"/>
      <c r="W38" s="442"/>
      <c r="X38" s="442"/>
      <c r="Y38" s="442"/>
      <c r="Z38" s="442"/>
      <c r="AA38" s="442"/>
      <c r="AB38" s="442"/>
      <c r="AC38" s="442"/>
      <c r="AD38" s="443"/>
      <c r="AE38" s="97"/>
      <c r="AG38" s="98"/>
      <c r="AH38" s="98"/>
      <c r="AI38" s="98"/>
      <c r="AJ38" s="98"/>
      <c r="AK38" s="98"/>
      <c r="AL38" s="98"/>
      <c r="AM38" s="98"/>
      <c r="AN38" s="98"/>
      <c r="AO38" s="98"/>
    </row>
    <row r="39" spans="1:41" ht="46.5" customHeight="1" x14ac:dyDescent="0.25">
      <c r="A39" s="600"/>
      <c r="B39" s="602"/>
      <c r="C39" s="212" t="s">
        <v>68</v>
      </c>
      <c r="D39" s="274"/>
      <c r="E39" s="270">
        <v>0.06</v>
      </c>
      <c r="F39" s="270">
        <v>0.105</v>
      </c>
      <c r="G39" s="100"/>
      <c r="H39" s="100"/>
      <c r="I39" s="100"/>
      <c r="J39" s="100"/>
      <c r="K39" s="100"/>
      <c r="L39" s="100"/>
      <c r="M39" s="100"/>
      <c r="N39" s="100"/>
      <c r="O39" s="100"/>
      <c r="P39" s="250">
        <f t="shared" si="2"/>
        <v>0.16499999999999998</v>
      </c>
      <c r="Q39" s="442"/>
      <c r="R39" s="442"/>
      <c r="S39" s="442"/>
      <c r="T39" s="442"/>
      <c r="U39" s="442"/>
      <c r="V39" s="442"/>
      <c r="W39" s="442"/>
      <c r="X39" s="442"/>
      <c r="Y39" s="442"/>
      <c r="Z39" s="442"/>
      <c r="AA39" s="442"/>
      <c r="AB39" s="442"/>
      <c r="AC39" s="442"/>
      <c r="AD39" s="443"/>
      <c r="AE39" s="97"/>
    </row>
    <row r="40" spans="1:41" ht="46.5" customHeight="1" x14ac:dyDescent="0.25">
      <c r="A40" s="438" t="s">
        <v>99</v>
      </c>
      <c r="B40" s="610">
        <v>7.0000000000000007E-2</v>
      </c>
      <c r="C40" s="213" t="s">
        <v>64</v>
      </c>
      <c r="D40" s="275">
        <v>0</v>
      </c>
      <c r="E40" s="207">
        <v>9.5000000000000001E-2</v>
      </c>
      <c r="F40" s="207">
        <v>9.5000000000000001E-2</v>
      </c>
      <c r="G40" s="207">
        <v>9.5000000000000001E-2</v>
      </c>
      <c r="H40" s="207">
        <v>9.5000000000000001E-2</v>
      </c>
      <c r="I40" s="207">
        <v>9.5000000000000001E-2</v>
      </c>
      <c r="J40" s="207">
        <v>9.5000000000000001E-2</v>
      </c>
      <c r="K40" s="207">
        <v>9.5000000000000001E-2</v>
      </c>
      <c r="L40" s="207">
        <v>9.5000000000000001E-2</v>
      </c>
      <c r="M40" s="207">
        <v>9.5000000000000001E-2</v>
      </c>
      <c r="N40" s="207">
        <v>9.5000000000000001E-2</v>
      </c>
      <c r="O40" s="207">
        <v>0.05</v>
      </c>
      <c r="P40" s="250">
        <f t="shared" si="2"/>
        <v>0.99999999999999989</v>
      </c>
      <c r="Q40" s="611" t="s">
        <v>100</v>
      </c>
      <c r="R40" s="611"/>
      <c r="S40" s="611"/>
      <c r="T40" s="611"/>
      <c r="U40" s="611"/>
      <c r="V40" s="611"/>
      <c r="W40" s="611"/>
      <c r="X40" s="611"/>
      <c r="Y40" s="611"/>
      <c r="Z40" s="611"/>
      <c r="AA40" s="611"/>
      <c r="AB40" s="611"/>
      <c r="AC40" s="611"/>
      <c r="AD40" s="612"/>
      <c r="AE40" s="97"/>
    </row>
    <row r="41" spans="1:41" ht="46.5" customHeight="1" x14ac:dyDescent="0.25">
      <c r="A41" s="600"/>
      <c r="B41" s="602"/>
      <c r="C41" s="212" t="s">
        <v>68</v>
      </c>
      <c r="D41" s="274"/>
      <c r="E41" s="270">
        <v>0.1</v>
      </c>
      <c r="F41" s="270">
        <v>9.5000000000000001E-2</v>
      </c>
      <c r="G41" s="100"/>
      <c r="H41" s="100"/>
      <c r="I41" s="100"/>
      <c r="J41" s="100"/>
      <c r="K41" s="100"/>
      <c r="L41" s="100"/>
      <c r="M41" s="100"/>
      <c r="N41" s="100"/>
      <c r="O41" s="100"/>
      <c r="P41" s="250">
        <f t="shared" si="2"/>
        <v>0.19500000000000001</v>
      </c>
      <c r="Q41" s="442"/>
      <c r="R41" s="442"/>
      <c r="S41" s="442"/>
      <c r="T41" s="442"/>
      <c r="U41" s="442"/>
      <c r="V41" s="442"/>
      <c r="W41" s="442"/>
      <c r="X41" s="442"/>
      <c r="Y41" s="442"/>
      <c r="Z41" s="442"/>
      <c r="AA41" s="442"/>
      <c r="AB41" s="442"/>
      <c r="AC41" s="442"/>
      <c r="AD41" s="443"/>
      <c r="AE41" s="97"/>
    </row>
    <row r="42" spans="1:41" ht="46.5" customHeight="1" x14ac:dyDescent="0.25">
      <c r="A42" s="603" t="s">
        <v>101</v>
      </c>
      <c r="B42" s="601">
        <v>0.05</v>
      </c>
      <c r="C42" s="213" t="s">
        <v>64</v>
      </c>
      <c r="D42" s="275">
        <v>0</v>
      </c>
      <c r="E42" s="275">
        <v>0.17</v>
      </c>
      <c r="F42" s="207">
        <v>0</v>
      </c>
      <c r="G42" s="207">
        <v>0.16600000000000001</v>
      </c>
      <c r="H42" s="207">
        <v>0</v>
      </c>
      <c r="I42" s="207">
        <v>0.16600000000000001</v>
      </c>
      <c r="J42" s="207">
        <v>0</v>
      </c>
      <c r="K42" s="207">
        <v>0.16600000000000001</v>
      </c>
      <c r="L42" s="207">
        <v>0</v>
      </c>
      <c r="M42" s="207">
        <v>0.16600000000000001</v>
      </c>
      <c r="N42" s="207">
        <v>0</v>
      </c>
      <c r="O42" s="207">
        <v>0.16600000000000001</v>
      </c>
      <c r="P42" s="250">
        <f t="shared" si="2"/>
        <v>1</v>
      </c>
      <c r="Q42" s="606" t="s">
        <v>102</v>
      </c>
      <c r="R42" s="606"/>
      <c r="S42" s="606"/>
      <c r="T42" s="606"/>
      <c r="U42" s="606"/>
      <c r="V42" s="606"/>
      <c r="W42" s="606"/>
      <c r="X42" s="606"/>
      <c r="Y42" s="606"/>
      <c r="Z42" s="606"/>
      <c r="AA42" s="606"/>
      <c r="AB42" s="606"/>
      <c r="AC42" s="606"/>
      <c r="AD42" s="607"/>
      <c r="AE42" s="97"/>
    </row>
    <row r="43" spans="1:41" ht="46.5" customHeight="1" thickBot="1" x14ac:dyDescent="0.3">
      <c r="A43" s="604"/>
      <c r="B43" s="605"/>
      <c r="C43" s="267" t="s">
        <v>68</v>
      </c>
      <c r="D43" s="278"/>
      <c r="E43" s="271">
        <v>0.17</v>
      </c>
      <c r="F43" s="105">
        <v>0</v>
      </c>
      <c r="G43" s="105"/>
      <c r="H43" s="105"/>
      <c r="I43" s="105"/>
      <c r="J43" s="105"/>
      <c r="K43" s="105"/>
      <c r="L43" s="105"/>
      <c r="M43" s="105"/>
      <c r="N43" s="105"/>
      <c r="O43" s="105"/>
      <c r="P43" s="251">
        <f t="shared" si="2"/>
        <v>0.17</v>
      </c>
      <c r="Q43" s="608"/>
      <c r="R43" s="608"/>
      <c r="S43" s="608"/>
      <c r="T43" s="608"/>
      <c r="U43" s="608"/>
      <c r="V43" s="608"/>
      <c r="W43" s="608"/>
      <c r="X43" s="608"/>
      <c r="Y43" s="608"/>
      <c r="Z43" s="608"/>
      <c r="AA43" s="608"/>
      <c r="AB43" s="608"/>
      <c r="AC43" s="608"/>
      <c r="AD43" s="609"/>
      <c r="AE43" s="97"/>
    </row>
    <row r="44" spans="1:41" x14ac:dyDescent="0.25">
      <c r="A44" s="50" t="s">
        <v>90</v>
      </c>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 xml:space="preserve">13. Implementar los talleres de cambio cultural </v>
      </c>
      <c r="B57" s="597">
        <f>B38</f>
        <v>0.08</v>
      </c>
      <c r="C57" s="218" t="s">
        <v>64</v>
      </c>
      <c r="D57" s="219">
        <f>D38*$B$38/$P$38</f>
        <v>0</v>
      </c>
      <c r="E57" s="219">
        <f t="shared" ref="D57:O58" si="3">E38*$B$38/$P$38</f>
        <v>4.8000000000000004E-3</v>
      </c>
      <c r="F57" s="219">
        <f t="shared" si="3"/>
        <v>8.4000000000000012E-3</v>
      </c>
      <c r="G57" s="219">
        <f t="shared" si="3"/>
        <v>8.4000000000000012E-3</v>
      </c>
      <c r="H57" s="219">
        <f t="shared" si="3"/>
        <v>8.4000000000000012E-3</v>
      </c>
      <c r="I57" s="219">
        <f t="shared" si="3"/>
        <v>8.4000000000000012E-3</v>
      </c>
      <c r="J57" s="219">
        <f t="shared" si="3"/>
        <v>8.4000000000000012E-3</v>
      </c>
      <c r="K57" s="219">
        <f t="shared" si="3"/>
        <v>8.4000000000000012E-3</v>
      </c>
      <c r="L57" s="219">
        <f t="shared" si="3"/>
        <v>8.4000000000000012E-3</v>
      </c>
      <c r="M57" s="219">
        <f t="shared" si="3"/>
        <v>8.4000000000000012E-3</v>
      </c>
      <c r="N57" s="219">
        <f t="shared" si="3"/>
        <v>8.0000000000000019E-3</v>
      </c>
      <c r="O57" s="219">
        <f t="shared" si="3"/>
        <v>0</v>
      </c>
      <c r="P57" s="220">
        <f t="shared" ref="P57:P62" si="4">SUM(D57:O57)</f>
        <v>8.0000000000000029E-2</v>
      </c>
      <c r="Q57" s="221">
        <v>0.05</v>
      </c>
      <c r="R57" s="222">
        <f t="shared" ref="R57:R65" si="5">+P57-Q57</f>
        <v>3.0000000000000027E-2</v>
      </c>
      <c r="S57" s="216"/>
      <c r="T57" s="216"/>
      <c r="U57" s="216"/>
      <c r="V57" s="216"/>
      <c r="W57" s="216"/>
      <c r="X57" s="216"/>
      <c r="Y57" s="216"/>
      <c r="Z57" s="216"/>
      <c r="AA57" s="216"/>
      <c r="AB57" s="216"/>
      <c r="AC57" s="216"/>
      <c r="AD57" s="216"/>
    </row>
    <row r="58" spans="1:30" x14ac:dyDescent="0.25">
      <c r="A58" s="596"/>
      <c r="B58" s="598"/>
      <c r="C58" s="223" t="s">
        <v>68</v>
      </c>
      <c r="D58" s="224">
        <f t="shared" si="3"/>
        <v>0</v>
      </c>
      <c r="E58" s="224">
        <f t="shared" si="3"/>
        <v>4.8000000000000004E-3</v>
      </c>
      <c r="F58" s="224">
        <f t="shared" si="3"/>
        <v>8.4000000000000012E-3</v>
      </c>
      <c r="G58" s="224">
        <f t="shared" si="3"/>
        <v>0</v>
      </c>
      <c r="H58" s="224">
        <f t="shared" si="3"/>
        <v>0</v>
      </c>
      <c r="I58" s="224">
        <f t="shared" si="3"/>
        <v>0</v>
      </c>
      <c r="J58" s="224">
        <f t="shared" si="3"/>
        <v>0</v>
      </c>
      <c r="K58" s="224">
        <f t="shared" si="3"/>
        <v>0</v>
      </c>
      <c r="L58" s="224">
        <f t="shared" si="3"/>
        <v>0</v>
      </c>
      <c r="M58" s="224">
        <f t="shared" si="3"/>
        <v>0</v>
      </c>
      <c r="N58" s="224">
        <f t="shared" si="3"/>
        <v>0</v>
      </c>
      <c r="O58" s="224">
        <f t="shared" si="3"/>
        <v>0</v>
      </c>
      <c r="P58" s="225">
        <f t="shared" si="4"/>
        <v>1.3200000000000002E-2</v>
      </c>
      <c r="Q58" s="226">
        <f>+P58</f>
        <v>1.3200000000000002E-2</v>
      </c>
      <c r="R58" s="222">
        <f t="shared" si="5"/>
        <v>0</v>
      </c>
      <c r="S58" s="216"/>
      <c r="T58" s="216"/>
      <c r="U58" s="216"/>
      <c r="V58" s="216"/>
      <c r="W58" s="216"/>
      <c r="X58" s="216"/>
      <c r="Y58" s="216"/>
      <c r="Z58" s="216"/>
      <c r="AA58" s="216"/>
      <c r="AB58" s="216"/>
      <c r="AC58" s="216"/>
      <c r="AD58" s="216"/>
    </row>
    <row r="59" spans="1:30" x14ac:dyDescent="0.25">
      <c r="A59" s="595" t="str">
        <f>A40</f>
        <v>14. Implementar la Red de Alianzas del Cuidado</v>
      </c>
      <c r="B59" s="623">
        <f>B40</f>
        <v>7.0000000000000007E-2</v>
      </c>
      <c r="C59" s="218" t="s">
        <v>64</v>
      </c>
      <c r="D59" s="219">
        <f t="shared" ref="D59:O60" si="6">D40*$B$40/$P$40</f>
        <v>0</v>
      </c>
      <c r="E59" s="219">
        <f t="shared" si="6"/>
        <v>6.6500000000000014E-3</v>
      </c>
      <c r="F59" s="219">
        <f t="shared" si="6"/>
        <v>6.6500000000000014E-3</v>
      </c>
      <c r="G59" s="219">
        <f t="shared" si="6"/>
        <v>6.6500000000000014E-3</v>
      </c>
      <c r="H59" s="219">
        <f t="shared" si="6"/>
        <v>6.6500000000000014E-3</v>
      </c>
      <c r="I59" s="219">
        <f t="shared" si="6"/>
        <v>6.6500000000000014E-3</v>
      </c>
      <c r="J59" s="219">
        <f t="shared" si="6"/>
        <v>6.6500000000000014E-3</v>
      </c>
      <c r="K59" s="219">
        <f t="shared" si="6"/>
        <v>6.6500000000000014E-3</v>
      </c>
      <c r="L59" s="219">
        <f t="shared" si="6"/>
        <v>6.6500000000000014E-3</v>
      </c>
      <c r="M59" s="219">
        <f t="shared" si="6"/>
        <v>6.6500000000000014E-3</v>
      </c>
      <c r="N59" s="219">
        <f t="shared" si="6"/>
        <v>6.6500000000000014E-3</v>
      </c>
      <c r="O59" s="219">
        <f t="shared" si="6"/>
        <v>3.5000000000000009E-3</v>
      </c>
      <c r="P59" s="220">
        <f t="shared" si="4"/>
        <v>7.0000000000000021E-2</v>
      </c>
      <c r="Q59" s="221">
        <v>2.5000000000000001E-2</v>
      </c>
      <c r="R59" s="222">
        <f t="shared" si="5"/>
        <v>4.5000000000000019E-2</v>
      </c>
      <c r="S59" s="216"/>
      <c r="T59" s="216"/>
      <c r="U59" s="216"/>
      <c r="V59" s="216"/>
      <c r="W59" s="216"/>
      <c r="X59" s="216"/>
      <c r="Y59" s="216"/>
      <c r="Z59" s="216"/>
      <c r="AA59" s="216"/>
      <c r="AB59" s="216"/>
      <c r="AC59" s="216"/>
      <c r="AD59" s="216"/>
    </row>
    <row r="60" spans="1:30" x14ac:dyDescent="0.25">
      <c r="A60" s="622"/>
      <c r="B60" s="624"/>
      <c r="C60" s="223" t="s">
        <v>68</v>
      </c>
      <c r="D60" s="224">
        <f t="shared" si="6"/>
        <v>0</v>
      </c>
      <c r="E60" s="224">
        <f t="shared" si="6"/>
        <v>7.0000000000000019E-3</v>
      </c>
      <c r="F60" s="224">
        <f t="shared" si="6"/>
        <v>6.6500000000000014E-3</v>
      </c>
      <c r="G60" s="224">
        <f t="shared" si="6"/>
        <v>0</v>
      </c>
      <c r="H60" s="224">
        <f t="shared" si="6"/>
        <v>0</v>
      </c>
      <c r="I60" s="224">
        <f t="shared" si="6"/>
        <v>0</v>
      </c>
      <c r="J60" s="224">
        <f t="shared" si="6"/>
        <v>0</v>
      </c>
      <c r="K60" s="224">
        <f t="shared" si="6"/>
        <v>0</v>
      </c>
      <c r="L60" s="224">
        <f t="shared" si="6"/>
        <v>0</v>
      </c>
      <c r="M60" s="224">
        <f t="shared" si="6"/>
        <v>0</v>
      </c>
      <c r="N60" s="224">
        <f t="shared" si="6"/>
        <v>0</v>
      </c>
      <c r="O60" s="224">
        <f t="shared" si="6"/>
        <v>0</v>
      </c>
      <c r="P60" s="225">
        <f t="shared" si="4"/>
        <v>1.3650000000000002E-2</v>
      </c>
      <c r="Q60" s="226">
        <f>+P60</f>
        <v>1.3650000000000002E-2</v>
      </c>
      <c r="R60" s="222">
        <f t="shared" si="5"/>
        <v>0</v>
      </c>
      <c r="S60" s="216"/>
      <c r="T60" s="216"/>
      <c r="U60" s="216"/>
      <c r="V60" s="216"/>
      <c r="W60" s="216"/>
      <c r="X60" s="216"/>
      <c r="Y60" s="216"/>
      <c r="Z60" s="216"/>
      <c r="AA60" s="216"/>
      <c r="AB60" s="216"/>
      <c r="AC60" s="216"/>
      <c r="AD60" s="216"/>
    </row>
    <row r="61" spans="1:30" x14ac:dyDescent="0.25">
      <c r="A61" s="595" t="str">
        <f>A42</f>
        <v>15. Convocar y gestionar las sesiones de la Mesa de Transformación Cultural de la Unidad Técnica de Apoyo de la Comisión Intersectorial del Sistema de Cuidado</v>
      </c>
      <c r="B61" s="623">
        <f>B42</f>
        <v>0.05</v>
      </c>
      <c r="C61" s="218" t="s">
        <v>64</v>
      </c>
      <c r="D61" s="219">
        <f t="shared" ref="D61:O62" si="7">D42*$B$42/$P$42</f>
        <v>0</v>
      </c>
      <c r="E61" s="219">
        <f t="shared" si="7"/>
        <v>8.5000000000000006E-3</v>
      </c>
      <c r="F61" s="219">
        <f t="shared" si="7"/>
        <v>0</v>
      </c>
      <c r="G61" s="219">
        <f t="shared" si="7"/>
        <v>8.3000000000000001E-3</v>
      </c>
      <c r="H61" s="219">
        <f t="shared" si="7"/>
        <v>0</v>
      </c>
      <c r="I61" s="219">
        <f t="shared" si="7"/>
        <v>8.3000000000000001E-3</v>
      </c>
      <c r="J61" s="219">
        <f t="shared" si="7"/>
        <v>0</v>
      </c>
      <c r="K61" s="219">
        <f t="shared" si="7"/>
        <v>8.3000000000000001E-3</v>
      </c>
      <c r="L61" s="219">
        <f t="shared" si="7"/>
        <v>0</v>
      </c>
      <c r="M61" s="219">
        <f t="shared" si="7"/>
        <v>8.3000000000000001E-3</v>
      </c>
      <c r="N61" s="219">
        <f t="shared" si="7"/>
        <v>0</v>
      </c>
      <c r="O61" s="219">
        <f t="shared" si="7"/>
        <v>8.3000000000000001E-3</v>
      </c>
      <c r="P61" s="220">
        <f t="shared" si="4"/>
        <v>5.000000000000001E-2</v>
      </c>
      <c r="Q61" s="221">
        <v>2.5000000000000001E-2</v>
      </c>
      <c r="R61" s="222">
        <f t="shared" si="5"/>
        <v>2.5000000000000008E-2</v>
      </c>
      <c r="S61" s="216"/>
      <c r="T61" s="216"/>
      <c r="U61" s="216"/>
      <c r="V61" s="216"/>
      <c r="W61" s="216"/>
      <c r="X61" s="216"/>
      <c r="Y61" s="216"/>
      <c r="Z61" s="216"/>
      <c r="AA61" s="216"/>
      <c r="AB61" s="216"/>
      <c r="AC61" s="216"/>
      <c r="AD61" s="216"/>
    </row>
    <row r="62" spans="1:30" x14ac:dyDescent="0.25">
      <c r="A62" s="622"/>
      <c r="B62" s="624"/>
      <c r="C62" s="223" t="s">
        <v>68</v>
      </c>
      <c r="D62" s="224">
        <f t="shared" si="7"/>
        <v>0</v>
      </c>
      <c r="E62" s="224">
        <f t="shared" si="7"/>
        <v>8.5000000000000006E-3</v>
      </c>
      <c r="F62" s="224">
        <f t="shared" si="7"/>
        <v>0</v>
      </c>
      <c r="G62" s="224">
        <f t="shared" si="7"/>
        <v>0</v>
      </c>
      <c r="H62" s="224">
        <f t="shared" si="7"/>
        <v>0</v>
      </c>
      <c r="I62" s="224">
        <f t="shared" si="7"/>
        <v>0</v>
      </c>
      <c r="J62" s="224">
        <f t="shared" si="7"/>
        <v>0</v>
      </c>
      <c r="K62" s="224">
        <f t="shared" si="7"/>
        <v>0</v>
      </c>
      <c r="L62" s="224">
        <f t="shared" si="7"/>
        <v>0</v>
      </c>
      <c r="M62" s="224">
        <f t="shared" si="7"/>
        <v>0</v>
      </c>
      <c r="N62" s="224">
        <f t="shared" si="7"/>
        <v>0</v>
      </c>
      <c r="O62" s="224">
        <f t="shared" si="7"/>
        <v>0</v>
      </c>
      <c r="P62" s="225">
        <f t="shared" si="4"/>
        <v>8.5000000000000006E-3</v>
      </c>
      <c r="Q62" s="226">
        <f>+P62</f>
        <v>8.5000000000000006E-3</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8">E58+E60+E62</f>
        <v>2.0300000000000002E-2</v>
      </c>
      <c r="F65" s="237">
        <f t="shared" si="8"/>
        <v>1.5050000000000003E-2</v>
      </c>
      <c r="G65" s="237">
        <f t="shared" si="8"/>
        <v>0</v>
      </c>
      <c r="H65" s="237">
        <f t="shared" si="8"/>
        <v>0</v>
      </c>
      <c r="I65" s="237">
        <f t="shared" si="8"/>
        <v>0</v>
      </c>
      <c r="J65" s="237">
        <f t="shared" si="8"/>
        <v>0</v>
      </c>
      <c r="K65" s="237">
        <f t="shared" si="8"/>
        <v>0</v>
      </c>
      <c r="L65" s="237">
        <f t="shared" si="8"/>
        <v>0</v>
      </c>
      <c r="M65" s="237">
        <f t="shared" si="8"/>
        <v>0</v>
      </c>
      <c r="N65" s="237">
        <f t="shared" si="8"/>
        <v>0</v>
      </c>
      <c r="O65" s="237">
        <f t="shared" si="8"/>
        <v>0</v>
      </c>
      <c r="P65" s="237">
        <f>P58+P60+P62</f>
        <v>3.5350000000000006E-2</v>
      </c>
      <c r="Q65" s="215"/>
      <c r="R65" s="222">
        <f t="shared" si="5"/>
        <v>3.5350000000000006E-2</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9">E65*$W$17/$B$34</f>
        <v>0.10150000000000001</v>
      </c>
      <c r="F66" s="240">
        <f t="shared" si="9"/>
        <v>7.5250000000000011E-2</v>
      </c>
      <c r="G66" s="240">
        <f t="shared" si="9"/>
        <v>0</v>
      </c>
      <c r="H66" s="240">
        <f t="shared" si="9"/>
        <v>0</v>
      </c>
      <c r="I66" s="240">
        <f t="shared" si="9"/>
        <v>0</v>
      </c>
      <c r="J66" s="240">
        <f t="shared" si="9"/>
        <v>0</v>
      </c>
      <c r="K66" s="240">
        <f t="shared" si="9"/>
        <v>0</v>
      </c>
      <c r="L66" s="240">
        <f t="shared" si="9"/>
        <v>0</v>
      </c>
      <c r="M66" s="240">
        <f t="shared" si="9"/>
        <v>0</v>
      </c>
      <c r="N66" s="240">
        <f t="shared" si="9"/>
        <v>0</v>
      </c>
      <c r="O66" s="240">
        <f t="shared" si="9"/>
        <v>0</v>
      </c>
      <c r="P66" s="241">
        <f>SUM(D66:O66)</f>
        <v>0.17675000000000002</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0</v>
      </c>
      <c r="E68" s="237">
        <f t="shared" si="10"/>
        <v>1.9950000000000002E-2</v>
      </c>
      <c r="F68" s="237">
        <f t="shared" si="10"/>
        <v>1.5050000000000003E-2</v>
      </c>
      <c r="G68" s="237">
        <f t="shared" si="10"/>
        <v>2.3350000000000003E-2</v>
      </c>
      <c r="H68" s="237">
        <f t="shared" si="10"/>
        <v>1.5050000000000003E-2</v>
      </c>
      <c r="I68" s="237">
        <f t="shared" si="10"/>
        <v>2.3350000000000003E-2</v>
      </c>
      <c r="J68" s="237">
        <f t="shared" si="10"/>
        <v>1.5050000000000003E-2</v>
      </c>
      <c r="K68" s="237">
        <f t="shared" si="10"/>
        <v>2.3350000000000003E-2</v>
      </c>
      <c r="L68" s="237">
        <f t="shared" si="10"/>
        <v>1.5050000000000003E-2</v>
      </c>
      <c r="M68" s="237">
        <f t="shared" si="10"/>
        <v>2.3350000000000003E-2</v>
      </c>
      <c r="N68" s="237">
        <f t="shared" si="10"/>
        <v>1.4650000000000003E-2</v>
      </c>
      <c r="O68" s="237">
        <f t="shared" si="10"/>
        <v>1.1800000000000001E-2</v>
      </c>
      <c r="P68" s="237">
        <f t="shared" si="10"/>
        <v>0.20000000000000007</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0</v>
      </c>
      <c r="E69" s="240">
        <f t="shared" si="11"/>
        <v>9.9750000000000005E-2</v>
      </c>
      <c r="F69" s="240">
        <f t="shared" si="11"/>
        <v>7.5250000000000011E-2</v>
      </c>
      <c r="G69" s="240">
        <f t="shared" si="11"/>
        <v>0.11675000000000001</v>
      </c>
      <c r="H69" s="240">
        <f t="shared" si="11"/>
        <v>7.5250000000000011E-2</v>
      </c>
      <c r="I69" s="240">
        <f t="shared" si="11"/>
        <v>0.11675000000000001</v>
      </c>
      <c r="J69" s="240">
        <f t="shared" si="11"/>
        <v>7.5250000000000011E-2</v>
      </c>
      <c r="K69" s="240">
        <f t="shared" si="11"/>
        <v>0.11675000000000001</v>
      </c>
      <c r="L69" s="240">
        <f t="shared" si="11"/>
        <v>7.5250000000000011E-2</v>
      </c>
      <c r="M69" s="240">
        <f t="shared" si="11"/>
        <v>0.11675000000000001</v>
      </c>
      <c r="N69" s="240">
        <f t="shared" si="11"/>
        <v>7.325000000000001E-2</v>
      </c>
      <c r="O69" s="240">
        <f t="shared" si="11"/>
        <v>5.9000000000000004E-2</v>
      </c>
      <c r="P69" s="241">
        <f>SUM(D69:O69)</f>
        <v>1.0000000000000002</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sheetData>
  <mergeCells count="88">
    <mergeCell ref="A55:A56"/>
    <mergeCell ref="B55:B56"/>
    <mergeCell ref="C55:P55"/>
    <mergeCell ref="A57:A58"/>
    <mergeCell ref="B57:B58"/>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K7:L9"/>
    <mergeCell ref="M7:N7"/>
    <mergeCell ref="A1:A4"/>
    <mergeCell ref="B1:AA1"/>
    <mergeCell ref="M8:N8"/>
    <mergeCell ref="O8:P8"/>
    <mergeCell ref="M9:N9"/>
    <mergeCell ref="O7:P7"/>
    <mergeCell ref="O9:P9"/>
    <mergeCell ref="A7:B9"/>
    <mergeCell ref="C7:C9"/>
    <mergeCell ref="D7:H9"/>
    <mergeCell ref="AB1:AD1"/>
    <mergeCell ref="B2:AA2"/>
    <mergeCell ref="AB2:AD2"/>
    <mergeCell ref="B3:AA4"/>
    <mergeCell ref="AB3:AD3"/>
    <mergeCell ref="AB4:AD4"/>
    <mergeCell ref="R17:V17"/>
    <mergeCell ref="W17:X17"/>
    <mergeCell ref="Y17:AB17"/>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2:A43"/>
    <mergeCell ref="B42:B43"/>
    <mergeCell ref="Q42:AD43"/>
    <mergeCell ref="A40:A41"/>
    <mergeCell ref="B40:B41"/>
    <mergeCell ref="Q40:AD41"/>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A85"/>
  <sheetViews>
    <sheetView showGridLines="0" topLeftCell="R17" zoomScale="65" zoomScaleNormal="65" workbookViewId="0">
      <selection activeCell="AA26" sqref="AA26"/>
    </sheetView>
  </sheetViews>
  <sheetFormatPr baseColWidth="10" defaultColWidth="9.140625" defaultRowHeight="15" x14ac:dyDescent="0.25"/>
  <cols>
    <col min="1" max="1" width="37" style="50" customWidth="1"/>
    <col min="2" max="2" width="9.140625" style="50"/>
    <col min="3" max="3" width="20.28515625" style="50" bestFit="1" customWidth="1"/>
    <col min="4" max="4" width="13.28515625" style="50" bestFit="1" customWidth="1"/>
    <col min="5" max="5" width="15.28515625" style="50" customWidth="1"/>
    <col min="6" max="6" width="12" style="50" bestFit="1" customWidth="1"/>
    <col min="7" max="7" width="9.7109375" style="50" bestFit="1" customWidth="1"/>
    <col min="8" max="8" width="13" style="50" bestFit="1" customWidth="1"/>
    <col min="9" max="14" width="9.7109375" style="50" bestFit="1" customWidth="1"/>
    <col min="15" max="15" width="14.85546875" style="50" customWidth="1"/>
    <col min="16" max="16" width="19.28515625" style="50" customWidth="1"/>
    <col min="17" max="19" width="27.140625" style="50" customWidth="1"/>
    <col min="20" max="22" width="24.85546875" style="50" customWidth="1"/>
    <col min="23" max="26" width="17.28515625" style="50" customWidth="1"/>
    <col min="27" max="30" width="20.140625" style="50" customWidth="1"/>
    <col min="31" max="31" width="9.140625" style="50"/>
    <col min="32" max="32" width="12.7109375" style="50" bestFit="1" customWidth="1"/>
    <col min="33" max="16384" width="9.14062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103</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3" ht="15.75" customHeight="1" thickBot="1" x14ac:dyDescent="0.3">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c r="BA16" s="309"/>
    </row>
    <row r="17" spans="1:53" s="76" customFormat="1" ht="37.5" customHeight="1" thickBot="1" x14ac:dyDescent="0.3">
      <c r="A17" s="512" t="s">
        <v>23</v>
      </c>
      <c r="B17" s="513"/>
      <c r="C17" s="514" t="s">
        <v>107</v>
      </c>
      <c r="D17" s="515"/>
      <c r="E17" s="515"/>
      <c r="F17" s="515"/>
      <c r="G17" s="515"/>
      <c r="H17" s="515"/>
      <c r="I17" s="515"/>
      <c r="J17" s="515"/>
      <c r="K17" s="515"/>
      <c r="L17" s="515"/>
      <c r="M17" s="515"/>
      <c r="N17" s="515"/>
      <c r="O17" s="515"/>
      <c r="P17" s="515"/>
      <c r="Q17" s="516"/>
      <c r="R17" s="501" t="s">
        <v>25</v>
      </c>
      <c r="S17" s="502"/>
      <c r="T17" s="502"/>
      <c r="U17" s="502"/>
      <c r="V17" s="503"/>
      <c r="W17" s="517">
        <v>1</v>
      </c>
      <c r="X17" s="518"/>
      <c r="Y17" s="502" t="s">
        <v>26</v>
      </c>
      <c r="Z17" s="502"/>
      <c r="AA17" s="502"/>
      <c r="AB17" s="503"/>
      <c r="AC17" s="519">
        <v>0.1</v>
      </c>
      <c r="AD17" s="520"/>
      <c r="AX17" s="353"/>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83">
        <f>+AC22+'Meta 2'!AC22+'Meta 3'!AC22+'Meta 4'!AC22+'Meta 5.'!AC22+'Meta 6.'!AC22+'Meta 7'!AC22</f>
        <v>9602924000</v>
      </c>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f>+AC23+'Meta 2'!AC23+'Meta 3'!AC23+'Meta 4'!AC23+'Meta 5.'!AC23+'Meta 6.'!AC23+'Meta 7'!AC23</f>
        <v>9044867406</v>
      </c>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f>+AC25+'Meta 2'!AC25+'Meta 3'!AC25+'Meta 4'!AC25+'Meta 5.'!AC25+'Meta 6.'!AC25+'Meta 7'!AC25</f>
        <v>4042324560</v>
      </c>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BA21" s="309"/>
    </row>
    <row r="22" spans="1:53" ht="32.1" customHeight="1" x14ac:dyDescent="0.25">
      <c r="A22" s="452" t="s">
        <v>108</v>
      </c>
      <c r="B22" s="454"/>
      <c r="C22" s="322"/>
      <c r="D22" s="323"/>
      <c r="E22" s="323"/>
      <c r="F22" s="323"/>
      <c r="G22" s="323"/>
      <c r="H22" s="323"/>
      <c r="I22" s="323"/>
      <c r="J22" s="323"/>
      <c r="K22" s="323"/>
      <c r="L22" s="323"/>
      <c r="M22" s="323"/>
      <c r="N22" s="323"/>
      <c r="O22" s="323">
        <f>SUM(C22:N22)</f>
        <v>0</v>
      </c>
      <c r="P22" s="378"/>
      <c r="Q22" s="327">
        <v>270886100</v>
      </c>
      <c r="R22" s="323"/>
      <c r="S22" s="323"/>
      <c r="T22" s="323">
        <v>21559511</v>
      </c>
      <c r="U22" s="323"/>
      <c r="V22" s="323">
        <f>2139478+34249272-13570647</f>
        <v>22818103</v>
      </c>
      <c r="W22" s="323"/>
      <c r="X22" s="323"/>
      <c r="Y22" s="323"/>
      <c r="Z22" s="323"/>
      <c r="AA22" s="323"/>
      <c r="AB22" s="323"/>
      <c r="AC22" s="376">
        <f>SUM(Q22:AB22)</f>
        <v>315263714</v>
      </c>
      <c r="AD22" s="183"/>
      <c r="AE22" s="3"/>
      <c r="AF22" s="625"/>
      <c r="AG22" s="625"/>
      <c r="AH22" s="625"/>
      <c r="AI22" s="625"/>
      <c r="AJ22" s="625"/>
      <c r="AK22" s="625"/>
      <c r="AL22" s="625"/>
      <c r="AM22" s="625"/>
    </row>
    <row r="23" spans="1:53" ht="32.1" customHeight="1" x14ac:dyDescent="0.25">
      <c r="A23" s="453" t="s">
        <v>44</v>
      </c>
      <c r="B23" s="455"/>
      <c r="C23" s="174"/>
      <c r="D23" s="173"/>
      <c r="E23" s="173"/>
      <c r="F23" s="173"/>
      <c r="G23" s="173"/>
      <c r="H23" s="173"/>
      <c r="I23" s="173"/>
      <c r="J23" s="173"/>
      <c r="K23" s="173"/>
      <c r="L23" s="173"/>
      <c r="M23" s="173"/>
      <c r="N23" s="173"/>
      <c r="O23" s="173">
        <f>SUM(C23:N23)</f>
        <v>0</v>
      </c>
      <c r="P23" s="379"/>
      <c r="Q23" s="325">
        <v>42119000</v>
      </c>
      <c r="R23" s="173">
        <v>143641483</v>
      </c>
      <c r="S23" s="173">
        <v>72012067</v>
      </c>
      <c r="T23" s="173">
        <v>-5686083</v>
      </c>
      <c r="U23" s="173">
        <v>21983446</v>
      </c>
      <c r="V23" s="173">
        <v>11200000</v>
      </c>
      <c r="W23" s="173"/>
      <c r="X23" s="173"/>
      <c r="Y23" s="173"/>
      <c r="Z23" s="173"/>
      <c r="AA23" s="173"/>
      <c r="AB23" s="173"/>
      <c r="AC23" s="377">
        <f>SUM(Q23:AB23)</f>
        <v>285269913</v>
      </c>
      <c r="AD23" s="181">
        <f>IFERROR(AC23/(SUMIF(Q23:AB23,"&gt;0",Q22:AB22))," ")</f>
        <v>0.97128304629675322</v>
      </c>
      <c r="AE23" s="3"/>
      <c r="AF23" s="625"/>
      <c r="AG23" s="625"/>
      <c r="AH23" s="625"/>
      <c r="AI23" s="625"/>
      <c r="AJ23" s="625"/>
      <c r="AK23" s="625"/>
      <c r="AL23" s="625"/>
      <c r="AM23" s="625"/>
    </row>
    <row r="24" spans="1:53" ht="32.1" customHeight="1" x14ac:dyDescent="0.25">
      <c r="A24" s="453" t="s">
        <v>109</v>
      </c>
      <c r="B24" s="455"/>
      <c r="C24" s="174">
        <v>19304536</v>
      </c>
      <c r="D24" s="173">
        <f>1+1+3347500+1081500+432600+475860+4505045</f>
        <v>9842507</v>
      </c>
      <c r="E24" s="173"/>
      <c r="F24" s="173"/>
      <c r="G24" s="173"/>
      <c r="H24" s="173">
        <v>-3467667</v>
      </c>
      <c r="I24" s="173"/>
      <c r="J24" s="173"/>
      <c r="K24" s="173"/>
      <c r="L24" s="173"/>
      <c r="M24" s="173"/>
      <c r="N24" s="173"/>
      <c r="O24" s="206">
        <f>SUM(C24:N24)</f>
        <v>25679376</v>
      </c>
      <c r="P24" s="326"/>
      <c r="Q24" s="325"/>
      <c r="R24" s="173">
        <v>11387300</v>
      </c>
      <c r="S24" s="173">
        <v>23590800</v>
      </c>
      <c r="T24" s="173">
        <v>23590800</v>
      </c>
      <c r="U24" s="173">
        <f>23590800+21559511</f>
        <v>45150311</v>
      </c>
      <c r="V24" s="173">
        <f>23590800-13570647</f>
        <v>10020153</v>
      </c>
      <c r="W24" s="173">
        <f>23590800+2139478+11416424</f>
        <v>37146702</v>
      </c>
      <c r="X24" s="173">
        <v>23590800</v>
      </c>
      <c r="Y24" s="173">
        <f>23590800+11416424</f>
        <v>35007224</v>
      </c>
      <c r="Z24" s="173">
        <v>23590800</v>
      </c>
      <c r="AA24" s="173">
        <f>23590800+11416424</f>
        <v>35007224</v>
      </c>
      <c r="AB24" s="173">
        <v>47181600</v>
      </c>
      <c r="AC24" s="206">
        <f>SUM(Q24:AB24)</f>
        <v>315263714</v>
      </c>
      <c r="AD24" s="181"/>
      <c r="AE24" s="3"/>
      <c r="AF24" s="625"/>
      <c r="AG24" s="625"/>
      <c r="AH24" s="625"/>
      <c r="AI24" s="625"/>
      <c r="AJ24" s="625"/>
      <c r="AK24" s="625"/>
      <c r="AL24" s="625"/>
      <c r="AM24" s="625"/>
    </row>
    <row r="25" spans="1:53" ht="32.1" customHeight="1" thickBot="1" x14ac:dyDescent="0.3">
      <c r="A25" s="481" t="s">
        <v>46</v>
      </c>
      <c r="B25" s="487"/>
      <c r="C25" s="324">
        <v>1437194</v>
      </c>
      <c r="D25" s="175">
        <v>18698717</v>
      </c>
      <c r="E25" s="175" t="s">
        <v>47</v>
      </c>
      <c r="F25" s="175">
        <v>5151217</v>
      </c>
      <c r="G25" s="175">
        <v>0</v>
      </c>
      <c r="H25" s="175">
        <v>382121</v>
      </c>
      <c r="I25" s="175">
        <v>0</v>
      </c>
      <c r="J25" s="175"/>
      <c r="K25" s="175"/>
      <c r="L25" s="175"/>
      <c r="M25" s="175"/>
      <c r="N25" s="175"/>
      <c r="O25" s="175">
        <f>SUM(C25:N25)</f>
        <v>25669249</v>
      </c>
      <c r="P25" s="182">
        <f>+O25/O24</f>
        <v>0.99960563683478909</v>
      </c>
      <c r="Q25" s="328" t="s">
        <v>110</v>
      </c>
      <c r="R25" s="175">
        <v>944066</v>
      </c>
      <c r="S25" s="175">
        <v>6845767</v>
      </c>
      <c r="T25" s="175">
        <v>20800384</v>
      </c>
      <c r="U25" s="175">
        <v>24932000</v>
      </c>
      <c r="V25" s="175">
        <v>24884866</v>
      </c>
      <c r="W25" s="175">
        <v>50189230</v>
      </c>
      <c r="X25" s="175"/>
      <c r="Y25" s="175"/>
      <c r="Z25" s="175"/>
      <c r="AA25" s="175"/>
      <c r="AB25" s="175"/>
      <c r="AC25" s="175">
        <f>SUM(Q25:AB25)</f>
        <v>128596313</v>
      </c>
      <c r="AD25" s="182">
        <f>IFERROR(AC25/(SUMIF(Q25:AB25,"&gt;0",Q24:AB24))," ")</f>
        <v>0.85227427826238111</v>
      </c>
      <c r="AE25" s="3"/>
      <c r="AF25" s="625"/>
      <c r="AG25" s="625"/>
      <c r="AH25" s="625"/>
      <c r="AI25" s="625"/>
      <c r="AJ25" s="625"/>
      <c r="AK25" s="625"/>
      <c r="AL25" s="625"/>
      <c r="AM25" s="625"/>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thickBot="1" x14ac:dyDescent="0.3">
      <c r="A30" s="85" t="s">
        <v>111</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3.1" customHeight="1" x14ac:dyDescent="0.25">
      <c r="A32" s="452" t="s">
        <v>56</v>
      </c>
      <c r="B32" s="456" t="s">
        <v>57</v>
      </c>
      <c r="C32" s="457" t="s">
        <v>51</v>
      </c>
      <c r="D32" s="480" t="s">
        <v>58</v>
      </c>
      <c r="E32" s="456"/>
      <c r="F32" s="456"/>
      <c r="G32" s="456"/>
      <c r="H32" s="456"/>
      <c r="I32" s="456"/>
      <c r="J32" s="456"/>
      <c r="K32" s="456"/>
      <c r="L32" s="456"/>
      <c r="M32" s="456"/>
      <c r="N32" s="456"/>
      <c r="O32" s="456"/>
      <c r="P32" s="457"/>
      <c r="Q32" s="480"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x14ac:dyDescent="0.25">
      <c r="A33" s="453"/>
      <c r="B33" s="478"/>
      <c r="C33" s="628"/>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99" t="s">
        <v>60</v>
      </c>
      <c r="R33" s="478"/>
      <c r="S33" s="478"/>
      <c r="T33" s="478" t="s">
        <v>61</v>
      </c>
      <c r="U33" s="478"/>
      <c r="V33" s="478"/>
      <c r="W33" s="496" t="s">
        <v>112</v>
      </c>
      <c r="X33" s="629"/>
      <c r="Y33" s="629"/>
      <c r="Z33" s="497"/>
      <c r="AA33" s="496" t="s">
        <v>63</v>
      </c>
      <c r="AB33" s="629"/>
      <c r="AC33" s="629"/>
      <c r="AD33" s="630"/>
      <c r="AG33" s="87"/>
      <c r="AH33" s="87"/>
      <c r="AI33" s="87"/>
      <c r="AJ33" s="87"/>
      <c r="AK33" s="87"/>
      <c r="AL33" s="87"/>
      <c r="AM33" s="87"/>
      <c r="AN33" s="87"/>
      <c r="AO33" s="87"/>
    </row>
    <row r="34" spans="1:41" ht="118.5" customHeight="1" x14ac:dyDescent="0.25">
      <c r="A34" s="631" t="s">
        <v>111</v>
      </c>
      <c r="B34" s="464">
        <v>0.1</v>
      </c>
      <c r="C34" s="263" t="s">
        <v>64</v>
      </c>
      <c r="D34" s="265">
        <f>D69</f>
        <v>6.5120361083249756E-2</v>
      </c>
      <c r="E34" s="244">
        <f t="shared" ref="E34:O34" si="0">E69</f>
        <v>8.512036108324976E-2</v>
      </c>
      <c r="F34" s="244">
        <f t="shared" si="0"/>
        <v>8.6624874623871626E-2</v>
      </c>
      <c r="G34" s="244">
        <f t="shared" si="0"/>
        <v>8.6624874623871626E-2</v>
      </c>
      <c r="H34" s="244">
        <f t="shared" si="0"/>
        <v>8.6624874623871626E-2</v>
      </c>
      <c r="I34" s="244">
        <f t="shared" si="0"/>
        <v>8.6624874623871626E-2</v>
      </c>
      <c r="J34" s="244">
        <f t="shared" si="0"/>
        <v>8.6624874623871626E-2</v>
      </c>
      <c r="K34" s="244">
        <f t="shared" si="0"/>
        <v>8.6624874623871626E-2</v>
      </c>
      <c r="L34" s="244">
        <f t="shared" si="0"/>
        <v>8.6624874623871626E-2</v>
      </c>
      <c r="M34" s="244">
        <f t="shared" si="0"/>
        <v>8.6624874623871626E-2</v>
      </c>
      <c r="N34" s="244">
        <f t="shared" si="0"/>
        <v>8.6624874623871626E-2</v>
      </c>
      <c r="O34" s="244">
        <f t="shared" si="0"/>
        <v>7.0135406218655966E-2</v>
      </c>
      <c r="P34" s="362">
        <f>SUM(D34:O34)</f>
        <v>1</v>
      </c>
      <c r="Q34" s="636" t="s">
        <v>113</v>
      </c>
      <c r="R34" s="637"/>
      <c r="S34" s="642"/>
      <c r="T34" s="644" t="s">
        <v>114</v>
      </c>
      <c r="U34" s="644"/>
      <c r="V34" s="645"/>
      <c r="W34" s="632" t="s">
        <v>115</v>
      </c>
      <c r="X34" s="633"/>
      <c r="Y34" s="633"/>
      <c r="Z34" s="634"/>
      <c r="AA34" s="636" t="s">
        <v>116</v>
      </c>
      <c r="AB34" s="637"/>
      <c r="AC34" s="637"/>
      <c r="AD34" s="638"/>
      <c r="AG34" s="87"/>
      <c r="AH34" s="87"/>
      <c r="AI34" s="87"/>
      <c r="AJ34" s="87"/>
      <c r="AK34" s="87"/>
      <c r="AL34" s="87"/>
      <c r="AM34" s="87"/>
      <c r="AN34" s="87"/>
      <c r="AO34" s="87"/>
    </row>
    <row r="35" spans="1:41" ht="158.1" customHeight="1" x14ac:dyDescent="0.25">
      <c r="A35" s="570"/>
      <c r="B35" s="465"/>
      <c r="C35" s="257" t="s">
        <v>68</v>
      </c>
      <c r="D35" s="256">
        <f>D66</f>
        <v>6.5120361083249756E-2</v>
      </c>
      <c r="E35" s="246">
        <f t="shared" ref="E35:O35" si="1">E66</f>
        <v>8.512036108324976E-2</v>
      </c>
      <c r="F35" s="246">
        <f t="shared" si="1"/>
        <v>8.6624874623871626E-2</v>
      </c>
      <c r="G35" s="246">
        <f t="shared" si="1"/>
        <v>8.6624874623871626E-2</v>
      </c>
      <c r="H35" s="246">
        <f>H66</f>
        <v>8.6624874623871626E-2</v>
      </c>
      <c r="I35" s="246">
        <f t="shared" si="1"/>
        <v>8.6624874623871626E-2</v>
      </c>
      <c r="J35" s="246">
        <f>J66</f>
        <v>8.512036108324976E-2</v>
      </c>
      <c r="K35" s="246">
        <f t="shared" si="1"/>
        <v>0</v>
      </c>
      <c r="L35" s="246">
        <f t="shared" si="1"/>
        <v>0</v>
      </c>
      <c r="M35" s="246">
        <f t="shared" si="1"/>
        <v>0</v>
      </c>
      <c r="N35" s="246">
        <f t="shared" si="1"/>
        <v>0</v>
      </c>
      <c r="O35" s="246">
        <f t="shared" si="1"/>
        <v>0</v>
      </c>
      <c r="P35" s="363">
        <f>SUM(D35:O35)</f>
        <v>0.58186058174523581</v>
      </c>
      <c r="Q35" s="639"/>
      <c r="R35" s="640"/>
      <c r="S35" s="643"/>
      <c r="T35" s="646"/>
      <c r="U35" s="646"/>
      <c r="V35" s="647"/>
      <c r="W35" s="635"/>
      <c r="X35" s="633"/>
      <c r="Y35" s="633"/>
      <c r="Z35" s="634"/>
      <c r="AA35" s="639"/>
      <c r="AB35" s="640"/>
      <c r="AC35" s="640"/>
      <c r="AD35" s="641"/>
      <c r="AE35" s="49"/>
      <c r="AG35" s="87"/>
      <c r="AH35" s="87"/>
      <c r="AI35" s="87"/>
      <c r="AJ35" s="87"/>
      <c r="AK35" s="87"/>
      <c r="AL35" s="87"/>
      <c r="AM35" s="87"/>
      <c r="AN35" s="87"/>
      <c r="AO35" s="87"/>
    </row>
    <row r="36" spans="1:41" ht="26.1" customHeight="1" x14ac:dyDescent="0.25">
      <c r="A36" s="656" t="s">
        <v>69</v>
      </c>
      <c r="B36" s="456" t="s">
        <v>70</v>
      </c>
      <c r="C36" s="497" t="s">
        <v>71</v>
      </c>
      <c r="D36" s="456"/>
      <c r="E36" s="456"/>
      <c r="F36" s="456"/>
      <c r="G36" s="456"/>
      <c r="H36" s="456"/>
      <c r="I36" s="456"/>
      <c r="J36" s="456"/>
      <c r="K36" s="456"/>
      <c r="L36" s="456"/>
      <c r="M36" s="456"/>
      <c r="N36" s="456"/>
      <c r="O36" s="456"/>
      <c r="P36" s="457"/>
      <c r="Q36" s="613" t="s">
        <v>72</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42" customHeight="1" x14ac:dyDescent="0.25">
      <c r="A37" s="481"/>
      <c r="B37" s="482"/>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14"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90" customHeight="1" x14ac:dyDescent="0.25">
      <c r="A38" s="657" t="s">
        <v>117</v>
      </c>
      <c r="B38" s="601">
        <v>0.05</v>
      </c>
      <c r="C38" s="211" t="s">
        <v>64</v>
      </c>
      <c r="D38" s="268">
        <v>0.05</v>
      </c>
      <c r="E38" s="269">
        <v>0.09</v>
      </c>
      <c r="F38" s="205">
        <v>0.09</v>
      </c>
      <c r="G38" s="205">
        <v>0.09</v>
      </c>
      <c r="H38" s="205">
        <v>0.09</v>
      </c>
      <c r="I38" s="205">
        <v>0.09</v>
      </c>
      <c r="J38" s="205">
        <v>0.09</v>
      </c>
      <c r="K38" s="205">
        <v>0.09</v>
      </c>
      <c r="L38" s="205">
        <v>0.09</v>
      </c>
      <c r="M38" s="205">
        <v>0.09</v>
      </c>
      <c r="N38" s="205">
        <v>0.09</v>
      </c>
      <c r="O38" s="205">
        <v>0.05</v>
      </c>
      <c r="P38" s="96">
        <f>SUM(D38:O38)</f>
        <v>0.99999999999999989</v>
      </c>
      <c r="Q38" s="650" t="s">
        <v>118</v>
      </c>
      <c r="R38" s="658"/>
      <c r="S38" s="658"/>
      <c r="T38" s="658"/>
      <c r="U38" s="658"/>
      <c r="V38" s="658"/>
      <c r="W38" s="658"/>
      <c r="X38" s="658"/>
      <c r="Y38" s="658"/>
      <c r="Z38" s="658"/>
      <c r="AA38" s="658"/>
      <c r="AB38" s="658"/>
      <c r="AC38" s="658"/>
      <c r="AD38" s="659"/>
      <c r="AE38" s="97"/>
      <c r="AG38" s="98"/>
      <c r="AH38" s="98"/>
      <c r="AI38" s="98"/>
      <c r="AJ38" s="98"/>
      <c r="AK38" s="98"/>
      <c r="AL38" s="98"/>
      <c r="AM38" s="98"/>
      <c r="AN38" s="98"/>
      <c r="AO38" s="98"/>
    </row>
    <row r="39" spans="1:41" ht="90" customHeight="1" x14ac:dyDescent="0.25">
      <c r="A39" s="648"/>
      <c r="B39" s="602"/>
      <c r="C39" s="212" t="s">
        <v>68</v>
      </c>
      <c r="D39" s="270">
        <v>0.05</v>
      </c>
      <c r="E39" s="270">
        <v>0.09</v>
      </c>
      <c r="F39" s="270">
        <v>0.09</v>
      </c>
      <c r="G39" s="270">
        <v>0.09</v>
      </c>
      <c r="H39" s="270">
        <v>0.09</v>
      </c>
      <c r="I39" s="270">
        <v>0.09</v>
      </c>
      <c r="J39" s="270">
        <v>0.09</v>
      </c>
      <c r="K39" s="100"/>
      <c r="L39" s="100"/>
      <c r="M39" s="100"/>
      <c r="N39" s="100"/>
      <c r="O39" s="100"/>
      <c r="P39" s="101">
        <f>SUM(D39:O39)</f>
        <v>0.59</v>
      </c>
      <c r="Q39" s="660"/>
      <c r="R39" s="661"/>
      <c r="S39" s="661"/>
      <c r="T39" s="661"/>
      <c r="U39" s="661"/>
      <c r="V39" s="661"/>
      <c r="W39" s="661"/>
      <c r="X39" s="661"/>
      <c r="Y39" s="661"/>
      <c r="Z39" s="661"/>
      <c r="AA39" s="661"/>
      <c r="AB39" s="661"/>
      <c r="AC39" s="661"/>
      <c r="AD39" s="662"/>
      <c r="AE39" s="97"/>
    </row>
    <row r="40" spans="1:41" ht="74.25" customHeight="1" x14ac:dyDescent="0.25">
      <c r="A40" s="648" t="s">
        <v>119</v>
      </c>
      <c r="B40" s="610">
        <v>0.05</v>
      </c>
      <c r="C40" s="213" t="s">
        <v>64</v>
      </c>
      <c r="D40" s="269">
        <v>0.08</v>
      </c>
      <c r="E40" s="269">
        <v>0.08</v>
      </c>
      <c r="F40" s="205">
        <v>8.3000000000000004E-2</v>
      </c>
      <c r="G40" s="205">
        <v>8.3000000000000004E-2</v>
      </c>
      <c r="H40" s="205">
        <v>8.3000000000000004E-2</v>
      </c>
      <c r="I40" s="205">
        <v>8.3000000000000004E-2</v>
      </c>
      <c r="J40" s="205">
        <v>8.3000000000000004E-2</v>
      </c>
      <c r="K40" s="205">
        <v>8.3000000000000004E-2</v>
      </c>
      <c r="L40" s="205">
        <v>8.3000000000000004E-2</v>
      </c>
      <c r="M40" s="205">
        <v>8.3000000000000004E-2</v>
      </c>
      <c r="N40" s="205">
        <v>8.3000000000000004E-2</v>
      </c>
      <c r="O40" s="205">
        <v>0.09</v>
      </c>
      <c r="P40" s="101">
        <f>SUM(D40:O40)</f>
        <v>0.99699999999999989</v>
      </c>
      <c r="Q40" s="650" t="s">
        <v>120</v>
      </c>
      <c r="R40" s="651"/>
      <c r="S40" s="651"/>
      <c r="T40" s="651"/>
      <c r="U40" s="651"/>
      <c r="V40" s="651"/>
      <c r="W40" s="651"/>
      <c r="X40" s="651"/>
      <c r="Y40" s="651"/>
      <c r="Z40" s="651"/>
      <c r="AA40" s="651"/>
      <c r="AB40" s="651"/>
      <c r="AC40" s="651"/>
      <c r="AD40" s="652"/>
      <c r="AE40" s="97"/>
    </row>
    <row r="41" spans="1:41" ht="74.25" customHeight="1" x14ac:dyDescent="0.25">
      <c r="A41" s="649"/>
      <c r="B41" s="605"/>
      <c r="C41" s="267" t="s">
        <v>68</v>
      </c>
      <c r="D41" s="271">
        <v>0.08</v>
      </c>
      <c r="E41" s="271">
        <v>0.08</v>
      </c>
      <c r="F41" s="271">
        <v>8.3000000000000004E-2</v>
      </c>
      <c r="G41" s="271">
        <v>8.3000000000000004E-2</v>
      </c>
      <c r="H41" s="271">
        <v>8.3000000000000004E-2</v>
      </c>
      <c r="I41" s="271">
        <v>8.3000000000000004E-2</v>
      </c>
      <c r="J41" s="271">
        <v>0.08</v>
      </c>
      <c r="K41" s="105"/>
      <c r="L41" s="106"/>
      <c r="M41" s="106"/>
      <c r="N41" s="106"/>
      <c r="O41" s="106"/>
      <c r="P41" s="107">
        <f>SUM(D41:O41)</f>
        <v>0.57200000000000006</v>
      </c>
      <c r="Q41" s="653"/>
      <c r="R41" s="654"/>
      <c r="S41" s="654"/>
      <c r="T41" s="654"/>
      <c r="U41" s="654"/>
      <c r="V41" s="654"/>
      <c r="W41" s="654"/>
      <c r="X41" s="654"/>
      <c r="Y41" s="654"/>
      <c r="Z41" s="654"/>
      <c r="AA41" s="654"/>
      <c r="AB41" s="654"/>
      <c r="AC41" s="654"/>
      <c r="AD41" s="655"/>
      <c r="AE41" s="97"/>
    </row>
    <row r="42" spans="1:41" x14ac:dyDescent="0.25">
      <c r="A42" s="50" t="s">
        <v>90</v>
      </c>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 xml:space="preserve">1. Socializar los lineamientos técnicos del Sistema Distrital de Cuidado con espacios e instancias de participación y ciudadanía en general. </v>
      </c>
      <c r="B57" s="597">
        <f>B38</f>
        <v>0.05</v>
      </c>
      <c r="C57" s="218" t="s">
        <v>64</v>
      </c>
      <c r="D57" s="219">
        <f>D38*$B$38/$P$38</f>
        <v>2.5000000000000009E-3</v>
      </c>
      <c r="E57" s="219">
        <f t="shared" ref="D57:O58" si="2">E38*$B$38/$P$38</f>
        <v>4.5000000000000005E-3</v>
      </c>
      <c r="F57" s="219">
        <f t="shared" si="2"/>
        <v>4.5000000000000005E-3</v>
      </c>
      <c r="G57" s="219">
        <f t="shared" si="2"/>
        <v>4.5000000000000005E-3</v>
      </c>
      <c r="H57" s="219">
        <f t="shared" si="2"/>
        <v>4.5000000000000005E-3</v>
      </c>
      <c r="I57" s="219">
        <f t="shared" si="2"/>
        <v>4.5000000000000005E-3</v>
      </c>
      <c r="J57" s="219">
        <f t="shared" si="2"/>
        <v>4.5000000000000005E-3</v>
      </c>
      <c r="K57" s="219">
        <f t="shared" si="2"/>
        <v>4.5000000000000005E-3</v>
      </c>
      <c r="L57" s="219">
        <f t="shared" si="2"/>
        <v>4.5000000000000005E-3</v>
      </c>
      <c r="M57" s="219">
        <f t="shared" si="2"/>
        <v>4.5000000000000005E-3</v>
      </c>
      <c r="N57" s="219">
        <f t="shared" si="2"/>
        <v>4.5000000000000005E-3</v>
      </c>
      <c r="O57" s="219">
        <f t="shared" si="2"/>
        <v>2.5000000000000009E-3</v>
      </c>
      <c r="P57" s="220">
        <f>SUM(D57:O57)</f>
        <v>5.0000000000000017E-2</v>
      </c>
      <c r="Q57" s="221">
        <v>0.05</v>
      </c>
      <c r="R57" s="222">
        <f t="shared" ref="R57:R65" si="3">+P57-Q57</f>
        <v>0</v>
      </c>
      <c r="S57" s="216"/>
      <c r="T57" s="216"/>
      <c r="U57" s="216"/>
      <c r="V57" s="216"/>
      <c r="W57" s="216"/>
      <c r="X57" s="216"/>
      <c r="Y57" s="216"/>
      <c r="Z57" s="216"/>
      <c r="AA57" s="216"/>
      <c r="AB57" s="216"/>
      <c r="AC57" s="216"/>
      <c r="AD57" s="216"/>
    </row>
    <row r="58" spans="1:30" x14ac:dyDescent="0.25">
      <c r="A58" s="596"/>
      <c r="B58" s="598"/>
      <c r="C58" s="223" t="s">
        <v>68</v>
      </c>
      <c r="D58" s="224">
        <f t="shared" si="2"/>
        <v>2.5000000000000009E-3</v>
      </c>
      <c r="E58" s="224">
        <f t="shared" si="2"/>
        <v>4.5000000000000005E-3</v>
      </c>
      <c r="F58" s="224">
        <f t="shared" si="2"/>
        <v>4.5000000000000005E-3</v>
      </c>
      <c r="G58" s="224">
        <f t="shared" si="2"/>
        <v>4.5000000000000005E-3</v>
      </c>
      <c r="H58" s="224">
        <f t="shared" si="2"/>
        <v>4.5000000000000005E-3</v>
      </c>
      <c r="I58" s="224">
        <f t="shared" si="2"/>
        <v>4.5000000000000005E-3</v>
      </c>
      <c r="J58" s="224">
        <f>J39*$B$38/$P$38</f>
        <v>4.5000000000000005E-3</v>
      </c>
      <c r="K58" s="224">
        <f t="shared" si="2"/>
        <v>0</v>
      </c>
      <c r="L58" s="224">
        <f t="shared" si="2"/>
        <v>0</v>
      </c>
      <c r="M58" s="224">
        <f t="shared" si="2"/>
        <v>0</v>
      </c>
      <c r="N58" s="224">
        <f t="shared" si="2"/>
        <v>0</v>
      </c>
      <c r="O58" s="224">
        <f t="shared" si="2"/>
        <v>0</v>
      </c>
      <c r="P58" s="225">
        <f>SUM(D58:O58)</f>
        <v>2.9500000000000002E-2</v>
      </c>
      <c r="Q58" s="226">
        <f>+P58</f>
        <v>2.9500000000000002E-2</v>
      </c>
      <c r="R58" s="222">
        <f t="shared" si="3"/>
        <v>0</v>
      </c>
      <c r="S58" s="216"/>
      <c r="T58" s="216"/>
      <c r="U58" s="216"/>
      <c r="V58" s="216"/>
      <c r="W58" s="216"/>
      <c r="X58" s="216"/>
      <c r="Y58" s="216"/>
      <c r="Z58" s="216"/>
      <c r="AA58" s="216"/>
      <c r="AB58" s="216"/>
      <c r="AC58" s="216"/>
      <c r="AD58" s="216"/>
    </row>
    <row r="59" spans="1:30" x14ac:dyDescent="0.25">
      <c r="A59" s="595"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623">
        <f>B40</f>
        <v>0.05</v>
      </c>
      <c r="C59" s="218" t="s">
        <v>64</v>
      </c>
      <c r="D59" s="219">
        <f t="shared" ref="D59:O60" si="4">D40*$B$40/$P$40</f>
        <v>4.0120361083249758E-3</v>
      </c>
      <c r="E59" s="219">
        <f t="shared" si="4"/>
        <v>4.0120361083249758E-3</v>
      </c>
      <c r="F59" s="219">
        <f t="shared" si="4"/>
        <v>4.1624874623871619E-3</v>
      </c>
      <c r="G59" s="219">
        <f t="shared" si="4"/>
        <v>4.1624874623871619E-3</v>
      </c>
      <c r="H59" s="219">
        <f t="shared" si="4"/>
        <v>4.1624874623871619E-3</v>
      </c>
      <c r="I59" s="219">
        <f t="shared" si="4"/>
        <v>4.1624874623871619E-3</v>
      </c>
      <c r="J59" s="219">
        <f t="shared" si="4"/>
        <v>4.1624874623871619E-3</v>
      </c>
      <c r="K59" s="219">
        <f t="shared" si="4"/>
        <v>4.1624874623871619E-3</v>
      </c>
      <c r="L59" s="219">
        <f t="shared" si="4"/>
        <v>4.1624874623871619E-3</v>
      </c>
      <c r="M59" s="219">
        <f t="shared" si="4"/>
        <v>4.1624874623871619E-3</v>
      </c>
      <c r="N59" s="219">
        <f t="shared" si="4"/>
        <v>4.1624874623871619E-3</v>
      </c>
      <c r="O59" s="219">
        <f t="shared" si="4"/>
        <v>4.5135406218655971E-3</v>
      </c>
      <c r="P59" s="220">
        <f>SUM(D59:O59)</f>
        <v>5.000000000000001E-2</v>
      </c>
      <c r="Q59" s="221">
        <v>2.5000000000000001E-2</v>
      </c>
      <c r="R59" s="222">
        <f t="shared" si="3"/>
        <v>2.5000000000000008E-2</v>
      </c>
      <c r="S59" s="216"/>
      <c r="T59" s="216"/>
      <c r="U59" s="216"/>
      <c r="V59" s="216"/>
      <c r="W59" s="216"/>
      <c r="X59" s="216"/>
      <c r="Y59" s="216"/>
      <c r="Z59" s="216"/>
      <c r="AA59" s="216"/>
      <c r="AB59" s="216"/>
      <c r="AC59" s="216"/>
      <c r="AD59" s="216"/>
    </row>
    <row r="60" spans="1:30" x14ac:dyDescent="0.25">
      <c r="A60" s="622"/>
      <c r="B60" s="624"/>
      <c r="C60" s="227" t="s">
        <v>68</v>
      </c>
      <c r="D60" s="224">
        <f t="shared" si="4"/>
        <v>4.0120361083249758E-3</v>
      </c>
      <c r="E60" s="224">
        <f t="shared" si="4"/>
        <v>4.0120361083249758E-3</v>
      </c>
      <c r="F60" s="224">
        <f t="shared" si="4"/>
        <v>4.1624874623871619E-3</v>
      </c>
      <c r="G60" s="224">
        <f t="shared" si="4"/>
        <v>4.1624874623871619E-3</v>
      </c>
      <c r="H60" s="224">
        <f t="shared" si="4"/>
        <v>4.1624874623871619E-3</v>
      </c>
      <c r="I60" s="224">
        <f t="shared" si="4"/>
        <v>4.1624874623871619E-3</v>
      </c>
      <c r="J60" s="224">
        <f t="shared" si="4"/>
        <v>4.0120361083249758E-3</v>
      </c>
      <c r="K60" s="224">
        <f t="shared" si="4"/>
        <v>0</v>
      </c>
      <c r="L60" s="224">
        <f t="shared" si="4"/>
        <v>0</v>
      </c>
      <c r="M60" s="224">
        <f t="shared" si="4"/>
        <v>0</v>
      </c>
      <c r="N60" s="224">
        <f t="shared" si="4"/>
        <v>0</v>
      </c>
      <c r="O60" s="224">
        <f t="shared" si="4"/>
        <v>0</v>
      </c>
      <c r="P60" s="225">
        <f>SUM(D60:O60)</f>
        <v>2.8686058174523577E-2</v>
      </c>
      <c r="Q60" s="226">
        <f>+P60</f>
        <v>2.8686058174523577E-2</v>
      </c>
      <c r="R60" s="222">
        <f t="shared" si="3"/>
        <v>0</v>
      </c>
      <c r="S60" s="216"/>
      <c r="T60" s="216"/>
      <c r="U60" s="216"/>
      <c r="V60" s="216"/>
      <c r="W60" s="216"/>
      <c r="X60" s="216"/>
      <c r="Y60" s="216"/>
      <c r="Z60" s="216"/>
      <c r="AA60" s="216"/>
      <c r="AB60" s="216"/>
      <c r="AC60" s="216"/>
      <c r="AD60" s="216"/>
    </row>
    <row r="61" spans="1:30" x14ac:dyDescent="0.25">
      <c r="A61" s="584"/>
      <c r="B61" s="586"/>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85"/>
      <c r="B62" s="587"/>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f>
        <v>6.5120361083249763E-3</v>
      </c>
      <c r="E65" s="237">
        <f t="shared" ref="E65:O65" si="5">E58+E60</f>
        <v>8.5120361083249763E-3</v>
      </c>
      <c r="F65" s="237">
        <f t="shared" si="5"/>
        <v>8.6624874623871632E-3</v>
      </c>
      <c r="G65" s="237">
        <f t="shared" si="5"/>
        <v>8.6624874623871632E-3</v>
      </c>
      <c r="H65" s="237">
        <f t="shared" si="5"/>
        <v>8.6624874623871632E-3</v>
      </c>
      <c r="I65" s="237">
        <f t="shared" si="5"/>
        <v>8.6624874623871632E-3</v>
      </c>
      <c r="J65" s="237">
        <f t="shared" si="5"/>
        <v>8.5120361083249763E-3</v>
      </c>
      <c r="K65" s="237">
        <f t="shared" si="5"/>
        <v>0</v>
      </c>
      <c r="L65" s="237">
        <f t="shared" si="5"/>
        <v>0</v>
      </c>
      <c r="M65" s="237">
        <f t="shared" si="5"/>
        <v>0</v>
      </c>
      <c r="N65" s="237">
        <f t="shared" si="5"/>
        <v>0</v>
      </c>
      <c r="O65" s="237">
        <f t="shared" si="5"/>
        <v>0</v>
      </c>
      <c r="P65" s="237">
        <f>P58+P60+P62</f>
        <v>5.8186058174523575E-2</v>
      </c>
      <c r="Q65" s="215"/>
      <c r="R65" s="222">
        <f t="shared" si="3"/>
        <v>5.8186058174523575E-2</v>
      </c>
      <c r="S65" s="216"/>
      <c r="T65" s="216"/>
      <c r="U65" s="216"/>
      <c r="V65" s="216"/>
      <c r="W65" s="216"/>
      <c r="X65" s="216"/>
      <c r="Y65" s="216"/>
      <c r="Z65" s="216"/>
      <c r="AA65" s="216"/>
      <c r="AB65" s="216"/>
      <c r="AC65" s="216"/>
      <c r="AD65" s="216"/>
    </row>
    <row r="66" spans="1:30" x14ac:dyDescent="0.25">
      <c r="A66" s="215"/>
      <c r="B66" s="238"/>
      <c r="C66" s="239" t="s">
        <v>68</v>
      </c>
      <c r="D66" s="240">
        <f>D65*$W$17/$B$34</f>
        <v>6.5120361083249756E-2</v>
      </c>
      <c r="E66" s="240">
        <f t="shared" ref="E66:O66" si="6">E65*$W$17/$B$34</f>
        <v>8.512036108324976E-2</v>
      </c>
      <c r="F66" s="240">
        <f t="shared" si="6"/>
        <v>8.6624874623871626E-2</v>
      </c>
      <c r="G66" s="240">
        <f t="shared" si="6"/>
        <v>8.6624874623871626E-2</v>
      </c>
      <c r="H66" s="240">
        <f t="shared" si="6"/>
        <v>8.6624874623871626E-2</v>
      </c>
      <c r="I66" s="240">
        <f t="shared" si="6"/>
        <v>8.6624874623871626E-2</v>
      </c>
      <c r="J66" s="240">
        <f>J65*$W$17/$B$34</f>
        <v>8.512036108324976E-2</v>
      </c>
      <c r="K66" s="240">
        <f t="shared" si="6"/>
        <v>0</v>
      </c>
      <c r="L66" s="240">
        <f t="shared" si="6"/>
        <v>0</v>
      </c>
      <c r="M66" s="240">
        <f t="shared" si="6"/>
        <v>0</v>
      </c>
      <c r="N66" s="240">
        <f t="shared" si="6"/>
        <v>0</v>
      </c>
      <c r="O66" s="240">
        <f t="shared" si="6"/>
        <v>0</v>
      </c>
      <c r="P66" s="241">
        <f>SUM(D66:O66)</f>
        <v>0.58186058174523581</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+D57+D59</f>
        <v>6.5120361083249763E-3</v>
      </c>
      <c r="E68" s="237">
        <f t="shared" ref="E68:O68" si="7">+E57+E59</f>
        <v>8.5120361083249763E-3</v>
      </c>
      <c r="F68" s="237">
        <f t="shared" si="7"/>
        <v>8.6624874623871632E-3</v>
      </c>
      <c r="G68" s="237">
        <f t="shared" si="7"/>
        <v>8.6624874623871632E-3</v>
      </c>
      <c r="H68" s="237">
        <f t="shared" si="7"/>
        <v>8.6624874623871632E-3</v>
      </c>
      <c r="I68" s="237">
        <f t="shared" si="7"/>
        <v>8.6624874623871632E-3</v>
      </c>
      <c r="J68" s="237">
        <f t="shared" si="7"/>
        <v>8.6624874623871632E-3</v>
      </c>
      <c r="K68" s="237">
        <f t="shared" si="7"/>
        <v>8.6624874623871632E-3</v>
      </c>
      <c r="L68" s="237">
        <f t="shared" si="7"/>
        <v>8.6624874623871632E-3</v>
      </c>
      <c r="M68" s="237">
        <f t="shared" si="7"/>
        <v>8.6624874623871632E-3</v>
      </c>
      <c r="N68" s="237">
        <f t="shared" si="7"/>
        <v>8.6624874623871632E-3</v>
      </c>
      <c r="O68" s="237">
        <f t="shared" si="7"/>
        <v>7.0135406218655976E-3</v>
      </c>
      <c r="P68" s="237">
        <f>+P57+P59+P61</f>
        <v>0.10000000000000003</v>
      </c>
      <c r="Q68" s="221"/>
      <c r="R68" s="221"/>
      <c r="S68" s="216"/>
      <c r="T68" s="216"/>
      <c r="U68" s="216"/>
      <c r="V68" s="216"/>
      <c r="W68" s="216"/>
      <c r="X68" s="216"/>
      <c r="Y68" s="216"/>
      <c r="Z68" s="216"/>
      <c r="AA68" s="216"/>
      <c r="AB68" s="216"/>
      <c r="AC68" s="216"/>
      <c r="AD68" s="216"/>
    </row>
    <row r="69" spans="1:30" x14ac:dyDescent="0.25">
      <c r="A69" s="221"/>
      <c r="B69" s="108"/>
      <c r="C69" s="239" t="s">
        <v>64</v>
      </c>
      <c r="D69" s="240">
        <f>D68*$W$17/$B$34</f>
        <v>6.5120361083249756E-2</v>
      </c>
      <c r="E69" s="240">
        <f t="shared" ref="E69:O69" si="8">E68*$W$17/$B$34</f>
        <v>8.512036108324976E-2</v>
      </c>
      <c r="F69" s="240">
        <f t="shared" si="8"/>
        <v>8.6624874623871626E-2</v>
      </c>
      <c r="G69" s="240">
        <f t="shared" si="8"/>
        <v>8.6624874623871626E-2</v>
      </c>
      <c r="H69" s="240">
        <f t="shared" si="8"/>
        <v>8.6624874623871626E-2</v>
      </c>
      <c r="I69" s="240">
        <f t="shared" si="8"/>
        <v>8.6624874623871626E-2</v>
      </c>
      <c r="J69" s="240">
        <f t="shared" si="8"/>
        <v>8.6624874623871626E-2</v>
      </c>
      <c r="K69" s="240">
        <f t="shared" si="8"/>
        <v>8.6624874623871626E-2</v>
      </c>
      <c r="L69" s="240">
        <f t="shared" si="8"/>
        <v>8.6624874623871626E-2</v>
      </c>
      <c r="M69" s="240">
        <f t="shared" si="8"/>
        <v>8.6624874623871626E-2</v>
      </c>
      <c r="N69" s="240">
        <f t="shared" si="8"/>
        <v>8.6624874623871626E-2</v>
      </c>
      <c r="O69" s="240">
        <f t="shared" si="8"/>
        <v>7.0135406218655966E-2</v>
      </c>
      <c r="P69" s="241">
        <f>SUM(D69:O69)</f>
        <v>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row r="78" spans="1:30" x14ac:dyDescent="0.25">
      <c r="A78" s="216"/>
      <c r="Q78" s="216"/>
      <c r="R78" s="216"/>
      <c r="S78" s="216"/>
      <c r="T78" s="216"/>
      <c r="U78" s="216"/>
      <c r="V78" s="216"/>
      <c r="W78" s="216"/>
      <c r="X78" s="216"/>
      <c r="Y78" s="216"/>
      <c r="Z78" s="216"/>
      <c r="AA78" s="216"/>
      <c r="AB78" s="216"/>
      <c r="AC78" s="216"/>
      <c r="AD78" s="216"/>
    </row>
    <row r="79" spans="1:30" x14ac:dyDescent="0.25">
      <c r="A79" s="216"/>
      <c r="Q79" s="216"/>
      <c r="R79" s="216"/>
      <c r="S79" s="216"/>
      <c r="T79" s="216"/>
      <c r="U79" s="216"/>
      <c r="V79" s="216"/>
      <c r="W79" s="216"/>
      <c r="X79" s="216"/>
      <c r="Y79" s="216"/>
      <c r="Z79" s="216"/>
      <c r="AA79" s="216"/>
      <c r="AB79" s="216"/>
      <c r="AC79" s="216"/>
      <c r="AD79" s="216"/>
    </row>
    <row r="80" spans="1:30" x14ac:dyDescent="0.25">
      <c r="A80" s="216"/>
      <c r="Q80" s="216"/>
      <c r="R80" s="216"/>
      <c r="S80" s="216"/>
      <c r="T80" s="216"/>
      <c r="U80" s="216"/>
      <c r="V80" s="216"/>
      <c r="W80" s="216"/>
      <c r="X80" s="216"/>
      <c r="Y80" s="216"/>
      <c r="Z80" s="216"/>
      <c r="AA80" s="216"/>
      <c r="AB80" s="216"/>
      <c r="AC80" s="216"/>
      <c r="AD80" s="216"/>
    </row>
    <row r="81" spans="1:30" x14ac:dyDescent="0.25">
      <c r="A81" s="216"/>
      <c r="Q81" s="216"/>
      <c r="R81" s="216"/>
      <c r="S81" s="216"/>
      <c r="T81" s="216"/>
      <c r="U81" s="216"/>
      <c r="V81" s="216"/>
      <c r="W81" s="216"/>
      <c r="X81" s="216"/>
      <c r="Y81" s="216"/>
      <c r="Z81" s="216"/>
      <c r="AA81" s="216"/>
      <c r="AB81" s="216"/>
      <c r="AC81" s="216"/>
      <c r="AD81" s="216"/>
    </row>
    <row r="82" spans="1:30" x14ac:dyDescent="0.25">
      <c r="A82" s="216"/>
      <c r="Q82" s="216"/>
      <c r="R82" s="216"/>
      <c r="S82" s="216"/>
      <c r="T82" s="216"/>
      <c r="U82" s="216"/>
      <c r="V82" s="216"/>
      <c r="W82" s="216"/>
      <c r="X82" s="216"/>
      <c r="Y82" s="216"/>
      <c r="Z82" s="216"/>
      <c r="AA82" s="216"/>
      <c r="AB82" s="216"/>
      <c r="AC82" s="216"/>
      <c r="AD82" s="216"/>
    </row>
    <row r="83" spans="1:30" x14ac:dyDescent="0.25">
      <c r="A83" s="216"/>
      <c r="Q83" s="216"/>
      <c r="R83" s="216"/>
      <c r="S83" s="216"/>
      <c r="T83" s="216"/>
      <c r="U83" s="216"/>
      <c r="V83" s="216"/>
      <c r="W83" s="216"/>
      <c r="X83" s="216"/>
      <c r="Y83" s="216"/>
      <c r="Z83" s="216"/>
      <c r="AA83" s="216"/>
      <c r="AB83" s="216"/>
      <c r="AC83" s="216"/>
      <c r="AD83" s="216"/>
    </row>
    <row r="84" spans="1:30" x14ac:dyDescent="0.25">
      <c r="A84" s="216"/>
      <c r="Q84" s="216"/>
      <c r="R84" s="216"/>
      <c r="S84" s="216"/>
      <c r="T84" s="216"/>
      <c r="U84" s="216"/>
      <c r="V84" s="216"/>
      <c r="W84" s="216"/>
      <c r="X84" s="216"/>
      <c r="Y84" s="216"/>
      <c r="Z84" s="216"/>
      <c r="AA84" s="216"/>
      <c r="AB84" s="216"/>
      <c r="AC84" s="216"/>
      <c r="AD84" s="216"/>
    </row>
    <row r="85" spans="1:30" x14ac:dyDescent="0.25">
      <c r="A85" s="216"/>
      <c r="Q85" s="216"/>
      <c r="R85" s="216"/>
      <c r="S85" s="216"/>
      <c r="T85" s="216"/>
      <c r="U85" s="216"/>
      <c r="V85" s="216"/>
      <c r="W85" s="216"/>
      <c r="X85" s="216"/>
      <c r="Y85" s="216"/>
      <c r="Z85" s="216"/>
      <c r="AA85" s="216"/>
      <c r="AB85" s="216"/>
      <c r="AC85" s="216"/>
      <c r="AD85" s="216"/>
    </row>
  </sheetData>
  <mergeCells count="86">
    <mergeCell ref="A61:A62"/>
    <mergeCell ref="B61:B62"/>
    <mergeCell ref="A55:A56"/>
    <mergeCell ref="B55:B56"/>
    <mergeCell ref="C55:P55"/>
    <mergeCell ref="A57:A58"/>
    <mergeCell ref="B57:B58"/>
    <mergeCell ref="A59:A60"/>
    <mergeCell ref="B59:B60"/>
    <mergeCell ref="A40:A41"/>
    <mergeCell ref="B40:B41"/>
    <mergeCell ref="Q40:AD41"/>
    <mergeCell ref="A36:A37"/>
    <mergeCell ref="B36:B37"/>
    <mergeCell ref="C36:P36"/>
    <mergeCell ref="Q36:AD36"/>
    <mergeCell ref="Q37:AD37"/>
    <mergeCell ref="A38:A39"/>
    <mergeCell ref="B38:B39"/>
    <mergeCell ref="Q38:AD39"/>
    <mergeCell ref="A34:A35"/>
    <mergeCell ref="B34:B35"/>
    <mergeCell ref="W34:Z35"/>
    <mergeCell ref="AA34:AD35"/>
    <mergeCell ref="Q33:S33"/>
    <mergeCell ref="T33:V33"/>
    <mergeCell ref="Q34:S35"/>
    <mergeCell ref="T34:V35"/>
    <mergeCell ref="B30:C30"/>
    <mergeCell ref="Q30:AD30"/>
    <mergeCell ref="A31:AD31"/>
    <mergeCell ref="A32:A33"/>
    <mergeCell ref="B32:B33"/>
    <mergeCell ref="C32:C33"/>
    <mergeCell ref="D32:P32"/>
    <mergeCell ref="Q32:AD32"/>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19:AD19"/>
    <mergeCell ref="Q20:AD20"/>
    <mergeCell ref="C20:P20"/>
    <mergeCell ref="A22:B22"/>
    <mergeCell ref="AC17:AD17"/>
    <mergeCell ref="A11:B13"/>
    <mergeCell ref="D7:H9"/>
    <mergeCell ref="I7:J9"/>
    <mergeCell ref="K7:L9"/>
    <mergeCell ref="C11:AD13"/>
    <mergeCell ref="C7:C9"/>
    <mergeCell ref="AF22:AM2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W34 AA34 Q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BA44"/>
  <sheetViews>
    <sheetView showGridLines="0" topLeftCell="P19" zoomScale="65" zoomScaleNormal="65" workbookViewId="0">
      <selection activeCell="AD21" sqref="AD2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1.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103</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3"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c r="BA16" s="309"/>
    </row>
    <row r="17" spans="1:53" s="76" customFormat="1" ht="37.5" customHeight="1" thickBot="1" x14ac:dyDescent="0.3">
      <c r="A17" s="512" t="s">
        <v>23</v>
      </c>
      <c r="B17" s="513"/>
      <c r="C17" s="514" t="s">
        <v>121</v>
      </c>
      <c r="D17" s="515"/>
      <c r="E17" s="515"/>
      <c r="F17" s="515"/>
      <c r="G17" s="515"/>
      <c r="H17" s="515"/>
      <c r="I17" s="515"/>
      <c r="J17" s="515"/>
      <c r="K17" s="515"/>
      <c r="L17" s="515"/>
      <c r="M17" s="515"/>
      <c r="N17" s="515"/>
      <c r="O17" s="515"/>
      <c r="P17" s="515"/>
      <c r="Q17" s="516"/>
      <c r="R17" s="501" t="s">
        <v>25</v>
      </c>
      <c r="S17" s="502"/>
      <c r="T17" s="502"/>
      <c r="U17" s="502"/>
      <c r="V17" s="503"/>
      <c r="W17" s="517">
        <v>13</v>
      </c>
      <c r="X17" s="518"/>
      <c r="Y17" s="502" t="s">
        <v>26</v>
      </c>
      <c r="Z17" s="502"/>
      <c r="AA17" s="502"/>
      <c r="AB17" s="503"/>
      <c r="AC17" s="519">
        <v>0.15</v>
      </c>
      <c r="AD17" s="520"/>
      <c r="AX17" s="353"/>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203"/>
      <c r="B20" s="58"/>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204"/>
      <c r="B21" s="7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c r="BA21" s="309"/>
    </row>
    <row r="22" spans="1:53" ht="32.1" customHeight="1" x14ac:dyDescent="0.25">
      <c r="A22" s="452" t="s">
        <v>108</v>
      </c>
      <c r="B22" s="454"/>
      <c r="C22" s="322"/>
      <c r="D22" s="323"/>
      <c r="E22" s="323"/>
      <c r="F22" s="323"/>
      <c r="G22" s="323"/>
      <c r="H22" s="323"/>
      <c r="I22" s="323"/>
      <c r="J22" s="323"/>
      <c r="K22" s="323"/>
      <c r="L22" s="323"/>
      <c r="M22" s="323"/>
      <c r="N22" s="323"/>
      <c r="O22" s="323">
        <f>SUM(C22:N22)</f>
        <v>0</v>
      </c>
      <c r="P22" s="380"/>
      <c r="Q22" s="322">
        <v>187995600</v>
      </c>
      <c r="R22" s="323"/>
      <c r="S22" s="323"/>
      <c r="T22" s="323">
        <v>21559511</v>
      </c>
      <c r="U22" s="323"/>
      <c r="V22" s="323">
        <f>2445118+34249272-3569820</f>
        <v>33124570</v>
      </c>
      <c r="W22" s="323"/>
      <c r="X22" s="323"/>
      <c r="Y22" s="323"/>
      <c r="Z22" s="323"/>
      <c r="AA22" s="323"/>
      <c r="AB22" s="323"/>
      <c r="AC22" s="376">
        <f>SUM(Q22:AB22)</f>
        <v>242679681</v>
      </c>
      <c r="AD22" s="183"/>
      <c r="AE22" s="3"/>
      <c r="AF22" s="625" t="s">
        <v>573</v>
      </c>
      <c r="AG22" s="625"/>
      <c r="AH22" s="625"/>
      <c r="AI22" s="625"/>
      <c r="AJ22" s="625"/>
      <c r="AK22" s="625"/>
      <c r="AL22" s="625"/>
      <c r="AM22" s="625"/>
    </row>
    <row r="23" spans="1:53" ht="32.1" customHeight="1" x14ac:dyDescent="0.25">
      <c r="A23" s="453" t="s">
        <v>44</v>
      </c>
      <c r="B23" s="455"/>
      <c r="C23" s="174"/>
      <c r="D23" s="173"/>
      <c r="E23" s="173"/>
      <c r="F23" s="173"/>
      <c r="G23" s="173"/>
      <c r="H23" s="173"/>
      <c r="I23" s="173"/>
      <c r="J23" s="173"/>
      <c r="K23" s="173"/>
      <c r="L23" s="173"/>
      <c r="M23" s="173"/>
      <c r="N23" s="173"/>
      <c r="O23" s="173">
        <f>SUM(C23:N23)</f>
        <v>0</v>
      </c>
      <c r="P23" s="381"/>
      <c r="Q23" s="174">
        <v>48136000</v>
      </c>
      <c r="R23" s="173">
        <v>106411067</v>
      </c>
      <c r="S23" s="173">
        <v>29070932</v>
      </c>
      <c r="T23" s="173">
        <v>-3221999</v>
      </c>
      <c r="U23" s="173">
        <v>23423763</v>
      </c>
      <c r="V23" s="173">
        <v>11200000</v>
      </c>
      <c r="W23" s="173">
        <v>0</v>
      </c>
      <c r="X23" s="173"/>
      <c r="Y23" s="173"/>
      <c r="Z23" s="173"/>
      <c r="AA23" s="173"/>
      <c r="AB23" s="173"/>
      <c r="AC23" s="377">
        <f>SUM(Q23:AB23)</f>
        <v>215019763</v>
      </c>
      <c r="AD23" s="181">
        <f>IFERROR(AC23/(SUMIF(Q23:AB23,"&gt;0",Q22:AB22))," ")</f>
        <v>0.97241134990082545</v>
      </c>
      <c r="AE23" s="3"/>
      <c r="AF23" s="625"/>
      <c r="AG23" s="625"/>
      <c r="AH23" s="625"/>
      <c r="AI23" s="625"/>
      <c r="AJ23" s="625"/>
      <c r="AK23" s="625"/>
      <c r="AL23" s="625"/>
      <c r="AM23" s="625"/>
    </row>
    <row r="24" spans="1:53" ht="32.1" customHeight="1" x14ac:dyDescent="0.25">
      <c r="A24" s="453" t="s">
        <v>109</v>
      </c>
      <c r="B24" s="455"/>
      <c r="C24" s="174">
        <v>19304538</v>
      </c>
      <c r="D24" s="173">
        <f>494400+543840+4505045</f>
        <v>5543285</v>
      </c>
      <c r="E24" s="173"/>
      <c r="F24" s="173"/>
      <c r="G24" s="173"/>
      <c r="H24" s="173">
        <v>-1</v>
      </c>
      <c r="I24" s="173"/>
      <c r="J24" s="173"/>
      <c r="K24" s="173"/>
      <c r="L24" s="173"/>
      <c r="M24" s="173"/>
      <c r="N24" s="173"/>
      <c r="O24" s="173">
        <f>SUM(C24:N24)</f>
        <v>24847822</v>
      </c>
      <c r="P24" s="177"/>
      <c r="Q24" s="174"/>
      <c r="R24" s="173">
        <v>7727600</v>
      </c>
      <c r="S24" s="173">
        <v>16388000</v>
      </c>
      <c r="T24" s="173">
        <v>16388000</v>
      </c>
      <c r="U24" s="173">
        <f>16388000+21559511</f>
        <v>37947511</v>
      </c>
      <c r="V24" s="173">
        <f>16388000-3569820</f>
        <v>12818180</v>
      </c>
      <c r="W24" s="173">
        <f>16388000+2445118+11416424</f>
        <v>30249542</v>
      </c>
      <c r="X24" s="173">
        <v>16388000</v>
      </c>
      <c r="Y24" s="173">
        <f>16388000+11416424</f>
        <v>27804424</v>
      </c>
      <c r="Z24" s="173">
        <v>16388000</v>
      </c>
      <c r="AA24" s="173">
        <f>16388000+11416424</f>
        <v>27804424</v>
      </c>
      <c r="AB24" s="173">
        <v>32776000</v>
      </c>
      <c r="AC24" s="206">
        <f>SUM(Q24:AB24)</f>
        <v>242679681</v>
      </c>
      <c r="AD24" s="181"/>
      <c r="AE24" s="3"/>
      <c r="AF24" s="625"/>
      <c r="AG24" s="625"/>
      <c r="AH24" s="625"/>
      <c r="AI24" s="625"/>
      <c r="AJ24" s="625"/>
      <c r="AK24" s="625"/>
      <c r="AL24" s="625"/>
      <c r="AM24" s="625"/>
    </row>
    <row r="25" spans="1:53" ht="32.1" customHeight="1" thickBot="1" x14ac:dyDescent="0.3">
      <c r="A25" s="481" t="s">
        <v>46</v>
      </c>
      <c r="B25" s="487"/>
      <c r="C25" s="324">
        <v>543840</v>
      </c>
      <c r="D25" s="175">
        <v>18760518</v>
      </c>
      <c r="E25" s="175" t="s">
        <v>47</v>
      </c>
      <c r="F25" s="175">
        <v>5151217</v>
      </c>
      <c r="G25" s="175">
        <v>0</v>
      </c>
      <c r="H25" s="175">
        <v>382120</v>
      </c>
      <c r="I25" s="175">
        <v>0</v>
      </c>
      <c r="J25" s="175"/>
      <c r="K25" s="175"/>
      <c r="L25" s="175"/>
      <c r="M25" s="175"/>
      <c r="N25" s="175"/>
      <c r="O25" s="175">
        <f>SUM(C25:N25)</f>
        <v>24837695</v>
      </c>
      <c r="P25" s="180">
        <f>+O25/O24</f>
        <v>0.99959243912806528</v>
      </c>
      <c r="Q25" s="324" t="s">
        <v>48</v>
      </c>
      <c r="R25" s="175">
        <v>1078933</v>
      </c>
      <c r="S25" s="175">
        <v>7823734</v>
      </c>
      <c r="T25" s="175">
        <v>13298133</v>
      </c>
      <c r="U25" s="175">
        <v>17920800</v>
      </c>
      <c r="V25" s="175">
        <v>17866933</v>
      </c>
      <c r="W25" s="175">
        <v>44143230</v>
      </c>
      <c r="X25" s="175"/>
      <c r="Y25" s="175"/>
      <c r="Z25" s="175"/>
      <c r="AA25" s="175"/>
      <c r="AB25" s="175"/>
      <c r="AC25" s="175">
        <f>SUM(Q25:AB25)</f>
        <v>102131763</v>
      </c>
      <c r="AD25" s="182">
        <f>IFERROR(AC25/(SUMIF(Q25:AB25,"&gt;0",Q24:AB24))," ")</f>
        <v>0.84046036715971428</v>
      </c>
      <c r="AE25" s="3"/>
      <c r="AF25" s="625"/>
      <c r="AG25" s="625"/>
      <c r="AH25" s="625"/>
      <c r="AI25" s="625"/>
      <c r="AJ25" s="625"/>
      <c r="AK25" s="625"/>
      <c r="AL25" s="625"/>
      <c r="AM25" s="625"/>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thickBot="1" x14ac:dyDescent="0.3">
      <c r="A30" s="85" t="s">
        <v>122</v>
      </c>
      <c r="B30" s="470"/>
      <c r="C30" s="471"/>
      <c r="D30" s="89"/>
      <c r="E30" s="89"/>
      <c r="F30" s="282"/>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3.1" customHeight="1" x14ac:dyDescent="0.25">
      <c r="A32" s="452" t="s">
        <v>56</v>
      </c>
      <c r="B32" s="456" t="s">
        <v>57</v>
      </c>
      <c r="C32" s="456" t="s">
        <v>51</v>
      </c>
      <c r="D32" s="456" t="s">
        <v>58</v>
      </c>
      <c r="E32" s="456"/>
      <c r="F32" s="456"/>
      <c r="G32" s="456"/>
      <c r="H32" s="456"/>
      <c r="I32" s="456"/>
      <c r="J32" s="456"/>
      <c r="K32" s="456"/>
      <c r="L32" s="456"/>
      <c r="M32" s="456"/>
      <c r="N32" s="456"/>
      <c r="O32" s="456"/>
      <c r="P32" s="454"/>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x14ac:dyDescent="0.25">
      <c r="A33" s="481"/>
      <c r="B33" s="482"/>
      <c r="C33" s="695"/>
      <c r="D33" s="252" t="s">
        <v>30</v>
      </c>
      <c r="E33" s="252" t="s">
        <v>31</v>
      </c>
      <c r="F33" s="252" t="s">
        <v>8</v>
      </c>
      <c r="G33" s="252" t="s">
        <v>32</v>
      </c>
      <c r="H33" s="252" t="s">
        <v>33</v>
      </c>
      <c r="I33" s="252" t="s">
        <v>34</v>
      </c>
      <c r="J33" s="252" t="s">
        <v>35</v>
      </c>
      <c r="K33" s="252" t="s">
        <v>36</v>
      </c>
      <c r="L33" s="252" t="s">
        <v>37</v>
      </c>
      <c r="M33" s="252" t="s">
        <v>38</v>
      </c>
      <c r="N33" s="252" t="s">
        <v>39</v>
      </c>
      <c r="O33" s="252" t="s">
        <v>40</v>
      </c>
      <c r="P33" s="317"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126" customHeight="1" x14ac:dyDescent="0.25">
      <c r="A34" s="688" t="s">
        <v>122</v>
      </c>
      <c r="B34" s="689">
        <v>0.15</v>
      </c>
      <c r="C34" s="90" t="s">
        <v>64</v>
      </c>
      <c r="D34" s="287">
        <v>13</v>
      </c>
      <c r="E34" s="214">
        <v>13</v>
      </c>
      <c r="F34" s="214">
        <v>13</v>
      </c>
      <c r="G34" s="214">
        <v>13</v>
      </c>
      <c r="H34" s="214">
        <v>13</v>
      </c>
      <c r="I34" s="214">
        <v>13</v>
      </c>
      <c r="J34" s="214">
        <v>13</v>
      </c>
      <c r="K34" s="214">
        <v>13</v>
      </c>
      <c r="L34" s="214">
        <v>13</v>
      </c>
      <c r="M34" s="214">
        <v>13</v>
      </c>
      <c r="N34" s="214">
        <v>13</v>
      </c>
      <c r="O34" s="214">
        <v>13</v>
      </c>
      <c r="P34" s="335">
        <v>13</v>
      </c>
      <c r="Q34" s="691" t="s">
        <v>123</v>
      </c>
      <c r="R34" s="692"/>
      <c r="S34" s="693"/>
      <c r="T34" s="692" t="s">
        <v>124</v>
      </c>
      <c r="U34" s="692"/>
      <c r="V34" s="693"/>
      <c r="W34" s="679" t="s">
        <v>125</v>
      </c>
      <c r="X34" s="680"/>
      <c r="Y34" s="680"/>
      <c r="Z34" s="694"/>
      <c r="AA34" s="679" t="s">
        <v>126</v>
      </c>
      <c r="AB34" s="680"/>
      <c r="AC34" s="680"/>
      <c r="AD34" s="681"/>
      <c r="AG34" s="284"/>
      <c r="AH34" s="284"/>
      <c r="AI34" s="284"/>
      <c r="AJ34" s="87"/>
      <c r="AK34" s="87"/>
      <c r="AL34" s="87"/>
      <c r="AM34" s="87"/>
      <c r="AN34" s="87"/>
      <c r="AO34" s="87"/>
    </row>
    <row r="35" spans="1:41" ht="144.75" customHeight="1" x14ac:dyDescent="0.25">
      <c r="A35" s="688"/>
      <c r="B35" s="690"/>
      <c r="C35" s="248" t="s">
        <v>68</v>
      </c>
      <c r="D35" s="288">
        <v>13</v>
      </c>
      <c r="E35" s="288">
        <v>13</v>
      </c>
      <c r="F35" s="288">
        <v>13</v>
      </c>
      <c r="G35" s="288">
        <v>13</v>
      </c>
      <c r="H35" s="288">
        <v>13</v>
      </c>
      <c r="I35" s="288">
        <v>12</v>
      </c>
      <c r="J35" s="288">
        <v>12</v>
      </c>
      <c r="K35" s="288"/>
      <c r="L35" s="288"/>
      <c r="M35" s="288"/>
      <c r="N35" s="288"/>
      <c r="O35" s="288"/>
      <c r="P35" s="382">
        <f>AVERAGE(D35:I35)</f>
        <v>12.833333333333334</v>
      </c>
      <c r="Q35" s="691"/>
      <c r="R35" s="692"/>
      <c r="S35" s="693"/>
      <c r="T35" s="692"/>
      <c r="U35" s="692"/>
      <c r="V35" s="693"/>
      <c r="W35" s="679"/>
      <c r="X35" s="680"/>
      <c r="Y35" s="680"/>
      <c r="Z35" s="694"/>
      <c r="AA35" s="679"/>
      <c r="AB35" s="680"/>
      <c r="AC35" s="680"/>
      <c r="AD35" s="681"/>
      <c r="AE35" s="49"/>
      <c r="AG35" s="284"/>
      <c r="AH35" s="284"/>
      <c r="AI35" s="284"/>
      <c r="AJ35" s="87"/>
      <c r="AK35" s="87"/>
      <c r="AL35" s="87"/>
      <c r="AM35" s="87"/>
      <c r="AN35" s="87"/>
      <c r="AO35" s="87"/>
    </row>
    <row r="36" spans="1:41" ht="26.1" customHeight="1" x14ac:dyDescent="0.25">
      <c r="A36" s="452" t="s">
        <v>69</v>
      </c>
      <c r="B36" s="456" t="s">
        <v>70</v>
      </c>
      <c r="C36" s="480" t="s">
        <v>71</v>
      </c>
      <c r="D36" s="456"/>
      <c r="E36" s="456"/>
      <c r="F36" s="456"/>
      <c r="G36" s="456"/>
      <c r="H36" s="456"/>
      <c r="I36" s="456"/>
      <c r="J36" s="456"/>
      <c r="K36" s="456"/>
      <c r="L36" s="456"/>
      <c r="M36" s="456"/>
      <c r="N36" s="456"/>
      <c r="O36" s="456"/>
      <c r="P36" s="454"/>
      <c r="Q36" s="682"/>
      <c r="R36" s="683"/>
      <c r="S36" s="683"/>
      <c r="T36" s="683"/>
      <c r="U36" s="683"/>
      <c r="V36" s="683"/>
      <c r="W36" s="683"/>
      <c r="X36" s="683"/>
      <c r="Y36" s="683"/>
      <c r="Z36" s="683"/>
      <c r="AA36" s="683"/>
      <c r="AB36" s="683"/>
      <c r="AC36" s="683"/>
      <c r="AD36" s="684"/>
      <c r="AG36" s="284"/>
      <c r="AH36" s="284"/>
      <c r="AI36" s="284"/>
      <c r="AJ36" s="87"/>
      <c r="AK36" s="87"/>
      <c r="AL36" s="87"/>
      <c r="AM36" s="87"/>
      <c r="AN36" s="87"/>
      <c r="AO36" s="87"/>
    </row>
    <row r="37" spans="1:41" ht="26.1" customHeight="1" x14ac:dyDescent="0.25">
      <c r="A37" s="453"/>
      <c r="B37" s="478"/>
      <c r="C37" s="208" t="s">
        <v>73</v>
      </c>
      <c r="D37" s="88" t="s">
        <v>74</v>
      </c>
      <c r="E37" s="88" t="s">
        <v>75</v>
      </c>
      <c r="F37" s="88" t="s">
        <v>76</v>
      </c>
      <c r="G37" s="88" t="s">
        <v>77</v>
      </c>
      <c r="H37" s="88" t="s">
        <v>78</v>
      </c>
      <c r="I37" s="88" t="s">
        <v>79</v>
      </c>
      <c r="J37" s="88" t="s">
        <v>80</v>
      </c>
      <c r="K37" s="88" t="s">
        <v>81</v>
      </c>
      <c r="L37" s="88" t="s">
        <v>82</v>
      </c>
      <c r="M37" s="88" t="s">
        <v>83</v>
      </c>
      <c r="N37" s="88" t="s">
        <v>84</v>
      </c>
      <c r="O37" s="88" t="s">
        <v>85</v>
      </c>
      <c r="P37" s="316" t="s">
        <v>86</v>
      </c>
      <c r="Q37" s="685" t="s">
        <v>87</v>
      </c>
      <c r="R37" s="686"/>
      <c r="S37" s="686"/>
      <c r="T37" s="686"/>
      <c r="U37" s="686"/>
      <c r="V37" s="686"/>
      <c r="W37" s="686"/>
      <c r="X37" s="686"/>
      <c r="Y37" s="686"/>
      <c r="Z37" s="686"/>
      <c r="AA37" s="686"/>
      <c r="AB37" s="686"/>
      <c r="AC37" s="686"/>
      <c r="AD37" s="687"/>
      <c r="AG37" s="94"/>
      <c r="AH37" s="94"/>
      <c r="AI37" s="94"/>
      <c r="AJ37" s="94"/>
      <c r="AK37" s="94"/>
      <c r="AL37" s="94"/>
      <c r="AM37" s="94"/>
      <c r="AN37" s="94"/>
      <c r="AO37" s="94"/>
    </row>
    <row r="38" spans="1:41" ht="45" customHeight="1" x14ac:dyDescent="0.25">
      <c r="A38" s="671" t="s">
        <v>127</v>
      </c>
      <c r="B38" s="610">
        <v>0.05</v>
      </c>
      <c r="C38" s="211" t="s">
        <v>64</v>
      </c>
      <c r="D38" s="272">
        <v>0</v>
      </c>
      <c r="E38" s="272">
        <v>0.25</v>
      </c>
      <c r="F38" s="95">
        <v>0</v>
      </c>
      <c r="G38" s="95">
        <v>0</v>
      </c>
      <c r="H38" s="95">
        <v>0.25</v>
      </c>
      <c r="I38" s="95">
        <v>0</v>
      </c>
      <c r="J38" s="95">
        <v>0</v>
      </c>
      <c r="K38" s="95">
        <v>0.25</v>
      </c>
      <c r="L38" s="95">
        <v>0</v>
      </c>
      <c r="M38" s="95">
        <v>0</v>
      </c>
      <c r="N38" s="95">
        <v>0.25</v>
      </c>
      <c r="O38" s="95">
        <v>0</v>
      </c>
      <c r="P38" s="96">
        <f t="shared" ref="P38:P43" si="0">SUM(D38:O38)</f>
        <v>1</v>
      </c>
      <c r="Q38" s="673" t="s">
        <v>572</v>
      </c>
      <c r="R38" s="674"/>
      <c r="S38" s="674"/>
      <c r="T38" s="674"/>
      <c r="U38" s="674"/>
      <c r="V38" s="674"/>
      <c r="W38" s="674"/>
      <c r="X38" s="674"/>
      <c r="Y38" s="674"/>
      <c r="Z38" s="674"/>
      <c r="AA38" s="674"/>
      <c r="AB38" s="674"/>
      <c r="AC38" s="674"/>
      <c r="AD38" s="675"/>
      <c r="AE38" s="285"/>
      <c r="AG38" s="98"/>
      <c r="AH38" s="98"/>
      <c r="AI38" s="98"/>
      <c r="AJ38" s="98"/>
      <c r="AK38" s="98"/>
      <c r="AL38" s="98"/>
      <c r="AM38" s="98"/>
      <c r="AN38" s="98"/>
      <c r="AO38" s="98"/>
    </row>
    <row r="39" spans="1:41" ht="45" customHeight="1" x14ac:dyDescent="0.25">
      <c r="A39" s="672"/>
      <c r="B39" s="602"/>
      <c r="C39" s="212" t="s">
        <v>68</v>
      </c>
      <c r="D39" s="270">
        <v>0</v>
      </c>
      <c r="E39" s="270">
        <v>0.25</v>
      </c>
      <c r="F39" s="100">
        <v>0</v>
      </c>
      <c r="G39" s="100">
        <v>0</v>
      </c>
      <c r="H39" s="100">
        <v>0.23</v>
      </c>
      <c r="I39" s="100">
        <v>0.02</v>
      </c>
      <c r="J39" s="100">
        <v>0</v>
      </c>
      <c r="K39" s="100"/>
      <c r="L39" s="100"/>
      <c r="M39" s="100"/>
      <c r="N39" s="100"/>
      <c r="O39" s="100"/>
      <c r="P39" s="101">
        <f t="shared" si="0"/>
        <v>0.5</v>
      </c>
      <c r="Q39" s="676"/>
      <c r="R39" s="677"/>
      <c r="S39" s="677"/>
      <c r="T39" s="677"/>
      <c r="U39" s="677"/>
      <c r="V39" s="677"/>
      <c r="W39" s="677"/>
      <c r="X39" s="677"/>
      <c r="Y39" s="677"/>
      <c r="Z39" s="677"/>
      <c r="AA39" s="677"/>
      <c r="AB39" s="677"/>
      <c r="AC39" s="677"/>
      <c r="AD39" s="678"/>
      <c r="AE39" s="285"/>
    </row>
    <row r="40" spans="1:41" ht="67.5" customHeight="1" x14ac:dyDescent="0.25">
      <c r="A40" s="671" t="s">
        <v>128</v>
      </c>
      <c r="B40" s="610">
        <v>0.05</v>
      </c>
      <c r="C40" s="213" t="s">
        <v>64</v>
      </c>
      <c r="D40" s="273">
        <v>0</v>
      </c>
      <c r="E40" s="273">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673" t="s">
        <v>574</v>
      </c>
      <c r="R40" s="674"/>
      <c r="S40" s="674"/>
      <c r="T40" s="674"/>
      <c r="U40" s="674"/>
      <c r="V40" s="674"/>
      <c r="W40" s="674"/>
      <c r="X40" s="674"/>
      <c r="Y40" s="674"/>
      <c r="Z40" s="674"/>
      <c r="AA40" s="674"/>
      <c r="AB40" s="674"/>
      <c r="AC40" s="674"/>
      <c r="AD40" s="675"/>
      <c r="AE40" s="97"/>
    </row>
    <row r="41" spans="1:41" ht="45" customHeight="1" x14ac:dyDescent="0.25">
      <c r="A41" s="672"/>
      <c r="B41" s="602"/>
      <c r="C41" s="212" t="s">
        <v>68</v>
      </c>
      <c r="D41" s="270">
        <v>0</v>
      </c>
      <c r="E41" s="270">
        <v>0.17</v>
      </c>
      <c r="F41" s="283">
        <v>0.17</v>
      </c>
      <c r="G41" s="283">
        <v>0.16600000000000001</v>
      </c>
      <c r="H41" s="283">
        <v>0.1</v>
      </c>
      <c r="I41" s="283">
        <v>7.0000000000000007E-2</v>
      </c>
      <c r="J41" s="283">
        <v>0</v>
      </c>
      <c r="K41" s="100"/>
      <c r="L41" s="104"/>
      <c r="M41" s="104"/>
      <c r="N41" s="104"/>
      <c r="O41" s="104"/>
      <c r="P41" s="101">
        <f t="shared" si="0"/>
        <v>0.67599999999999993</v>
      </c>
      <c r="Q41" s="676"/>
      <c r="R41" s="677"/>
      <c r="S41" s="677"/>
      <c r="T41" s="677"/>
      <c r="U41" s="677"/>
      <c r="V41" s="677"/>
      <c r="W41" s="677"/>
      <c r="X41" s="677"/>
      <c r="Y41" s="677"/>
      <c r="Z41" s="677"/>
      <c r="AA41" s="677"/>
      <c r="AB41" s="677"/>
      <c r="AC41" s="677"/>
      <c r="AD41" s="678"/>
      <c r="AE41" s="97"/>
    </row>
    <row r="42" spans="1:41" ht="67.5" customHeight="1" x14ac:dyDescent="0.25">
      <c r="A42" s="663" t="s">
        <v>129</v>
      </c>
      <c r="B42" s="601">
        <v>0.05</v>
      </c>
      <c r="C42" s="102" t="s">
        <v>64</v>
      </c>
      <c r="D42" s="273">
        <v>0</v>
      </c>
      <c r="E42" s="273">
        <v>0</v>
      </c>
      <c r="F42" s="103">
        <v>0.5</v>
      </c>
      <c r="G42" s="103">
        <v>0</v>
      </c>
      <c r="H42" s="103">
        <v>0</v>
      </c>
      <c r="I42" s="103">
        <v>0</v>
      </c>
      <c r="J42" s="103">
        <v>0</v>
      </c>
      <c r="K42" s="103">
        <v>0</v>
      </c>
      <c r="L42" s="103">
        <v>0.5</v>
      </c>
      <c r="M42" s="103">
        <v>0</v>
      </c>
      <c r="N42" s="103">
        <v>0</v>
      </c>
      <c r="O42" s="103">
        <v>0</v>
      </c>
      <c r="P42" s="101">
        <f t="shared" si="0"/>
        <v>1</v>
      </c>
      <c r="Q42" s="665" t="s">
        <v>130</v>
      </c>
      <c r="R42" s="666"/>
      <c r="S42" s="666"/>
      <c r="T42" s="666"/>
      <c r="U42" s="666"/>
      <c r="V42" s="666"/>
      <c r="W42" s="666"/>
      <c r="X42" s="666"/>
      <c r="Y42" s="666"/>
      <c r="Z42" s="666"/>
      <c r="AA42" s="666"/>
      <c r="AB42" s="666"/>
      <c r="AC42" s="666"/>
      <c r="AD42" s="667"/>
      <c r="AE42" s="97"/>
    </row>
    <row r="43" spans="1:41" ht="45" customHeight="1" x14ac:dyDescent="0.25">
      <c r="A43" s="664"/>
      <c r="B43" s="605"/>
      <c r="C43" s="91" t="s">
        <v>68</v>
      </c>
      <c r="D43" s="271">
        <v>0</v>
      </c>
      <c r="E43" s="271">
        <v>0.1</v>
      </c>
      <c r="F43" s="105">
        <v>0.4</v>
      </c>
      <c r="G43" s="105">
        <v>0</v>
      </c>
      <c r="H43" s="105">
        <v>0.25</v>
      </c>
      <c r="I43" s="105">
        <v>0.02</v>
      </c>
      <c r="J43" s="105">
        <v>0</v>
      </c>
      <c r="K43" s="105"/>
      <c r="L43" s="106"/>
      <c r="M43" s="106"/>
      <c r="N43" s="106"/>
      <c r="O43" s="106"/>
      <c r="P43" s="107">
        <f t="shared" si="0"/>
        <v>0.77</v>
      </c>
      <c r="Q43" s="668"/>
      <c r="R43" s="669"/>
      <c r="S43" s="669"/>
      <c r="T43" s="669"/>
      <c r="U43" s="669"/>
      <c r="V43" s="669"/>
      <c r="W43" s="669"/>
      <c r="X43" s="669"/>
      <c r="Y43" s="669"/>
      <c r="Z43" s="669"/>
      <c r="AA43" s="669"/>
      <c r="AB43" s="669"/>
      <c r="AC43" s="669"/>
      <c r="AD43" s="670"/>
      <c r="AE43" s="97"/>
    </row>
    <row r="44" spans="1:41" x14ac:dyDescent="0.25">
      <c r="A44" s="50" t="s">
        <v>90</v>
      </c>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list" allowBlank="1" showInputMessage="1" showErrorMessage="1" sqref="C7:C9" xr:uid="{9F5873FB-1A7F-40FA-8A99-29BD22983586}">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Q38:AD43 Q34 W34 AA34"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A98"/>
  <sheetViews>
    <sheetView showGridLines="0" topLeftCell="M17" zoomScale="65" zoomScaleNormal="65" workbookViewId="0">
      <selection activeCell="M26" sqref="M26"/>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20.28515625"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3"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c r="BA16" s="309"/>
    </row>
    <row r="17" spans="1:53" s="76" customFormat="1" ht="37.5" customHeight="1" thickBot="1" x14ac:dyDescent="0.3">
      <c r="A17" s="512" t="s">
        <v>23</v>
      </c>
      <c r="B17" s="513"/>
      <c r="C17" s="514" t="s">
        <v>142</v>
      </c>
      <c r="D17" s="515"/>
      <c r="E17" s="515"/>
      <c r="F17" s="515"/>
      <c r="G17" s="515"/>
      <c r="H17" s="515"/>
      <c r="I17" s="515"/>
      <c r="J17" s="515"/>
      <c r="K17" s="515"/>
      <c r="L17" s="515"/>
      <c r="M17" s="515"/>
      <c r="N17" s="515"/>
      <c r="O17" s="515"/>
      <c r="P17" s="515"/>
      <c r="Q17" s="516"/>
      <c r="R17" s="501" t="s">
        <v>25</v>
      </c>
      <c r="S17" s="502"/>
      <c r="T17" s="502"/>
      <c r="U17" s="502"/>
      <c r="V17" s="503"/>
      <c r="W17" s="720">
        <v>0.25</v>
      </c>
      <c r="X17" s="721"/>
      <c r="Y17" s="502" t="s">
        <v>26</v>
      </c>
      <c r="Z17" s="502"/>
      <c r="AA17" s="502"/>
      <c r="AB17" s="503"/>
      <c r="AC17" s="519">
        <v>0.15</v>
      </c>
      <c r="AD17" s="520"/>
      <c r="AX17" s="353"/>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c r="BA21" s="309"/>
    </row>
    <row r="22" spans="1:53" ht="32.1" customHeight="1" x14ac:dyDescent="0.25">
      <c r="A22" s="452" t="s">
        <v>43</v>
      </c>
      <c r="B22" s="454"/>
      <c r="C22" s="322"/>
      <c r="D22" s="323"/>
      <c r="E22" s="323"/>
      <c r="F22" s="323"/>
      <c r="G22" s="323"/>
      <c r="H22" s="323"/>
      <c r="I22" s="323"/>
      <c r="J22" s="323"/>
      <c r="K22" s="323"/>
      <c r="L22" s="323"/>
      <c r="M22" s="323"/>
      <c r="N22" s="323"/>
      <c r="O22" s="323">
        <f>SUM(C22:N22)</f>
        <v>0</v>
      </c>
      <c r="P22" s="378"/>
      <c r="Q22" s="327">
        <v>2721220256</v>
      </c>
      <c r="R22" s="323"/>
      <c r="S22" s="323">
        <f>19186926+10126938+6986000</f>
        <v>36299864</v>
      </c>
      <c r="T22" s="323">
        <f>35000000+22500000+24639441</f>
        <v>82139441</v>
      </c>
      <c r="U22" s="323"/>
      <c r="V22" s="323">
        <f>2139478+39142026-89234435</f>
        <v>-47952931</v>
      </c>
      <c r="W22" s="323">
        <v>11893445</v>
      </c>
      <c r="X22" s="323"/>
      <c r="Y22" s="323"/>
      <c r="Z22" s="323"/>
      <c r="AA22" s="323"/>
      <c r="AB22" s="323"/>
      <c r="AC22" s="376">
        <f>SUM(Q22:AB22)</f>
        <v>2803600075</v>
      </c>
      <c r="AD22" s="183"/>
      <c r="AE22" s="3"/>
      <c r="AF22" s="625" t="s">
        <v>132</v>
      </c>
      <c r="AG22" s="625"/>
      <c r="AH22" s="625"/>
      <c r="AI22" s="625"/>
      <c r="AJ22" s="625"/>
      <c r="AK22" s="625"/>
      <c r="AL22" s="625"/>
      <c r="AM22" s="625"/>
    </row>
    <row r="23" spans="1:53" ht="32.1" customHeight="1" x14ac:dyDescent="0.25">
      <c r="A23" s="453" t="s">
        <v>44</v>
      </c>
      <c r="B23" s="455"/>
      <c r="C23" s="174"/>
      <c r="D23" s="173"/>
      <c r="E23" s="173"/>
      <c r="F23" s="173"/>
      <c r="G23" s="173"/>
      <c r="H23" s="173"/>
      <c r="I23" s="173"/>
      <c r="J23" s="173"/>
      <c r="K23" s="173"/>
      <c r="L23" s="173"/>
      <c r="M23" s="173"/>
      <c r="N23" s="173"/>
      <c r="O23" s="173">
        <f>SUM(C23:N23)</f>
        <v>0</v>
      </c>
      <c r="P23" s="379"/>
      <c r="Q23" s="325">
        <v>1095524494</v>
      </c>
      <c r="R23" s="173">
        <v>1268876251</v>
      </c>
      <c r="S23" s="173">
        <v>167072463</v>
      </c>
      <c r="T23" s="173">
        <v>-18748320</v>
      </c>
      <c r="U23" s="173">
        <v>51615203</v>
      </c>
      <c r="V23" s="173">
        <v>73453791</v>
      </c>
      <c r="W23" s="173">
        <v>49502400</v>
      </c>
      <c r="X23" s="173"/>
      <c r="Y23" s="173"/>
      <c r="Z23" s="173"/>
      <c r="AA23" s="173"/>
      <c r="AB23" s="173"/>
      <c r="AC23" s="377">
        <f>SUM(Q23:AB23)</f>
        <v>2687296282</v>
      </c>
      <c r="AD23" s="181">
        <f>IFERROR(AC23/(SUMIF(Q23:AB23,"&gt;0",Q22:AB22))," ")</f>
        <v>0.98744631777025371</v>
      </c>
      <c r="AE23" s="3"/>
      <c r="AF23" s="625"/>
      <c r="AG23" s="625"/>
      <c r="AH23" s="625"/>
      <c r="AI23" s="625"/>
      <c r="AJ23" s="625"/>
      <c r="AK23" s="625"/>
      <c r="AL23" s="625"/>
      <c r="AM23" s="625"/>
    </row>
    <row r="24" spans="1:53" ht="32.1" customHeight="1" x14ac:dyDescent="0.25">
      <c r="A24" s="453" t="s">
        <v>45</v>
      </c>
      <c r="B24" s="455"/>
      <c r="C24" s="174">
        <f>25110243+698600+1646343+2010000+1804187+22062331</f>
        <v>53331704</v>
      </c>
      <c r="D24" s="173">
        <f>1749516+3375000+698600+1646343+2400000+500000+3750000+461423+1+735420+1420164+309000+1081500+735420+772500+772500+432600+475860+5148623</f>
        <v>26464470</v>
      </c>
      <c r="E24" s="173">
        <f>698600+1646343+2400000+500000+4956875</f>
        <v>10201818</v>
      </c>
      <c r="F24" s="173">
        <f>698600+1646343+2387790+500000+5038625</f>
        <v>10271358</v>
      </c>
      <c r="G24" s="173">
        <f>548900+1646343</f>
        <v>2195243</v>
      </c>
      <c r="H24" s="173">
        <f>1646343-120167</f>
        <v>1526176</v>
      </c>
      <c r="I24" s="173">
        <v>1049769</v>
      </c>
      <c r="J24" s="173"/>
      <c r="K24" s="173"/>
      <c r="L24" s="173"/>
      <c r="M24" s="173"/>
      <c r="N24" s="173">
        <v>3719997</v>
      </c>
      <c r="O24" s="206">
        <f>SUM(C24:N24)</f>
        <v>108760535</v>
      </c>
      <c r="P24" s="326"/>
      <c r="Q24" s="325"/>
      <c r="R24" s="173">
        <v>111139916</v>
      </c>
      <c r="S24" s="173">
        <v>224170940</v>
      </c>
      <c r="T24" s="173">
        <f>229320940+1918693+1646343+776223</f>
        <v>233662199</v>
      </c>
      <c r="U24" s="173">
        <f>229320940+1918693+3888889+2500000+1646343+24639441+776223</f>
        <v>264690529</v>
      </c>
      <c r="V24" s="173">
        <f>229320940+1918693+3888889+2500000+1646343+776222-89234435</f>
        <v>150816652</v>
      </c>
      <c r="W24" s="173">
        <f>229320940+1918693+2139478+3888889+2500000+741130+13047342+776222</f>
        <v>254332694</v>
      </c>
      <c r="X24" s="173">
        <f>244770940+1918693+3888889+2500000+741130+11893445+776222</f>
        <v>266489319</v>
      </c>
      <c r="Y24" s="173">
        <f>244770940+1918693+3888889+2500000+741130+13047342+776222</f>
        <v>267643216</v>
      </c>
      <c r="Z24" s="173">
        <f>244770940+1918692+3888889+2500000+741130+776222</f>
        <v>254595873</v>
      </c>
      <c r="AA24" s="173">
        <f>244770940+1918692+3888889+2500000+741130+13047342+776222</f>
        <v>267643215</v>
      </c>
      <c r="AB24" s="173">
        <f>489541880+3837384+7777777+5000000+1482259+776222</f>
        <v>508415522</v>
      </c>
      <c r="AC24" s="206">
        <f>SUM(Q24:AB24)</f>
        <v>2803600075</v>
      </c>
      <c r="AD24" s="181"/>
      <c r="AE24" s="3"/>
      <c r="AF24" s="625"/>
      <c r="AG24" s="625"/>
      <c r="AH24" s="625"/>
      <c r="AI24" s="625"/>
      <c r="AJ24" s="625"/>
      <c r="AK24" s="625"/>
      <c r="AL24" s="625"/>
      <c r="AM24" s="625"/>
    </row>
    <row r="25" spans="1:53" ht="32.1" customHeight="1" thickBot="1" x14ac:dyDescent="0.3">
      <c r="A25" s="481" t="s">
        <v>46</v>
      </c>
      <c r="B25" s="487"/>
      <c r="C25" s="324">
        <v>12332011</v>
      </c>
      <c r="D25" s="175">
        <v>39266779</v>
      </c>
      <c r="E25" s="175">
        <v>27153750</v>
      </c>
      <c r="F25" s="175">
        <v>11625441</v>
      </c>
      <c r="G25" s="175">
        <v>6967107</v>
      </c>
      <c r="H25" s="175">
        <v>3110643</v>
      </c>
      <c r="I25" s="175">
        <v>1646352</v>
      </c>
      <c r="J25" s="175"/>
      <c r="K25" s="175"/>
      <c r="L25" s="175"/>
      <c r="M25" s="175"/>
      <c r="N25" s="175"/>
      <c r="O25" s="175">
        <f>SUM(C25:N25)</f>
        <v>102102083</v>
      </c>
      <c r="P25" s="182">
        <f>+O25/O24</f>
        <v>0.9387787858895692</v>
      </c>
      <c r="Q25" s="328" t="s">
        <v>48</v>
      </c>
      <c r="R25" s="175">
        <v>18557067</v>
      </c>
      <c r="S25" s="175">
        <v>123898287</v>
      </c>
      <c r="T25" s="175">
        <v>234447104</v>
      </c>
      <c r="U25" s="175">
        <v>234493079</v>
      </c>
      <c r="V25" s="175">
        <v>251870794</v>
      </c>
      <c r="W25" s="175">
        <v>266020722</v>
      </c>
      <c r="X25" s="175"/>
      <c r="Y25" s="175"/>
      <c r="Z25" s="175"/>
      <c r="AA25" s="175"/>
      <c r="AB25" s="175"/>
      <c r="AC25" s="175">
        <f>SUM(Q25:AB25)</f>
        <v>1129287053</v>
      </c>
      <c r="AD25" s="182">
        <f>IFERROR(AC25/(SUMIF(Q25:AB25,"&gt;0",Q24:AB24))," ")</f>
        <v>0.91158804178771369</v>
      </c>
      <c r="AE25" s="3"/>
      <c r="AF25" s="625"/>
      <c r="AG25" s="625"/>
      <c r="AH25" s="625"/>
      <c r="AI25" s="625"/>
      <c r="AJ25" s="625"/>
      <c r="AK25" s="625"/>
      <c r="AL25" s="625"/>
      <c r="AM25" s="625"/>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thickBot="1" x14ac:dyDescent="0.3">
      <c r="A30" s="85" t="s">
        <v>143</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3.1" customHeight="1" x14ac:dyDescent="0.25">
      <c r="A32" s="452" t="s">
        <v>56</v>
      </c>
      <c r="B32" s="456" t="s">
        <v>57</v>
      </c>
      <c r="C32" s="457" t="s">
        <v>51</v>
      </c>
      <c r="D32" s="480" t="s">
        <v>58</v>
      </c>
      <c r="E32" s="456"/>
      <c r="F32" s="456"/>
      <c r="G32" s="456"/>
      <c r="H32" s="456"/>
      <c r="I32" s="456"/>
      <c r="J32" s="456"/>
      <c r="K32" s="456"/>
      <c r="L32" s="456"/>
      <c r="M32" s="456"/>
      <c r="N32" s="456"/>
      <c r="O32" s="456"/>
      <c r="P32" s="454"/>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thickBot="1" x14ac:dyDescent="0.3">
      <c r="A33" s="453"/>
      <c r="B33" s="478"/>
      <c r="C33" s="628"/>
      <c r="D33" s="261" t="s">
        <v>30</v>
      </c>
      <c r="E33" s="252" t="s">
        <v>31</v>
      </c>
      <c r="F33" s="252" t="s">
        <v>8</v>
      </c>
      <c r="G33" s="252" t="s">
        <v>32</v>
      </c>
      <c r="H33" s="252" t="s">
        <v>33</v>
      </c>
      <c r="I33" s="252" t="s">
        <v>34</v>
      </c>
      <c r="J33" s="252" t="s">
        <v>35</v>
      </c>
      <c r="K33" s="252" t="s">
        <v>36</v>
      </c>
      <c r="L33" s="252" t="s">
        <v>37</v>
      </c>
      <c r="M33" s="252" t="s">
        <v>38</v>
      </c>
      <c r="N33" s="252" t="s">
        <v>39</v>
      </c>
      <c r="O33" s="252" t="s">
        <v>40</v>
      </c>
      <c r="P33" s="317" t="s">
        <v>41</v>
      </c>
      <c r="Q33" s="712" t="s">
        <v>60</v>
      </c>
      <c r="R33" s="717"/>
      <c r="S33" s="717"/>
      <c r="T33" s="717" t="s">
        <v>61</v>
      </c>
      <c r="U33" s="717"/>
      <c r="V33" s="717"/>
      <c r="W33" s="718" t="s">
        <v>62</v>
      </c>
      <c r="X33" s="506"/>
      <c r="Y33" s="506"/>
      <c r="Z33" s="719"/>
      <c r="AA33" s="718" t="s">
        <v>63</v>
      </c>
      <c r="AB33" s="506"/>
      <c r="AC33" s="506"/>
      <c r="AD33" s="507"/>
      <c r="AG33" s="87"/>
      <c r="AH33" s="87"/>
      <c r="AI33" s="87"/>
      <c r="AJ33" s="87"/>
      <c r="AK33" s="87"/>
      <c r="AL33" s="87"/>
      <c r="AM33" s="87"/>
      <c r="AN33" s="87"/>
      <c r="AO33" s="87"/>
    </row>
    <row r="34" spans="1:41" ht="93" customHeight="1" x14ac:dyDescent="0.25">
      <c r="A34" s="462" t="s">
        <v>143</v>
      </c>
      <c r="B34" s="464">
        <v>0.15</v>
      </c>
      <c r="C34" s="263" t="s">
        <v>64</v>
      </c>
      <c r="D34" s="258">
        <f>D69</f>
        <v>0</v>
      </c>
      <c r="E34" s="259">
        <f t="shared" ref="E34:O34" si="0">E69</f>
        <v>3.2549383554408687E-2</v>
      </c>
      <c r="F34" s="259">
        <f t="shared" si="0"/>
        <v>3.2205698160472043E-2</v>
      </c>
      <c r="G34" s="259">
        <f t="shared" si="0"/>
        <v>3.2205698160472043E-2</v>
      </c>
      <c r="H34" s="259">
        <f t="shared" si="0"/>
        <v>1.5539031493805366E-2</v>
      </c>
      <c r="I34" s="259">
        <f t="shared" si="0"/>
        <v>1.5539031493805366E-2</v>
      </c>
      <c r="J34" s="259">
        <f t="shared" si="0"/>
        <v>3.2205698160472043E-2</v>
      </c>
      <c r="K34" s="259">
        <f t="shared" si="0"/>
        <v>1.5539031493805366E-2</v>
      </c>
      <c r="L34" s="259">
        <f t="shared" si="0"/>
        <v>3.2205698160472043E-2</v>
      </c>
      <c r="M34" s="259">
        <f t="shared" si="0"/>
        <v>1.5539031493805366E-2</v>
      </c>
      <c r="N34" s="259">
        <f t="shared" si="0"/>
        <v>1.5539031493805366E-2</v>
      </c>
      <c r="O34" s="260">
        <f t="shared" si="0"/>
        <v>1.0932666334676386E-2</v>
      </c>
      <c r="P34" s="280">
        <f>SUM(D34:O34)</f>
        <v>0.25000000000000006</v>
      </c>
      <c r="Q34" s="715" t="s">
        <v>144</v>
      </c>
      <c r="R34" s="710"/>
      <c r="S34" s="710"/>
      <c r="T34" s="716" t="s">
        <v>570</v>
      </c>
      <c r="U34" s="716"/>
      <c r="V34" s="716"/>
      <c r="W34" s="710" t="s">
        <v>146</v>
      </c>
      <c r="X34" s="710"/>
      <c r="Y34" s="710"/>
      <c r="Z34" s="710"/>
      <c r="AA34" s="710" t="s">
        <v>147</v>
      </c>
      <c r="AB34" s="710"/>
      <c r="AC34" s="710"/>
      <c r="AD34" s="711"/>
      <c r="AG34" s="87"/>
      <c r="AH34" s="87"/>
      <c r="AI34" s="87"/>
      <c r="AJ34" s="87"/>
      <c r="AK34" s="87"/>
      <c r="AL34" s="87"/>
      <c r="AM34" s="87"/>
      <c r="AN34" s="87"/>
      <c r="AO34" s="87"/>
    </row>
    <row r="35" spans="1:41" ht="93" customHeight="1" x14ac:dyDescent="0.25">
      <c r="A35" s="463"/>
      <c r="B35" s="465"/>
      <c r="C35" s="257" t="s">
        <v>68</v>
      </c>
      <c r="D35" s="256">
        <f>D66</f>
        <v>0</v>
      </c>
      <c r="E35" s="246">
        <f t="shared" ref="E35:O35" si="1">E66</f>
        <v>3.2549383554408687E-2</v>
      </c>
      <c r="F35" s="246">
        <f t="shared" si="1"/>
        <v>3.2205698160472043E-2</v>
      </c>
      <c r="G35" s="246">
        <f t="shared" si="1"/>
        <v>2.3872364827138701E-2</v>
      </c>
      <c r="H35" s="246">
        <f t="shared" si="1"/>
        <v>3.2205698160472043E-2</v>
      </c>
      <c r="I35" s="246">
        <f t="shared" si="1"/>
        <v>3.2205698160472043E-2</v>
      </c>
      <c r="J35" s="246">
        <f t="shared" si="1"/>
        <v>2.3872364827138701E-2</v>
      </c>
      <c r="K35" s="246">
        <f t="shared" si="1"/>
        <v>0</v>
      </c>
      <c r="L35" s="246">
        <f t="shared" si="1"/>
        <v>0</v>
      </c>
      <c r="M35" s="246">
        <f t="shared" si="1"/>
        <v>0</v>
      </c>
      <c r="N35" s="246">
        <f t="shared" si="1"/>
        <v>0</v>
      </c>
      <c r="O35" s="247">
        <f t="shared" si="1"/>
        <v>0</v>
      </c>
      <c r="P35" s="281">
        <f>SUM(D35:O35)</f>
        <v>0.17691120769010221</v>
      </c>
      <c r="Q35" s="715"/>
      <c r="R35" s="710"/>
      <c r="S35" s="710"/>
      <c r="T35" s="716"/>
      <c r="U35" s="716"/>
      <c r="V35" s="716"/>
      <c r="W35" s="710"/>
      <c r="X35" s="710"/>
      <c r="Y35" s="710"/>
      <c r="Z35" s="710"/>
      <c r="AA35" s="710"/>
      <c r="AB35" s="710"/>
      <c r="AC35" s="710"/>
      <c r="AD35" s="711"/>
      <c r="AE35" s="49"/>
      <c r="AG35" s="87"/>
      <c r="AH35" s="87"/>
      <c r="AI35" s="87"/>
      <c r="AJ35" s="87"/>
      <c r="AK35" s="87"/>
      <c r="AL35" s="87"/>
      <c r="AM35" s="87"/>
      <c r="AN35" s="87"/>
      <c r="AO35" s="87"/>
    </row>
    <row r="36" spans="1:41" ht="26.1" customHeight="1" x14ac:dyDescent="0.25">
      <c r="A36" s="656" t="s">
        <v>69</v>
      </c>
      <c r="B36" s="713" t="s">
        <v>70</v>
      </c>
      <c r="C36" s="497" t="s">
        <v>71</v>
      </c>
      <c r="D36" s="456"/>
      <c r="E36" s="456"/>
      <c r="F36" s="456"/>
      <c r="G36" s="456"/>
      <c r="H36" s="456"/>
      <c r="I36" s="456"/>
      <c r="J36" s="456"/>
      <c r="K36" s="456"/>
      <c r="L36" s="456"/>
      <c r="M36" s="456"/>
      <c r="N36" s="456"/>
      <c r="O36" s="456"/>
      <c r="P36" s="454"/>
      <c r="Q36" s="493" t="s">
        <v>72</v>
      </c>
      <c r="R36" s="629"/>
      <c r="S36" s="629"/>
      <c r="T36" s="629"/>
      <c r="U36" s="629"/>
      <c r="V36" s="629"/>
      <c r="W36" s="629"/>
      <c r="X36" s="629"/>
      <c r="Y36" s="629"/>
      <c r="Z36" s="629"/>
      <c r="AA36" s="629"/>
      <c r="AB36" s="629"/>
      <c r="AC36" s="629"/>
      <c r="AD36" s="630"/>
      <c r="AG36" s="87"/>
      <c r="AH36" s="87"/>
      <c r="AI36" s="87"/>
      <c r="AJ36" s="87"/>
      <c r="AK36" s="87"/>
      <c r="AL36" s="87"/>
      <c r="AM36" s="87"/>
      <c r="AN36" s="87"/>
      <c r="AO36" s="87"/>
    </row>
    <row r="37" spans="1:41" ht="26.1" customHeight="1" thickBot="1" x14ac:dyDescent="0.3">
      <c r="A37" s="712"/>
      <c r="B37" s="714"/>
      <c r="C37" s="315" t="s">
        <v>73</v>
      </c>
      <c r="D37" s="318" t="s">
        <v>74</v>
      </c>
      <c r="E37" s="318" t="s">
        <v>75</v>
      </c>
      <c r="F37" s="318" t="s">
        <v>76</v>
      </c>
      <c r="G37" s="318" t="s">
        <v>77</v>
      </c>
      <c r="H37" s="318" t="s">
        <v>78</v>
      </c>
      <c r="I37" s="318" t="s">
        <v>79</v>
      </c>
      <c r="J37" s="318" t="s">
        <v>80</v>
      </c>
      <c r="K37" s="318" t="s">
        <v>81</v>
      </c>
      <c r="L37" s="318" t="s">
        <v>82</v>
      </c>
      <c r="M37" s="318" t="s">
        <v>83</v>
      </c>
      <c r="N37" s="318" t="s">
        <v>84</v>
      </c>
      <c r="O37" s="318" t="s">
        <v>85</v>
      </c>
      <c r="P37" s="314" t="s">
        <v>86</v>
      </c>
      <c r="Q37" s="614"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45" customHeight="1" x14ac:dyDescent="0.25">
      <c r="A38" s="702" t="s">
        <v>148</v>
      </c>
      <c r="B38" s="703">
        <v>0.05</v>
      </c>
      <c r="C38" s="330" t="s">
        <v>64</v>
      </c>
      <c r="D38" s="331">
        <v>0</v>
      </c>
      <c r="E38" s="331">
        <v>0.1</v>
      </c>
      <c r="F38" s="332">
        <v>9.5000000000000001E-2</v>
      </c>
      <c r="G38" s="332">
        <v>9.5000000000000001E-2</v>
      </c>
      <c r="H38" s="333">
        <v>9.5000000000000001E-2</v>
      </c>
      <c r="I38" s="333">
        <v>9.5000000000000001E-2</v>
      </c>
      <c r="J38" s="333">
        <v>9.5000000000000001E-2</v>
      </c>
      <c r="K38" s="333">
        <v>9.5000000000000001E-2</v>
      </c>
      <c r="L38" s="333">
        <v>9.5000000000000001E-2</v>
      </c>
      <c r="M38" s="333">
        <v>9.5000000000000001E-2</v>
      </c>
      <c r="N38" s="333">
        <v>9.5000000000000001E-2</v>
      </c>
      <c r="O38" s="333">
        <v>0.04</v>
      </c>
      <c r="P38" s="336">
        <f t="shared" ref="P38:P43" si="2">SUM(D38:O38)</f>
        <v>0.99499999999999988</v>
      </c>
      <c r="Q38" s="704" t="s">
        <v>149</v>
      </c>
      <c r="R38" s="705"/>
      <c r="S38" s="705"/>
      <c r="T38" s="705"/>
      <c r="U38" s="705"/>
      <c r="V38" s="705"/>
      <c r="W38" s="705"/>
      <c r="X38" s="705"/>
      <c r="Y38" s="705"/>
      <c r="Z38" s="705"/>
      <c r="AA38" s="705"/>
      <c r="AB38" s="705"/>
      <c r="AC38" s="705"/>
      <c r="AD38" s="706"/>
      <c r="AE38" s="97"/>
      <c r="AG38" s="98"/>
      <c r="AH38" s="98"/>
      <c r="AI38" s="98"/>
      <c r="AJ38" s="98"/>
      <c r="AK38" s="98"/>
      <c r="AL38" s="98"/>
      <c r="AM38" s="98"/>
      <c r="AN38" s="98"/>
      <c r="AO38" s="98"/>
    </row>
    <row r="39" spans="1:41" ht="45" customHeight="1" x14ac:dyDescent="0.25">
      <c r="A39" s="600"/>
      <c r="B39" s="602"/>
      <c r="C39" s="99" t="s">
        <v>68</v>
      </c>
      <c r="D39" s="274"/>
      <c r="E39" s="270">
        <v>0.1</v>
      </c>
      <c r="F39" s="270">
        <v>9.5000000000000001E-2</v>
      </c>
      <c r="G39" s="270">
        <v>9.5000000000000001E-2</v>
      </c>
      <c r="H39" s="270">
        <v>9.5000000000000001E-2</v>
      </c>
      <c r="I39" s="270">
        <v>9.5000000000000001E-2</v>
      </c>
      <c r="J39" s="270">
        <v>9.5000000000000001E-2</v>
      </c>
      <c r="K39" s="270"/>
      <c r="L39" s="270"/>
      <c r="M39" s="270"/>
      <c r="N39" s="270"/>
      <c r="O39" s="270"/>
      <c r="P39" s="101">
        <f t="shared" si="2"/>
        <v>0.57499999999999996</v>
      </c>
      <c r="Q39" s="707"/>
      <c r="R39" s="708"/>
      <c r="S39" s="708"/>
      <c r="T39" s="708"/>
      <c r="U39" s="708"/>
      <c r="V39" s="708"/>
      <c r="W39" s="708"/>
      <c r="X39" s="708"/>
      <c r="Y39" s="708"/>
      <c r="Z39" s="708"/>
      <c r="AA39" s="708"/>
      <c r="AB39" s="708"/>
      <c r="AC39" s="708"/>
      <c r="AD39" s="709"/>
      <c r="AE39" s="97"/>
    </row>
    <row r="40" spans="1:41" ht="45" customHeight="1" x14ac:dyDescent="0.25">
      <c r="A40" s="438" t="s">
        <v>150</v>
      </c>
      <c r="B40" s="610">
        <v>0.05</v>
      </c>
      <c r="C40" s="102" t="s">
        <v>64</v>
      </c>
      <c r="D40" s="275">
        <v>0</v>
      </c>
      <c r="E40" s="275">
        <v>0.2</v>
      </c>
      <c r="F40" s="286">
        <v>0.2</v>
      </c>
      <c r="G40" s="286">
        <v>0.2</v>
      </c>
      <c r="H40" s="207">
        <v>0</v>
      </c>
      <c r="I40" s="207">
        <v>0</v>
      </c>
      <c r="J40" s="207">
        <v>0.2</v>
      </c>
      <c r="K40" s="207">
        <v>0</v>
      </c>
      <c r="L40" s="207">
        <v>0.2</v>
      </c>
      <c r="M40" s="207">
        <v>0</v>
      </c>
      <c r="N40" s="207">
        <v>0</v>
      </c>
      <c r="O40" s="207">
        <v>0</v>
      </c>
      <c r="P40" s="101">
        <f>SUM(D40:O40)</f>
        <v>1</v>
      </c>
      <c r="Q40" s="696" t="s">
        <v>151</v>
      </c>
      <c r="R40" s="697"/>
      <c r="S40" s="697"/>
      <c r="T40" s="697"/>
      <c r="U40" s="697"/>
      <c r="V40" s="697"/>
      <c r="W40" s="697"/>
      <c r="X40" s="697"/>
      <c r="Y40" s="697"/>
      <c r="Z40" s="697"/>
      <c r="AA40" s="697"/>
      <c r="AB40" s="697"/>
      <c r="AC40" s="697"/>
      <c r="AD40" s="698"/>
      <c r="AE40" s="97"/>
    </row>
    <row r="41" spans="1:41" ht="45" customHeight="1" x14ac:dyDescent="0.25">
      <c r="A41" s="600"/>
      <c r="B41" s="602"/>
      <c r="C41" s="99" t="s">
        <v>68</v>
      </c>
      <c r="D41" s="274"/>
      <c r="E41" s="270">
        <v>0.2</v>
      </c>
      <c r="F41" s="270">
        <v>0.2</v>
      </c>
      <c r="G41" s="270">
        <v>0.1</v>
      </c>
      <c r="H41" s="270">
        <v>0.2</v>
      </c>
      <c r="I41" s="270">
        <v>0.2</v>
      </c>
      <c r="J41" s="270">
        <v>0.1</v>
      </c>
      <c r="K41" s="100"/>
      <c r="L41" s="100"/>
      <c r="M41" s="100"/>
      <c r="N41" s="100"/>
      <c r="O41" s="100"/>
      <c r="P41" s="101">
        <f t="shared" si="2"/>
        <v>0.99999999999999989</v>
      </c>
      <c r="Q41" s="707"/>
      <c r="R41" s="708"/>
      <c r="S41" s="708"/>
      <c r="T41" s="708"/>
      <c r="U41" s="708"/>
      <c r="V41" s="708"/>
      <c r="W41" s="708"/>
      <c r="X41" s="708"/>
      <c r="Y41" s="708"/>
      <c r="Z41" s="708"/>
      <c r="AA41" s="708"/>
      <c r="AB41" s="708"/>
      <c r="AC41" s="708"/>
      <c r="AD41" s="709"/>
      <c r="AE41" s="97"/>
    </row>
    <row r="42" spans="1:41" ht="45" customHeight="1" x14ac:dyDescent="0.25">
      <c r="A42" s="438" t="s">
        <v>152</v>
      </c>
      <c r="B42" s="610">
        <v>0.05</v>
      </c>
      <c r="C42" s="102" t="s">
        <v>64</v>
      </c>
      <c r="D42" s="275">
        <v>0</v>
      </c>
      <c r="E42" s="275">
        <v>0.09</v>
      </c>
      <c r="F42" s="286">
        <v>9.0899999999999995E-2</v>
      </c>
      <c r="G42" s="286">
        <v>9.0899999999999995E-2</v>
      </c>
      <c r="H42" s="207">
        <v>9.0899999999999995E-2</v>
      </c>
      <c r="I42" s="207">
        <v>9.0899999999999995E-2</v>
      </c>
      <c r="J42" s="207">
        <v>9.0899999999999995E-2</v>
      </c>
      <c r="K42" s="207">
        <v>9.0899999999999995E-2</v>
      </c>
      <c r="L42" s="207">
        <v>9.0899999999999995E-2</v>
      </c>
      <c r="M42" s="207">
        <v>9.0899999999999995E-2</v>
      </c>
      <c r="N42" s="207">
        <v>9.0899999999999995E-2</v>
      </c>
      <c r="O42" s="207">
        <v>9.0899999999999995E-2</v>
      </c>
      <c r="P42" s="101">
        <f>SUM(D42:O42)</f>
        <v>0.99899999999999989</v>
      </c>
      <c r="Q42" s="696" t="s">
        <v>153</v>
      </c>
      <c r="R42" s="697"/>
      <c r="S42" s="697"/>
      <c r="T42" s="697"/>
      <c r="U42" s="697"/>
      <c r="V42" s="697"/>
      <c r="W42" s="697"/>
      <c r="X42" s="697"/>
      <c r="Y42" s="697"/>
      <c r="Z42" s="697"/>
      <c r="AA42" s="697"/>
      <c r="AB42" s="697"/>
      <c r="AC42" s="697"/>
      <c r="AD42" s="698"/>
      <c r="AE42" s="97"/>
    </row>
    <row r="43" spans="1:41" ht="45" customHeight="1" thickBot="1" x14ac:dyDescent="0.3">
      <c r="A43" s="439"/>
      <c r="B43" s="605"/>
      <c r="C43" s="91" t="s">
        <v>68</v>
      </c>
      <c r="D43" s="278"/>
      <c r="E43" s="271">
        <v>0.09</v>
      </c>
      <c r="F43" s="271">
        <v>9.0899999999999995E-2</v>
      </c>
      <c r="G43" s="271">
        <v>9.0899999999999995E-2</v>
      </c>
      <c r="H43" s="271">
        <v>9.0899999999999995E-2</v>
      </c>
      <c r="I43" s="271">
        <v>9.0899999999999995E-2</v>
      </c>
      <c r="J43" s="271">
        <v>9.0899999999999995E-2</v>
      </c>
      <c r="K43" s="105"/>
      <c r="L43" s="105"/>
      <c r="M43" s="105"/>
      <c r="N43" s="105"/>
      <c r="O43" s="105"/>
      <c r="P43" s="107">
        <f t="shared" si="2"/>
        <v>0.54449999999999998</v>
      </c>
      <c r="Q43" s="699"/>
      <c r="R43" s="700"/>
      <c r="S43" s="700"/>
      <c r="T43" s="700"/>
      <c r="U43" s="700"/>
      <c r="V43" s="700"/>
      <c r="W43" s="700"/>
      <c r="X43" s="700"/>
      <c r="Y43" s="700"/>
      <c r="Z43" s="700"/>
      <c r="AA43" s="700"/>
      <c r="AB43" s="700"/>
      <c r="AC43" s="700"/>
      <c r="AD43" s="701"/>
      <c r="AE43" s="97"/>
    </row>
    <row r="44" spans="1:41" x14ac:dyDescent="0.25">
      <c r="A44" s="50" t="s">
        <v>90</v>
      </c>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 xml:space="preserve">6. Implementar actividades de difusión del programa de Sistema de Cuidado con ciudadanía y actores territoriales </v>
      </c>
      <c r="B57" s="597">
        <f>B38</f>
        <v>0.05</v>
      </c>
      <c r="C57" s="218" t="s">
        <v>64</v>
      </c>
      <c r="D57" s="219">
        <f>D38*$B$38/$P$38</f>
        <v>0</v>
      </c>
      <c r="E57" s="219">
        <f t="shared" ref="D57:O58" si="3">E38*$B$38/$P$38</f>
        <v>5.0251256281407053E-3</v>
      </c>
      <c r="F57" s="219">
        <f t="shared" si="3"/>
        <v>4.7738693467336696E-3</v>
      </c>
      <c r="G57" s="219">
        <f t="shared" si="3"/>
        <v>4.7738693467336696E-3</v>
      </c>
      <c r="H57" s="219">
        <f t="shared" si="3"/>
        <v>4.7738693467336696E-3</v>
      </c>
      <c r="I57" s="219">
        <f t="shared" si="3"/>
        <v>4.7738693467336696E-3</v>
      </c>
      <c r="J57" s="219">
        <f t="shared" si="3"/>
        <v>4.7738693467336696E-3</v>
      </c>
      <c r="K57" s="219">
        <f t="shared" si="3"/>
        <v>4.7738693467336696E-3</v>
      </c>
      <c r="L57" s="219">
        <f t="shared" si="3"/>
        <v>4.7738693467336696E-3</v>
      </c>
      <c r="M57" s="219">
        <f t="shared" si="3"/>
        <v>4.7738693467336696E-3</v>
      </c>
      <c r="N57" s="219">
        <f t="shared" si="3"/>
        <v>4.7738693467336696E-3</v>
      </c>
      <c r="O57" s="219">
        <f t="shared" si="3"/>
        <v>2.0100502512562816E-3</v>
      </c>
      <c r="P57" s="220">
        <f t="shared" ref="P57:P62" si="4">SUM(D57:O57)</f>
        <v>5.000000000000001E-2</v>
      </c>
      <c r="Q57" s="221">
        <v>0.05</v>
      </c>
      <c r="R57" s="222">
        <f t="shared" ref="R57:R65" si="5">+P57-Q57</f>
        <v>0</v>
      </c>
      <c r="S57" s="216"/>
      <c r="T57" s="216"/>
      <c r="U57" s="216"/>
      <c r="V57" s="216"/>
      <c r="W57" s="216"/>
      <c r="X57" s="216"/>
      <c r="Y57" s="216"/>
      <c r="Z57" s="216"/>
      <c r="AA57" s="216"/>
      <c r="AB57" s="216"/>
      <c r="AC57" s="216"/>
      <c r="AD57" s="216"/>
    </row>
    <row r="58" spans="1:30" x14ac:dyDescent="0.25">
      <c r="A58" s="596"/>
      <c r="B58" s="598"/>
      <c r="C58" s="223" t="s">
        <v>68</v>
      </c>
      <c r="D58" s="224">
        <f t="shared" si="3"/>
        <v>0</v>
      </c>
      <c r="E58" s="224">
        <f t="shared" si="3"/>
        <v>5.0251256281407053E-3</v>
      </c>
      <c r="F58" s="224">
        <f t="shared" si="3"/>
        <v>4.7738693467336696E-3</v>
      </c>
      <c r="G58" s="224">
        <f t="shared" si="3"/>
        <v>4.7738693467336696E-3</v>
      </c>
      <c r="H58" s="224">
        <f t="shared" si="3"/>
        <v>4.7738693467336696E-3</v>
      </c>
      <c r="I58" s="224">
        <f t="shared" si="3"/>
        <v>4.7738693467336696E-3</v>
      </c>
      <c r="J58" s="224">
        <f t="shared" si="3"/>
        <v>4.7738693467336696E-3</v>
      </c>
      <c r="K58" s="224">
        <f t="shared" si="3"/>
        <v>0</v>
      </c>
      <c r="L58" s="224">
        <f t="shared" si="3"/>
        <v>0</v>
      </c>
      <c r="M58" s="224">
        <f t="shared" si="3"/>
        <v>0</v>
      </c>
      <c r="N58" s="224">
        <f t="shared" si="3"/>
        <v>0</v>
      </c>
      <c r="O58" s="224">
        <f t="shared" si="3"/>
        <v>0</v>
      </c>
      <c r="P58" s="225">
        <f t="shared" si="4"/>
        <v>2.8894472361809052E-2</v>
      </c>
      <c r="Q58" s="226">
        <f>+P58</f>
        <v>2.8894472361809052E-2</v>
      </c>
      <c r="R58" s="222">
        <f t="shared" si="5"/>
        <v>0</v>
      </c>
      <c r="S58" s="216"/>
      <c r="T58" s="216"/>
      <c r="U58" s="216"/>
      <c r="V58" s="216"/>
      <c r="W58" s="216"/>
      <c r="X58" s="216"/>
      <c r="Y58" s="216"/>
      <c r="Z58" s="216"/>
      <c r="AA58" s="216"/>
      <c r="AB58" s="216"/>
      <c r="AC58" s="216"/>
      <c r="AD58" s="216"/>
    </row>
    <row r="59" spans="1:30" x14ac:dyDescent="0.25">
      <c r="A59" s="595" t="str">
        <f>A40</f>
        <v>7. Articular las acciones intersectoriales para la puesta en operación de cinco (5) manzanas del cuidado</v>
      </c>
      <c r="B59" s="623">
        <f>B40</f>
        <v>0.05</v>
      </c>
      <c r="C59" s="218" t="s">
        <v>64</v>
      </c>
      <c r="D59" s="219">
        <f t="shared" ref="D59:O60" si="6">D40*$B$40/$P$40</f>
        <v>0</v>
      </c>
      <c r="E59" s="219">
        <f t="shared" si="6"/>
        <v>1.0000000000000002E-2</v>
      </c>
      <c r="F59" s="219">
        <f t="shared" si="6"/>
        <v>1.0000000000000002E-2</v>
      </c>
      <c r="G59" s="219">
        <f t="shared" si="6"/>
        <v>1.0000000000000002E-2</v>
      </c>
      <c r="H59" s="219">
        <f t="shared" si="6"/>
        <v>0</v>
      </c>
      <c r="I59" s="219">
        <f t="shared" si="6"/>
        <v>0</v>
      </c>
      <c r="J59" s="219">
        <f t="shared" si="6"/>
        <v>1.0000000000000002E-2</v>
      </c>
      <c r="K59" s="219">
        <f t="shared" si="6"/>
        <v>0</v>
      </c>
      <c r="L59" s="219">
        <f t="shared" si="6"/>
        <v>1.0000000000000002E-2</v>
      </c>
      <c r="M59" s="219">
        <f t="shared" si="6"/>
        <v>0</v>
      </c>
      <c r="N59" s="219">
        <f t="shared" si="6"/>
        <v>0</v>
      </c>
      <c r="O59" s="219">
        <f t="shared" si="6"/>
        <v>0</v>
      </c>
      <c r="P59" s="220">
        <f t="shared" si="4"/>
        <v>5.000000000000001E-2</v>
      </c>
      <c r="Q59" s="221">
        <v>2.5000000000000001E-2</v>
      </c>
      <c r="R59" s="222">
        <f t="shared" si="5"/>
        <v>2.5000000000000008E-2</v>
      </c>
      <c r="S59" s="216"/>
      <c r="T59" s="216"/>
      <c r="U59" s="216"/>
      <c r="V59" s="216"/>
      <c r="W59" s="216"/>
      <c r="X59" s="216"/>
      <c r="Y59" s="216"/>
      <c r="Z59" s="216"/>
      <c r="AA59" s="216"/>
      <c r="AB59" s="216"/>
      <c r="AC59" s="216"/>
      <c r="AD59" s="216"/>
    </row>
    <row r="60" spans="1:30" x14ac:dyDescent="0.25">
      <c r="A60" s="622"/>
      <c r="B60" s="624"/>
      <c r="C60" s="223" t="s">
        <v>68</v>
      </c>
      <c r="D60" s="224">
        <f t="shared" si="6"/>
        <v>0</v>
      </c>
      <c r="E60" s="224">
        <f t="shared" si="6"/>
        <v>1.0000000000000002E-2</v>
      </c>
      <c r="F60" s="224">
        <f t="shared" si="6"/>
        <v>1.0000000000000002E-2</v>
      </c>
      <c r="G60" s="224">
        <f t="shared" si="6"/>
        <v>5.000000000000001E-3</v>
      </c>
      <c r="H60" s="224">
        <f t="shared" si="6"/>
        <v>1.0000000000000002E-2</v>
      </c>
      <c r="I60" s="224">
        <f t="shared" si="6"/>
        <v>1.0000000000000002E-2</v>
      </c>
      <c r="J60" s="224">
        <f t="shared" si="6"/>
        <v>5.000000000000001E-3</v>
      </c>
      <c r="K60" s="224">
        <f t="shared" si="6"/>
        <v>0</v>
      </c>
      <c r="L60" s="224">
        <f t="shared" si="6"/>
        <v>0</v>
      </c>
      <c r="M60" s="224">
        <f t="shared" si="6"/>
        <v>0</v>
      </c>
      <c r="N60" s="224">
        <f t="shared" si="6"/>
        <v>0</v>
      </c>
      <c r="O60" s="224">
        <f t="shared" si="6"/>
        <v>0</v>
      </c>
      <c r="P60" s="225">
        <f t="shared" si="4"/>
        <v>0.05</v>
      </c>
      <c r="Q60" s="226">
        <f>+P60</f>
        <v>0.05</v>
      </c>
      <c r="R60" s="222">
        <f t="shared" si="5"/>
        <v>0</v>
      </c>
      <c r="S60" s="216"/>
      <c r="T60" s="216"/>
      <c r="U60" s="216"/>
      <c r="V60" s="216"/>
      <c r="W60" s="216"/>
      <c r="X60" s="216"/>
      <c r="Y60" s="216"/>
      <c r="Z60" s="216"/>
      <c r="AA60" s="216"/>
      <c r="AB60" s="216"/>
      <c r="AC60" s="216"/>
      <c r="AD60" s="216"/>
    </row>
    <row r="61" spans="1:30" x14ac:dyDescent="0.25">
      <c r="A61" s="595" t="str">
        <f>A42</f>
        <v>8. Convocar y gestionar las sesiones de las Mesas Locales de las Manzanas del Cuidado que se encuentran en funcionamiento</v>
      </c>
      <c r="B61" s="623">
        <f>B42</f>
        <v>0.05</v>
      </c>
      <c r="C61" s="218" t="s">
        <v>64</v>
      </c>
      <c r="D61" s="219">
        <f t="shared" ref="D61:O62" si="7">D42*$B$42/$P$42</f>
        <v>0</v>
      </c>
      <c r="E61" s="219">
        <f t="shared" si="7"/>
        <v>4.5045045045045045E-3</v>
      </c>
      <c r="F61" s="219">
        <f t="shared" si="7"/>
        <v>4.5495495495495499E-3</v>
      </c>
      <c r="G61" s="219">
        <f t="shared" si="7"/>
        <v>4.5495495495495499E-3</v>
      </c>
      <c r="H61" s="219">
        <f t="shared" si="7"/>
        <v>4.5495495495495499E-3</v>
      </c>
      <c r="I61" s="219">
        <f t="shared" si="7"/>
        <v>4.5495495495495499E-3</v>
      </c>
      <c r="J61" s="219">
        <f t="shared" si="7"/>
        <v>4.5495495495495499E-3</v>
      </c>
      <c r="K61" s="219">
        <f t="shared" si="7"/>
        <v>4.5495495495495499E-3</v>
      </c>
      <c r="L61" s="219">
        <f t="shared" si="7"/>
        <v>4.5495495495495499E-3</v>
      </c>
      <c r="M61" s="219">
        <f t="shared" si="7"/>
        <v>4.5495495495495499E-3</v>
      </c>
      <c r="N61" s="219">
        <f t="shared" si="7"/>
        <v>4.5495495495495499E-3</v>
      </c>
      <c r="O61" s="219">
        <f t="shared" si="7"/>
        <v>4.5495495495495499E-3</v>
      </c>
      <c r="P61" s="220">
        <f t="shared" si="4"/>
        <v>5.0000000000000017E-2</v>
      </c>
      <c r="Q61" s="221">
        <v>2.5000000000000001E-2</v>
      </c>
      <c r="R61" s="222">
        <f t="shared" si="5"/>
        <v>2.5000000000000015E-2</v>
      </c>
      <c r="S61" s="216"/>
      <c r="T61" s="216"/>
      <c r="U61" s="216"/>
      <c r="V61" s="216"/>
      <c r="W61" s="216"/>
      <c r="X61" s="216"/>
      <c r="Y61" s="216"/>
      <c r="Z61" s="216"/>
      <c r="AA61" s="216"/>
      <c r="AB61" s="216"/>
      <c r="AC61" s="216"/>
      <c r="AD61" s="216"/>
    </row>
    <row r="62" spans="1:30" x14ac:dyDescent="0.25">
      <c r="A62" s="622"/>
      <c r="B62" s="624"/>
      <c r="C62" s="223" t="s">
        <v>68</v>
      </c>
      <c r="D62" s="224">
        <f t="shared" si="7"/>
        <v>0</v>
      </c>
      <c r="E62" s="224">
        <f t="shared" si="7"/>
        <v>4.5045045045045045E-3</v>
      </c>
      <c r="F62" s="224">
        <f t="shared" si="7"/>
        <v>4.5495495495495499E-3</v>
      </c>
      <c r="G62" s="224">
        <f t="shared" si="7"/>
        <v>4.5495495495495499E-3</v>
      </c>
      <c r="H62" s="224">
        <f t="shared" si="7"/>
        <v>4.5495495495495499E-3</v>
      </c>
      <c r="I62" s="224">
        <f t="shared" si="7"/>
        <v>4.5495495495495499E-3</v>
      </c>
      <c r="J62" s="224">
        <f t="shared" si="7"/>
        <v>4.5495495495495499E-3</v>
      </c>
      <c r="K62" s="224">
        <f t="shared" si="7"/>
        <v>0</v>
      </c>
      <c r="L62" s="224">
        <f t="shared" si="7"/>
        <v>0</v>
      </c>
      <c r="M62" s="224">
        <f t="shared" si="7"/>
        <v>0</v>
      </c>
      <c r="N62" s="224">
        <f t="shared" si="7"/>
        <v>0</v>
      </c>
      <c r="O62" s="224">
        <f t="shared" si="7"/>
        <v>0</v>
      </c>
      <c r="P62" s="225">
        <f t="shared" si="4"/>
        <v>2.7252252252252258E-2</v>
      </c>
      <c r="Q62" s="226">
        <f>+P62</f>
        <v>2.7252252252252258E-2</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8">E58+E60+E62</f>
        <v>1.952963013264521E-2</v>
      </c>
      <c r="F65" s="237">
        <f t="shared" si="8"/>
        <v>1.9323418896283223E-2</v>
      </c>
      <c r="G65" s="237">
        <f t="shared" si="8"/>
        <v>1.432341889628322E-2</v>
      </c>
      <c r="H65" s="237">
        <f t="shared" si="8"/>
        <v>1.9323418896283223E-2</v>
      </c>
      <c r="I65" s="237">
        <f t="shared" si="8"/>
        <v>1.9323418896283223E-2</v>
      </c>
      <c r="J65" s="237">
        <f t="shared" si="8"/>
        <v>1.432341889628322E-2</v>
      </c>
      <c r="K65" s="237">
        <f t="shared" si="8"/>
        <v>0</v>
      </c>
      <c r="L65" s="237">
        <f t="shared" si="8"/>
        <v>0</v>
      </c>
      <c r="M65" s="237">
        <f t="shared" si="8"/>
        <v>0</v>
      </c>
      <c r="N65" s="237">
        <f t="shared" si="8"/>
        <v>0</v>
      </c>
      <c r="O65" s="237">
        <f t="shared" si="8"/>
        <v>0</v>
      </c>
      <c r="P65" s="237">
        <f>P58+P60+P62</f>
        <v>0.1061467246140613</v>
      </c>
      <c r="Q65" s="215"/>
      <c r="R65" s="222">
        <f t="shared" si="5"/>
        <v>0.1061467246140613</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9">E65*$W$17/$B$34</f>
        <v>3.2549383554408687E-2</v>
      </c>
      <c r="F66" s="240">
        <f t="shared" si="9"/>
        <v>3.2205698160472043E-2</v>
      </c>
      <c r="G66" s="240">
        <f t="shared" si="9"/>
        <v>2.3872364827138701E-2</v>
      </c>
      <c r="H66" s="240">
        <f t="shared" si="9"/>
        <v>3.2205698160472043E-2</v>
      </c>
      <c r="I66" s="240">
        <f t="shared" si="9"/>
        <v>3.2205698160472043E-2</v>
      </c>
      <c r="J66" s="240">
        <f t="shared" si="9"/>
        <v>2.3872364827138701E-2</v>
      </c>
      <c r="K66" s="240">
        <f t="shared" si="9"/>
        <v>0</v>
      </c>
      <c r="L66" s="240">
        <f t="shared" si="9"/>
        <v>0</v>
      </c>
      <c r="M66" s="240">
        <f t="shared" si="9"/>
        <v>0</v>
      </c>
      <c r="N66" s="240">
        <f t="shared" si="9"/>
        <v>0</v>
      </c>
      <c r="O66" s="240">
        <f t="shared" si="9"/>
        <v>0</v>
      </c>
      <c r="P66" s="241">
        <f>SUM(D66:O66)</f>
        <v>0.17691120769010221</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0</v>
      </c>
      <c r="E68" s="237">
        <f t="shared" si="10"/>
        <v>1.952963013264521E-2</v>
      </c>
      <c r="F68" s="237">
        <f t="shared" si="10"/>
        <v>1.9323418896283223E-2</v>
      </c>
      <c r="G68" s="237">
        <f t="shared" si="10"/>
        <v>1.9323418896283223E-2</v>
      </c>
      <c r="H68" s="237">
        <f t="shared" si="10"/>
        <v>9.3234188962832195E-3</v>
      </c>
      <c r="I68" s="237">
        <f t="shared" si="10"/>
        <v>9.3234188962832195E-3</v>
      </c>
      <c r="J68" s="237">
        <f t="shared" si="10"/>
        <v>1.9323418896283223E-2</v>
      </c>
      <c r="K68" s="237">
        <f t="shared" si="10"/>
        <v>9.3234188962832195E-3</v>
      </c>
      <c r="L68" s="237">
        <f t="shared" si="10"/>
        <v>1.9323418896283223E-2</v>
      </c>
      <c r="M68" s="237">
        <f t="shared" si="10"/>
        <v>9.3234188962832195E-3</v>
      </c>
      <c r="N68" s="237">
        <f t="shared" si="10"/>
        <v>9.3234188962832195E-3</v>
      </c>
      <c r="O68" s="237">
        <f t="shared" si="10"/>
        <v>6.5595998008058315E-3</v>
      </c>
      <c r="P68" s="237">
        <f t="shared" si="10"/>
        <v>0.15000000000000002</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0</v>
      </c>
      <c r="E69" s="240">
        <f t="shared" si="11"/>
        <v>3.2549383554408687E-2</v>
      </c>
      <c r="F69" s="240">
        <f t="shared" si="11"/>
        <v>3.2205698160472043E-2</v>
      </c>
      <c r="G69" s="240">
        <f t="shared" si="11"/>
        <v>3.2205698160472043E-2</v>
      </c>
      <c r="H69" s="240">
        <f t="shared" si="11"/>
        <v>1.5539031493805366E-2</v>
      </c>
      <c r="I69" s="240">
        <f t="shared" si="11"/>
        <v>1.5539031493805366E-2</v>
      </c>
      <c r="J69" s="240">
        <f t="shared" si="11"/>
        <v>3.2205698160472043E-2</v>
      </c>
      <c r="K69" s="240">
        <f t="shared" si="11"/>
        <v>1.5539031493805366E-2</v>
      </c>
      <c r="L69" s="240">
        <f t="shared" si="11"/>
        <v>3.2205698160472043E-2</v>
      </c>
      <c r="M69" s="240">
        <f t="shared" si="11"/>
        <v>1.5539031493805366E-2</v>
      </c>
      <c r="N69" s="240">
        <f t="shared" si="11"/>
        <v>1.5539031493805366E-2</v>
      </c>
      <c r="O69" s="240">
        <f t="shared" si="11"/>
        <v>1.0932666334676386E-2</v>
      </c>
      <c r="P69" s="241">
        <f>SUM(D69:O69)</f>
        <v>0.25000000000000006</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row r="78" spans="1:30" x14ac:dyDescent="0.25">
      <c r="A78" s="216"/>
      <c r="Q78" s="216"/>
      <c r="R78" s="216"/>
      <c r="S78" s="216"/>
      <c r="T78" s="216"/>
      <c r="U78" s="216"/>
      <c r="V78" s="216"/>
      <c r="W78" s="216"/>
      <c r="X78" s="216"/>
      <c r="Y78" s="216"/>
      <c r="Z78" s="216"/>
      <c r="AA78" s="216"/>
      <c r="AB78" s="216"/>
      <c r="AC78" s="216"/>
      <c r="AD78" s="216"/>
    </row>
    <row r="79" spans="1:30" x14ac:dyDescent="0.25">
      <c r="A79" s="216"/>
      <c r="Q79" s="216"/>
      <c r="R79" s="216"/>
      <c r="S79" s="216"/>
      <c r="T79" s="216"/>
      <c r="U79" s="216"/>
      <c r="V79" s="216"/>
      <c r="W79" s="216"/>
      <c r="X79" s="216"/>
      <c r="Y79" s="216"/>
      <c r="Z79" s="216"/>
      <c r="AA79" s="216"/>
      <c r="AB79" s="216"/>
      <c r="AC79" s="216"/>
      <c r="AD79" s="216"/>
    </row>
    <row r="80" spans="1:30" x14ac:dyDescent="0.25">
      <c r="A80" s="216"/>
      <c r="Q80" s="216"/>
      <c r="R80" s="216"/>
      <c r="S80" s="216"/>
      <c r="T80" s="216"/>
      <c r="U80" s="216"/>
      <c r="V80" s="216"/>
      <c r="W80" s="216"/>
      <c r="X80" s="216"/>
      <c r="Y80" s="216"/>
      <c r="Z80" s="216"/>
      <c r="AA80" s="216"/>
      <c r="AB80" s="216"/>
      <c r="AC80" s="216"/>
      <c r="AD80" s="216"/>
    </row>
    <row r="81" spans="1:30" x14ac:dyDescent="0.25">
      <c r="A81" s="216"/>
      <c r="Q81" s="216"/>
      <c r="R81" s="216"/>
      <c r="S81" s="216"/>
      <c r="T81" s="216"/>
      <c r="U81" s="216"/>
      <c r="V81" s="216"/>
      <c r="W81" s="216"/>
      <c r="X81" s="216"/>
      <c r="Y81" s="216"/>
      <c r="Z81" s="216"/>
      <c r="AA81" s="216"/>
      <c r="AB81" s="216"/>
      <c r="AC81" s="216"/>
      <c r="AD81" s="216"/>
    </row>
    <row r="82" spans="1:30" x14ac:dyDescent="0.25">
      <c r="A82" s="216"/>
      <c r="Q82" s="216"/>
      <c r="R82" s="216"/>
      <c r="S82" s="216"/>
      <c r="T82" s="216"/>
      <c r="U82" s="216"/>
      <c r="V82" s="216"/>
      <c r="W82" s="216"/>
      <c r="X82" s="216"/>
      <c r="Y82" s="216"/>
      <c r="Z82" s="216"/>
      <c r="AA82" s="216"/>
      <c r="AB82" s="216"/>
      <c r="AC82" s="216"/>
      <c r="AD82" s="216"/>
    </row>
    <row r="83" spans="1:30" x14ac:dyDescent="0.25">
      <c r="A83" s="216"/>
      <c r="Q83" s="216"/>
      <c r="R83" s="216"/>
      <c r="S83" s="216"/>
      <c r="T83" s="216"/>
      <c r="U83" s="216"/>
      <c r="V83" s="216"/>
      <c r="W83" s="216"/>
      <c r="X83" s="216"/>
      <c r="Y83" s="216"/>
      <c r="Z83" s="216"/>
      <c r="AA83" s="216"/>
      <c r="AB83" s="216"/>
      <c r="AC83" s="216"/>
      <c r="AD83" s="216"/>
    </row>
    <row r="84" spans="1:30" x14ac:dyDescent="0.25">
      <c r="A84" s="216"/>
      <c r="Q84" s="216"/>
      <c r="R84" s="216"/>
      <c r="S84" s="216"/>
      <c r="T84" s="216"/>
      <c r="U84" s="216"/>
      <c r="V84" s="216"/>
      <c r="W84" s="216"/>
      <c r="X84" s="216"/>
      <c r="Y84" s="216"/>
      <c r="Z84" s="216"/>
      <c r="AA84" s="216"/>
      <c r="AB84" s="216"/>
      <c r="AC84" s="216"/>
      <c r="AD84" s="216"/>
    </row>
    <row r="85" spans="1:30" x14ac:dyDescent="0.25">
      <c r="A85" s="216"/>
      <c r="Q85" s="216"/>
      <c r="R85" s="216"/>
      <c r="S85" s="216"/>
      <c r="T85" s="216"/>
      <c r="U85" s="216"/>
      <c r="V85" s="216"/>
      <c r="W85" s="216"/>
      <c r="X85" s="216"/>
      <c r="Y85" s="216"/>
      <c r="Z85" s="216"/>
      <c r="AA85" s="216"/>
      <c r="AB85" s="216"/>
      <c r="AC85" s="216"/>
      <c r="AD85" s="216"/>
    </row>
    <row r="86" spans="1:30" x14ac:dyDescent="0.25">
      <c r="A86" s="216"/>
      <c r="Q86" s="216"/>
      <c r="R86" s="216"/>
      <c r="S86" s="216"/>
      <c r="T86" s="216"/>
      <c r="U86" s="216"/>
      <c r="V86" s="216"/>
      <c r="W86" s="216"/>
      <c r="X86" s="216"/>
      <c r="Y86" s="216"/>
      <c r="Z86" s="216"/>
      <c r="AA86" s="216"/>
      <c r="AB86" s="216"/>
      <c r="AC86" s="216"/>
      <c r="AD86" s="216"/>
    </row>
    <row r="87" spans="1:30" x14ac:dyDescent="0.25">
      <c r="A87" s="216"/>
      <c r="Q87" s="216"/>
      <c r="R87" s="216"/>
      <c r="S87" s="216"/>
      <c r="T87" s="216"/>
      <c r="U87" s="216"/>
      <c r="V87" s="216"/>
      <c r="W87" s="216"/>
      <c r="X87" s="216"/>
      <c r="Y87" s="216"/>
      <c r="Z87" s="216"/>
      <c r="AA87" s="216"/>
      <c r="AB87" s="216"/>
      <c r="AC87" s="216"/>
      <c r="AD87" s="216"/>
    </row>
    <row r="88" spans="1:30" x14ac:dyDescent="0.25">
      <c r="A88" s="216"/>
      <c r="Q88" s="216"/>
      <c r="R88" s="216"/>
      <c r="S88" s="216"/>
      <c r="T88" s="216"/>
      <c r="U88" s="216"/>
      <c r="V88" s="216"/>
      <c r="W88" s="216"/>
      <c r="X88" s="216"/>
      <c r="Y88" s="216"/>
      <c r="Z88" s="216"/>
      <c r="AA88" s="216"/>
      <c r="AB88" s="216"/>
      <c r="AC88" s="216"/>
      <c r="AD88" s="216"/>
    </row>
    <row r="89" spans="1:30" x14ac:dyDescent="0.25">
      <c r="A89" s="216"/>
      <c r="Q89" s="216"/>
      <c r="R89" s="216"/>
      <c r="S89" s="216"/>
      <c r="T89" s="216"/>
      <c r="U89" s="216"/>
      <c r="V89" s="216"/>
      <c r="W89" s="216"/>
      <c r="X89" s="216"/>
      <c r="Y89" s="216"/>
      <c r="Z89" s="216"/>
      <c r="AA89" s="216"/>
      <c r="AB89" s="216"/>
      <c r="AC89" s="216"/>
      <c r="AD89" s="216"/>
    </row>
    <row r="90" spans="1:30" x14ac:dyDescent="0.25">
      <c r="A90" s="216"/>
      <c r="Q90" s="216"/>
      <c r="R90" s="216"/>
      <c r="S90" s="216"/>
      <c r="T90" s="216"/>
      <c r="U90" s="216"/>
      <c r="V90" s="216"/>
      <c r="W90" s="216"/>
      <c r="X90" s="216"/>
      <c r="Y90" s="216"/>
      <c r="Z90" s="216"/>
      <c r="AA90" s="216"/>
      <c r="AB90" s="216"/>
      <c r="AC90" s="216"/>
      <c r="AD90" s="216"/>
    </row>
    <row r="91" spans="1:30" x14ac:dyDescent="0.25">
      <c r="A91" s="216"/>
      <c r="Q91" s="216"/>
      <c r="R91" s="216"/>
      <c r="S91" s="216"/>
      <c r="T91" s="216"/>
      <c r="U91" s="216"/>
      <c r="V91" s="216"/>
      <c r="W91" s="216"/>
      <c r="X91" s="216"/>
      <c r="Y91" s="216"/>
      <c r="Z91" s="216"/>
      <c r="AA91" s="216"/>
      <c r="AB91" s="216"/>
      <c r="AC91" s="216"/>
      <c r="AD91" s="216"/>
    </row>
    <row r="92" spans="1:30" x14ac:dyDescent="0.25">
      <c r="A92" s="216"/>
      <c r="Q92" s="216"/>
      <c r="R92" s="216"/>
      <c r="S92" s="216"/>
      <c r="T92" s="216"/>
      <c r="U92" s="216"/>
      <c r="V92" s="216"/>
      <c r="W92" s="216"/>
      <c r="X92" s="216"/>
      <c r="Y92" s="216"/>
      <c r="Z92" s="216"/>
      <c r="AA92" s="216"/>
      <c r="AB92" s="216"/>
      <c r="AC92" s="216"/>
      <c r="AD92" s="216"/>
    </row>
    <row r="93" spans="1:30" x14ac:dyDescent="0.25">
      <c r="A93" s="216"/>
      <c r="Q93" s="216"/>
      <c r="R93" s="216"/>
      <c r="S93" s="216"/>
      <c r="T93" s="216"/>
      <c r="U93" s="216"/>
      <c r="V93" s="216"/>
      <c r="W93" s="216"/>
      <c r="X93" s="216"/>
      <c r="Y93" s="216"/>
      <c r="Z93" s="216"/>
      <c r="AA93" s="216"/>
      <c r="AB93" s="216"/>
      <c r="AC93" s="216"/>
      <c r="AD93" s="216"/>
    </row>
    <row r="94" spans="1:30" x14ac:dyDescent="0.25">
      <c r="A94" s="216"/>
      <c r="Q94" s="216"/>
      <c r="R94" s="216"/>
      <c r="S94" s="216"/>
      <c r="T94" s="216"/>
      <c r="U94" s="216"/>
      <c r="V94" s="216"/>
      <c r="W94" s="216"/>
      <c r="X94" s="216"/>
      <c r="Y94" s="216"/>
      <c r="Z94" s="216"/>
      <c r="AA94" s="216"/>
      <c r="AB94" s="216"/>
      <c r="AC94" s="216"/>
      <c r="AD94" s="216"/>
    </row>
    <row r="95" spans="1:30" x14ac:dyDescent="0.25">
      <c r="A95" s="216"/>
      <c r="Q95" s="216"/>
      <c r="R95" s="216"/>
      <c r="S95" s="216"/>
      <c r="T95" s="216"/>
      <c r="U95" s="216"/>
      <c r="V95" s="216"/>
      <c r="W95" s="216"/>
      <c r="X95" s="216"/>
      <c r="Y95" s="216"/>
      <c r="Z95" s="216"/>
      <c r="AA95" s="216"/>
      <c r="AB95" s="216"/>
      <c r="AC95" s="216"/>
      <c r="AD95" s="216"/>
    </row>
    <row r="96" spans="1:30" x14ac:dyDescent="0.25">
      <c r="A96" s="216"/>
      <c r="Q96" s="216"/>
      <c r="R96" s="216"/>
      <c r="S96" s="216"/>
      <c r="T96" s="216"/>
      <c r="U96" s="216"/>
      <c r="V96" s="216"/>
      <c r="W96" s="216"/>
      <c r="X96" s="216"/>
      <c r="Y96" s="216"/>
      <c r="Z96" s="216"/>
      <c r="AA96" s="216"/>
      <c r="AB96" s="216"/>
      <c r="AC96" s="216"/>
      <c r="AD96" s="216"/>
    </row>
    <row r="97" spans="1:30" x14ac:dyDescent="0.25">
      <c r="A97" s="216"/>
      <c r="Q97" s="216"/>
      <c r="R97" s="216"/>
      <c r="S97" s="216"/>
      <c r="T97" s="216"/>
      <c r="U97" s="216"/>
      <c r="V97" s="216"/>
      <c r="W97" s="216"/>
      <c r="X97" s="216"/>
      <c r="Y97" s="216"/>
      <c r="Z97" s="216"/>
      <c r="AA97" s="216"/>
      <c r="AB97" s="216"/>
      <c r="AC97" s="216"/>
      <c r="AD97" s="216"/>
    </row>
    <row r="98" spans="1:30" x14ac:dyDescent="0.25">
      <c r="A98" s="216"/>
      <c r="Q98" s="216"/>
      <c r="R98" s="216"/>
      <c r="S98" s="216"/>
      <c r="T98" s="216"/>
      <c r="U98" s="216"/>
      <c r="V98" s="216"/>
      <c r="W98" s="216"/>
      <c r="X98" s="216"/>
      <c r="Y98" s="216"/>
      <c r="Z98" s="216"/>
      <c r="AA98" s="216"/>
      <c r="AB98" s="216"/>
      <c r="AC98" s="216"/>
      <c r="AD98" s="216"/>
    </row>
  </sheetData>
  <mergeCells count="89">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2">
    <dataValidation type="list" allowBlank="1" showInputMessage="1" showErrorMessage="1" sqref="C7:C9" xr:uid="{454154C8-1C03-410E-820E-C928AE9315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BA69"/>
  <sheetViews>
    <sheetView showGridLines="0" topLeftCell="S19" zoomScale="65" zoomScaleNormal="65" workbookViewId="0">
      <selection activeCell="V24" sqref="V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3.7109375" style="50" customWidth="1"/>
    <col min="20" max="21" width="27.140625" style="50" customWidth="1"/>
    <col min="22" max="22" width="43"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3"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c r="BA16" s="309"/>
    </row>
    <row r="17" spans="1:53" s="76" customFormat="1" ht="37.5" customHeight="1" thickBot="1" x14ac:dyDescent="0.3">
      <c r="A17" s="512" t="s">
        <v>23</v>
      </c>
      <c r="B17" s="513"/>
      <c r="C17" s="514" t="s">
        <v>131</v>
      </c>
      <c r="D17" s="515"/>
      <c r="E17" s="515"/>
      <c r="F17" s="515"/>
      <c r="G17" s="515"/>
      <c r="H17" s="515"/>
      <c r="I17" s="515"/>
      <c r="J17" s="515"/>
      <c r="K17" s="515"/>
      <c r="L17" s="515"/>
      <c r="M17" s="515"/>
      <c r="N17" s="515"/>
      <c r="O17" s="515"/>
      <c r="P17" s="515"/>
      <c r="Q17" s="516"/>
      <c r="R17" s="501" t="s">
        <v>25</v>
      </c>
      <c r="S17" s="502"/>
      <c r="T17" s="502"/>
      <c r="U17" s="502"/>
      <c r="V17" s="503"/>
      <c r="W17" s="720">
        <v>0.24</v>
      </c>
      <c r="X17" s="721"/>
      <c r="Y17" s="502" t="s">
        <v>26</v>
      </c>
      <c r="Z17" s="502"/>
      <c r="AA17" s="502"/>
      <c r="AB17" s="503"/>
      <c r="AC17" s="519">
        <v>0.15</v>
      </c>
      <c r="AD17" s="520"/>
      <c r="AX17" s="353"/>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c r="BA21" s="309"/>
    </row>
    <row r="22" spans="1:53" ht="32.1" customHeight="1" x14ac:dyDescent="0.25">
      <c r="A22" s="452" t="s">
        <v>43</v>
      </c>
      <c r="B22" s="454"/>
      <c r="C22" s="322"/>
      <c r="D22" s="323"/>
      <c r="E22" s="323"/>
      <c r="F22" s="323"/>
      <c r="G22" s="323"/>
      <c r="H22" s="323"/>
      <c r="I22" s="323"/>
      <c r="J22" s="323"/>
      <c r="K22" s="323"/>
      <c r="L22" s="323"/>
      <c r="M22" s="323"/>
      <c r="N22" s="323"/>
      <c r="O22" s="323">
        <f>SUM(C22:N22)</f>
        <v>0</v>
      </c>
      <c r="P22" s="380"/>
      <c r="Q22" s="322">
        <v>1788742712</v>
      </c>
      <c r="R22" s="323"/>
      <c r="S22" s="323">
        <f>19186926+10126937+6986000</f>
        <v>36299863</v>
      </c>
      <c r="T22" s="323">
        <f>35000000+21559511</f>
        <v>56559511</v>
      </c>
      <c r="U22" s="323"/>
      <c r="V22" s="323">
        <f>2139478+34249272-35249417</f>
        <v>1139333</v>
      </c>
      <c r="W22" s="323"/>
      <c r="X22" s="323"/>
      <c r="Y22" s="323"/>
      <c r="Z22" s="323"/>
      <c r="AA22" s="323"/>
      <c r="AB22" s="323"/>
      <c r="AC22" s="376">
        <f>SUM(Q22:AB22)</f>
        <v>1882741419</v>
      </c>
      <c r="AD22" s="183"/>
      <c r="AE22" s="3"/>
      <c r="AF22" s="625" t="s">
        <v>132</v>
      </c>
      <c r="AG22" s="625"/>
      <c r="AH22" s="625"/>
      <c r="AI22" s="625"/>
      <c r="AJ22" s="625"/>
      <c r="AK22" s="625"/>
      <c r="AL22" s="625"/>
      <c r="AM22" s="625"/>
    </row>
    <row r="23" spans="1:53" ht="32.1" customHeight="1" x14ac:dyDescent="0.25">
      <c r="A23" s="453" t="s">
        <v>44</v>
      </c>
      <c r="B23" s="455"/>
      <c r="C23" s="174"/>
      <c r="D23" s="173"/>
      <c r="E23" s="173"/>
      <c r="F23" s="173"/>
      <c r="G23" s="173"/>
      <c r="H23" s="173"/>
      <c r="I23" s="173"/>
      <c r="J23" s="173"/>
      <c r="K23" s="173"/>
      <c r="L23" s="173"/>
      <c r="M23" s="173"/>
      <c r="N23" s="173"/>
      <c r="O23" s="173">
        <f>SUM(C23:N23)</f>
        <v>0</v>
      </c>
      <c r="P23" s="381"/>
      <c r="Q23" s="174">
        <v>84263629</v>
      </c>
      <c r="R23" s="173">
        <v>1319717051</v>
      </c>
      <c r="S23" s="173">
        <v>198188775</v>
      </c>
      <c r="T23" s="173">
        <v>-33051211</v>
      </c>
      <c r="U23" s="173">
        <v>30963345</v>
      </c>
      <c r="V23" s="173">
        <v>40445825</v>
      </c>
      <c r="W23" s="173">
        <v>66421867</v>
      </c>
      <c r="X23" s="173"/>
      <c r="Y23" s="173"/>
      <c r="Z23" s="173"/>
      <c r="AA23" s="173"/>
      <c r="AB23" s="173"/>
      <c r="AC23" s="377">
        <f>SUM(Q23:AB23)</f>
        <v>1706949281</v>
      </c>
      <c r="AD23" s="181">
        <f>IFERROR(AC23/(SUMIF(Q23:AB23,"&gt;0",Q22:AB22))," ")</f>
        <v>0.93470933729127714</v>
      </c>
      <c r="AE23" s="3"/>
      <c r="AF23" s="625"/>
      <c r="AG23" s="625"/>
      <c r="AH23" s="625"/>
      <c r="AI23" s="625"/>
      <c r="AJ23" s="625"/>
      <c r="AK23" s="625"/>
      <c r="AL23" s="625"/>
      <c r="AM23" s="625"/>
    </row>
    <row r="24" spans="1:53" ht="32.1" customHeight="1" x14ac:dyDescent="0.25">
      <c r="A24" s="453" t="s">
        <v>45</v>
      </c>
      <c r="B24" s="455"/>
      <c r="C24" s="174">
        <f>25110243+698600+1646344+1804187+19304533</f>
        <v>48563907</v>
      </c>
      <c r="D24" s="173">
        <f>1749516+3375000+698600+1646344+3750000+461423+840000+713790+713790+1545000+1545000+432600+475860+4505045</f>
        <v>22451968</v>
      </c>
      <c r="E24" s="173">
        <f>698600+1646344+4956875</f>
        <v>7301819</v>
      </c>
      <c r="F24" s="173">
        <f>698600+1646344+5038625</f>
        <v>7383569</v>
      </c>
      <c r="G24" s="173">
        <f>548900+1646344</f>
        <v>2195244</v>
      </c>
      <c r="H24" s="173">
        <f>1646344-840000</f>
        <v>806344</v>
      </c>
      <c r="I24" s="173">
        <v>1049770</v>
      </c>
      <c r="J24" s="173"/>
      <c r="K24" s="173"/>
      <c r="L24" s="173"/>
      <c r="M24" s="173"/>
      <c r="N24" s="173"/>
      <c r="O24" s="206">
        <f>SUM(C24:N24)</f>
        <v>89752621</v>
      </c>
      <c r="P24" s="177"/>
      <c r="Q24" s="174"/>
      <c r="R24" s="173">
        <v>76648064</v>
      </c>
      <c r="S24" s="173">
        <v>155644968</v>
      </c>
      <c r="T24" s="173">
        <f>155644968+1918693+1646342+776223</f>
        <v>159986226</v>
      </c>
      <c r="U24" s="173">
        <f>155644968+1918693+3888889+1646342+21559511+776223</f>
        <v>185434626</v>
      </c>
      <c r="V24" s="173">
        <f>155644968+1918693+3888889+1646342+776222-35249417</f>
        <v>128625697</v>
      </c>
      <c r="W24" s="173">
        <f>155644968+1918693+2139478+3888889+741130+11416424+776222</f>
        <v>176525804</v>
      </c>
      <c r="X24" s="173">
        <f>155644968+1918693+3888889+741130+776222</f>
        <v>162969902</v>
      </c>
      <c r="Y24" s="173">
        <f>155644968+1918693+3888889+741130+11416424+776222</f>
        <v>174386326</v>
      </c>
      <c r="Z24" s="173">
        <f>155644968+1918692+3888889+741130+776222</f>
        <v>162969901</v>
      </c>
      <c r="AA24" s="173">
        <f>155644968+1918692+3888889+741130+11416424+776222</f>
        <v>174386325</v>
      </c>
      <c r="AB24" s="173">
        <f>311289936+3837384+7777777+1482261+776222</f>
        <v>325163580</v>
      </c>
      <c r="AC24" s="206">
        <f>SUM(Q24:AB24)</f>
        <v>1882741419</v>
      </c>
      <c r="AD24" s="181"/>
      <c r="AE24" s="3"/>
      <c r="AF24" s="625"/>
      <c r="AG24" s="625"/>
      <c r="AH24" s="625"/>
      <c r="AI24" s="625"/>
      <c r="AJ24" s="625"/>
      <c r="AK24" s="625"/>
      <c r="AL24" s="625"/>
      <c r="AM24" s="625"/>
    </row>
    <row r="25" spans="1:53" ht="32.1" customHeight="1" thickBot="1" x14ac:dyDescent="0.3">
      <c r="A25" s="481" t="s">
        <v>46</v>
      </c>
      <c r="B25" s="487"/>
      <c r="C25" s="324">
        <v>9139172</v>
      </c>
      <c r="D25" s="175">
        <v>34332596</v>
      </c>
      <c r="E25" s="175">
        <v>24384979</v>
      </c>
      <c r="F25" s="175">
        <v>10889552</v>
      </c>
      <c r="G25" s="175">
        <v>4540188</v>
      </c>
      <c r="H25" s="175">
        <v>384894</v>
      </c>
      <c r="I25" s="175">
        <v>1646352</v>
      </c>
      <c r="J25" s="175"/>
      <c r="K25" s="175"/>
      <c r="L25" s="175"/>
      <c r="M25" s="175"/>
      <c r="N25" s="175"/>
      <c r="O25" s="175">
        <f>SUM(C25:N25)</f>
        <v>85317733</v>
      </c>
      <c r="P25" s="180">
        <f>+O25/O24</f>
        <v>0.95058764913394567</v>
      </c>
      <c r="Q25" s="324" t="s">
        <v>48</v>
      </c>
      <c r="R25" s="175">
        <v>944067</v>
      </c>
      <c r="S25" s="175">
        <v>49626360</v>
      </c>
      <c r="T25" s="175">
        <v>137705564</v>
      </c>
      <c r="U25" s="175">
        <v>153450831</v>
      </c>
      <c r="V25" s="175">
        <v>162705131</v>
      </c>
      <c r="W25" s="175">
        <v>175827322</v>
      </c>
      <c r="X25" s="175"/>
      <c r="Y25" s="175"/>
      <c r="Z25" s="175"/>
      <c r="AA25" s="175"/>
      <c r="AB25" s="175"/>
      <c r="AC25" s="175">
        <f>SUM(Q25:AB25)</f>
        <v>680259275</v>
      </c>
      <c r="AD25" s="182">
        <f>IFERROR(AC25/(SUMIF(Q25:AB25,"&gt;0",Q24:AB24))," ")</f>
        <v>0.77051302107625386</v>
      </c>
      <c r="AE25" s="3"/>
      <c r="AF25" s="625"/>
      <c r="AG25" s="625"/>
      <c r="AH25" s="625"/>
      <c r="AI25" s="625"/>
      <c r="AJ25" s="625"/>
      <c r="AK25" s="625"/>
      <c r="AL25" s="625"/>
      <c r="AM25" s="625"/>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thickBot="1" x14ac:dyDescent="0.3">
      <c r="A30" s="85" t="s">
        <v>133</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0.25" customHeight="1" x14ac:dyDescent="0.25">
      <c r="A32" s="452" t="s">
        <v>56</v>
      </c>
      <c r="B32" s="456" t="s">
        <v>57</v>
      </c>
      <c r="C32" s="456" t="s">
        <v>51</v>
      </c>
      <c r="D32" s="480" t="s">
        <v>58</v>
      </c>
      <c r="E32" s="456"/>
      <c r="F32" s="456"/>
      <c r="G32" s="456"/>
      <c r="H32" s="456"/>
      <c r="I32" s="456"/>
      <c r="J32" s="456"/>
      <c r="K32" s="456"/>
      <c r="L32" s="456"/>
      <c r="M32" s="456"/>
      <c r="N32" s="456"/>
      <c r="O32" s="456"/>
      <c r="P32" s="457"/>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36.75" customHeight="1" thickBot="1" x14ac:dyDescent="0.3">
      <c r="A33" s="453"/>
      <c r="B33" s="478"/>
      <c r="C33" s="479"/>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108" customHeight="1" x14ac:dyDescent="0.25">
      <c r="A34" s="462" t="s">
        <v>133</v>
      </c>
      <c r="B34" s="464">
        <v>0.15</v>
      </c>
      <c r="C34" s="102" t="s">
        <v>64</v>
      </c>
      <c r="D34" s="258">
        <f>D69</f>
        <v>6.4019205761728509E-3</v>
      </c>
      <c r="E34" s="259">
        <f t="shared" ref="E34:O34" si="0">E69</f>
        <v>2.2401920576172858E-2</v>
      </c>
      <c r="F34" s="259">
        <f t="shared" si="0"/>
        <v>2.1865999799939986E-2</v>
      </c>
      <c r="G34" s="259">
        <f t="shared" si="0"/>
        <v>2.1865999799939986E-2</v>
      </c>
      <c r="H34" s="259">
        <f t="shared" si="0"/>
        <v>2.1865999799939986E-2</v>
      </c>
      <c r="I34" s="259">
        <f t="shared" si="0"/>
        <v>2.1865999799939986E-2</v>
      </c>
      <c r="J34" s="259">
        <f t="shared" si="0"/>
        <v>2.1865999799939986E-2</v>
      </c>
      <c r="K34" s="259">
        <f t="shared" si="0"/>
        <v>2.1865999799939986E-2</v>
      </c>
      <c r="L34" s="259">
        <f t="shared" si="0"/>
        <v>2.1865999799939986E-2</v>
      </c>
      <c r="M34" s="259">
        <f t="shared" si="0"/>
        <v>2.1865999799939986E-2</v>
      </c>
      <c r="N34" s="259">
        <f t="shared" si="0"/>
        <v>2.1065999799939981E-2</v>
      </c>
      <c r="O34" s="260">
        <f t="shared" si="0"/>
        <v>1.5202160648194461E-2</v>
      </c>
      <c r="P34" s="254">
        <f>SUM(D34:O34)</f>
        <v>0.24000000000000002</v>
      </c>
      <c r="Q34" s="741" t="s">
        <v>134</v>
      </c>
      <c r="R34" s="736"/>
      <c r="S34" s="742"/>
      <c r="T34" s="741" t="s">
        <v>585</v>
      </c>
      <c r="U34" s="736"/>
      <c r="V34" s="742"/>
      <c r="W34" s="744" t="s">
        <v>135</v>
      </c>
      <c r="X34" s="744"/>
      <c r="Y34" s="744"/>
      <c r="Z34" s="744"/>
      <c r="AA34" s="735" t="s">
        <v>136</v>
      </c>
      <c r="AB34" s="736"/>
      <c r="AC34" s="736"/>
      <c r="AD34" s="737"/>
      <c r="AG34" s="87"/>
      <c r="AH34" s="87"/>
      <c r="AI34" s="87"/>
      <c r="AJ34" s="87"/>
      <c r="AK34" s="87"/>
      <c r="AL34" s="87"/>
      <c r="AM34" s="87"/>
      <c r="AN34" s="87"/>
      <c r="AO34" s="87"/>
    </row>
    <row r="35" spans="1:41" ht="295.5" customHeight="1" thickBot="1" x14ac:dyDescent="0.3">
      <c r="A35" s="463"/>
      <c r="B35" s="465"/>
      <c r="C35" s="91" t="s">
        <v>68</v>
      </c>
      <c r="D35" s="256">
        <f>D66</f>
        <v>6.4019205761728509E-3</v>
      </c>
      <c r="E35" s="246">
        <f t="shared" ref="E35:O35" si="1">E66</f>
        <v>1.8401920576172855E-2</v>
      </c>
      <c r="F35" s="246">
        <f t="shared" si="1"/>
        <v>2.1865999799939986E-2</v>
      </c>
      <c r="G35" s="246">
        <f t="shared" si="1"/>
        <v>2.1865999799939986E-2</v>
      </c>
      <c r="H35" s="246">
        <f t="shared" si="1"/>
        <v>2.1865999799939986E-2</v>
      </c>
      <c r="I35" s="246">
        <v>0.02</v>
      </c>
      <c r="J35" s="246">
        <f t="shared" si="1"/>
        <v>2.1865999799939986E-2</v>
      </c>
      <c r="K35" s="246">
        <f t="shared" si="1"/>
        <v>0</v>
      </c>
      <c r="L35" s="246">
        <f t="shared" si="1"/>
        <v>0</v>
      </c>
      <c r="M35" s="246">
        <f t="shared" si="1"/>
        <v>0</v>
      </c>
      <c r="N35" s="246">
        <f t="shared" si="1"/>
        <v>0</v>
      </c>
      <c r="O35" s="247">
        <f t="shared" si="1"/>
        <v>0</v>
      </c>
      <c r="P35" s="255">
        <f>SUM(D35:O35)</f>
        <v>0.13226784035210565</v>
      </c>
      <c r="Q35" s="743"/>
      <c r="R35" s="640"/>
      <c r="S35" s="643"/>
      <c r="T35" s="743"/>
      <c r="U35" s="640"/>
      <c r="V35" s="643"/>
      <c r="W35" s="745"/>
      <c r="X35" s="745"/>
      <c r="Y35" s="745"/>
      <c r="Z35" s="745"/>
      <c r="AA35" s="639"/>
      <c r="AB35" s="640"/>
      <c r="AC35" s="640"/>
      <c r="AD35" s="641"/>
      <c r="AE35" s="49"/>
      <c r="AG35" s="87"/>
      <c r="AH35" s="87"/>
      <c r="AI35" s="87"/>
      <c r="AJ35" s="87"/>
      <c r="AK35" s="87"/>
      <c r="AL35" s="87"/>
      <c r="AM35" s="87"/>
      <c r="AN35" s="87"/>
      <c r="AO35" s="87"/>
    </row>
    <row r="36" spans="1:41" ht="26.1" customHeight="1" x14ac:dyDescent="0.25">
      <c r="A36" s="452" t="s">
        <v>69</v>
      </c>
      <c r="B36" s="456" t="s">
        <v>70</v>
      </c>
      <c r="C36" s="480" t="s">
        <v>71</v>
      </c>
      <c r="D36" s="456"/>
      <c r="E36" s="456"/>
      <c r="F36" s="456"/>
      <c r="G36" s="456"/>
      <c r="H36" s="456"/>
      <c r="I36" s="456"/>
      <c r="J36" s="456"/>
      <c r="K36" s="456"/>
      <c r="L36" s="456"/>
      <c r="M36" s="456"/>
      <c r="N36" s="456"/>
      <c r="O36" s="456"/>
      <c r="P36" s="457"/>
      <c r="Q36" s="738" t="s">
        <v>72</v>
      </c>
      <c r="R36" s="739"/>
      <c r="S36" s="739"/>
      <c r="T36" s="739"/>
      <c r="U36" s="739"/>
      <c r="V36" s="739"/>
      <c r="W36" s="739"/>
      <c r="X36" s="739"/>
      <c r="Y36" s="739"/>
      <c r="Z36" s="739"/>
      <c r="AA36" s="739"/>
      <c r="AB36" s="739"/>
      <c r="AC36" s="739"/>
      <c r="AD36" s="740"/>
      <c r="AG36" s="87"/>
      <c r="AH36" s="87"/>
      <c r="AI36" s="87"/>
      <c r="AJ36" s="87"/>
      <c r="AK36" s="87"/>
      <c r="AL36" s="87"/>
      <c r="AM36" s="87"/>
      <c r="AN36" s="87"/>
      <c r="AO36" s="87"/>
    </row>
    <row r="37" spans="1:41" ht="26.1" customHeight="1" thickBot="1" x14ac:dyDescent="0.3">
      <c r="A37" s="481"/>
      <c r="B37" s="482"/>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14"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55.5" customHeight="1" x14ac:dyDescent="0.25">
      <c r="A38" s="702" t="s">
        <v>137</v>
      </c>
      <c r="B38" s="703">
        <v>0.05</v>
      </c>
      <c r="C38" s="337" t="s">
        <v>64</v>
      </c>
      <c r="D38" s="331">
        <v>0</v>
      </c>
      <c r="E38" s="331">
        <v>0.1</v>
      </c>
      <c r="F38" s="333">
        <v>9.5000000000000001E-2</v>
      </c>
      <c r="G38" s="333">
        <v>9.5000000000000001E-2</v>
      </c>
      <c r="H38" s="333">
        <v>9.5000000000000001E-2</v>
      </c>
      <c r="I38" s="333">
        <v>9.5000000000000001E-2</v>
      </c>
      <c r="J38" s="333">
        <v>9.5000000000000001E-2</v>
      </c>
      <c r="K38" s="333">
        <v>9.5000000000000001E-2</v>
      </c>
      <c r="L38" s="333">
        <v>9.5000000000000001E-2</v>
      </c>
      <c r="M38" s="333">
        <v>9.5000000000000001E-2</v>
      </c>
      <c r="N38" s="333">
        <v>0.09</v>
      </c>
      <c r="O38" s="333">
        <v>0.05</v>
      </c>
      <c r="P38" s="364">
        <f t="shared" ref="P38:P43" si="2">SUM(D38:O38)</f>
        <v>0.99999999999999989</v>
      </c>
      <c r="Q38" s="728" t="s">
        <v>138</v>
      </c>
      <c r="R38" s="729"/>
      <c r="S38" s="729"/>
      <c r="T38" s="729"/>
      <c r="U38" s="729"/>
      <c r="V38" s="729"/>
      <c r="W38" s="729"/>
      <c r="X38" s="729"/>
      <c r="Y38" s="729"/>
      <c r="Z38" s="729"/>
      <c r="AA38" s="729"/>
      <c r="AB38" s="729"/>
      <c r="AC38" s="729"/>
      <c r="AD38" s="730"/>
      <c r="AE38" s="97"/>
      <c r="AG38" s="98"/>
      <c r="AH38" s="98"/>
      <c r="AI38" s="98"/>
      <c r="AJ38" s="98"/>
      <c r="AK38" s="98"/>
      <c r="AL38" s="98"/>
      <c r="AM38" s="98"/>
      <c r="AN38" s="98"/>
      <c r="AO38" s="98"/>
    </row>
    <row r="39" spans="1:41" ht="55.5" customHeight="1" x14ac:dyDescent="0.25">
      <c r="A39" s="600"/>
      <c r="B39" s="602"/>
      <c r="C39" s="212" t="s">
        <v>68</v>
      </c>
      <c r="D39" s="270">
        <v>0</v>
      </c>
      <c r="E39" s="270">
        <v>0.05</v>
      </c>
      <c r="F39" s="270">
        <v>9.5000000000000001E-2</v>
      </c>
      <c r="G39" s="270">
        <v>9.5000000000000001E-2</v>
      </c>
      <c r="H39" s="270">
        <v>9.5000000000000001E-2</v>
      </c>
      <c r="I39" s="270">
        <v>0.1</v>
      </c>
      <c r="J39" s="270">
        <v>9.5000000000000001E-2</v>
      </c>
      <c r="K39" s="100"/>
      <c r="L39" s="100"/>
      <c r="M39" s="100"/>
      <c r="N39" s="100"/>
      <c r="O39" s="100"/>
      <c r="P39" s="290">
        <f t="shared" si="2"/>
        <v>0.53</v>
      </c>
      <c r="Q39" s="731"/>
      <c r="R39" s="732"/>
      <c r="S39" s="732"/>
      <c r="T39" s="732"/>
      <c r="U39" s="732"/>
      <c r="V39" s="732"/>
      <c r="W39" s="732"/>
      <c r="X39" s="732"/>
      <c r="Y39" s="732"/>
      <c r="Z39" s="732"/>
      <c r="AA39" s="732"/>
      <c r="AB39" s="732"/>
      <c r="AC39" s="732"/>
      <c r="AD39" s="733"/>
      <c r="AE39" s="97"/>
    </row>
    <row r="40" spans="1:41" ht="55.5" customHeight="1" x14ac:dyDescent="0.25">
      <c r="A40" s="438" t="s">
        <v>139</v>
      </c>
      <c r="B40" s="610">
        <v>0.05</v>
      </c>
      <c r="C40" s="213" t="s">
        <v>64</v>
      </c>
      <c r="D40" s="275">
        <v>0</v>
      </c>
      <c r="E40" s="275">
        <v>0.1</v>
      </c>
      <c r="F40" s="286">
        <v>9.5000000000000001E-2</v>
      </c>
      <c r="G40" s="286">
        <v>9.5000000000000001E-2</v>
      </c>
      <c r="H40" s="207">
        <v>9.5000000000000001E-2</v>
      </c>
      <c r="I40" s="207">
        <v>9.5000000000000001E-2</v>
      </c>
      <c r="J40" s="207">
        <v>9.5000000000000001E-2</v>
      </c>
      <c r="K40" s="207">
        <v>9.5000000000000001E-2</v>
      </c>
      <c r="L40" s="207">
        <v>9.5000000000000001E-2</v>
      </c>
      <c r="M40" s="207">
        <v>9.5000000000000001E-2</v>
      </c>
      <c r="N40" s="207">
        <v>0.09</v>
      </c>
      <c r="O40" s="207">
        <v>0.05</v>
      </c>
      <c r="P40" s="290">
        <f t="shared" si="2"/>
        <v>0.99999999999999989</v>
      </c>
      <c r="Q40" s="734" t="s">
        <v>583</v>
      </c>
      <c r="R40" s="729"/>
      <c r="S40" s="729"/>
      <c r="T40" s="729"/>
      <c r="U40" s="729"/>
      <c r="V40" s="729"/>
      <c r="W40" s="729"/>
      <c r="X40" s="729"/>
      <c r="Y40" s="729"/>
      <c r="Z40" s="729"/>
      <c r="AA40" s="729"/>
      <c r="AB40" s="729"/>
      <c r="AC40" s="729"/>
      <c r="AD40" s="730"/>
      <c r="AE40" s="97"/>
    </row>
    <row r="41" spans="1:41" ht="55.5" customHeight="1" x14ac:dyDescent="0.25">
      <c r="A41" s="600"/>
      <c r="B41" s="602"/>
      <c r="C41" s="212" t="s">
        <v>68</v>
      </c>
      <c r="D41" s="274"/>
      <c r="E41" s="270">
        <v>0.1</v>
      </c>
      <c r="F41" s="270">
        <v>9.5000000000000001E-2</v>
      </c>
      <c r="G41" s="270">
        <v>9.5000000000000001E-2</v>
      </c>
      <c r="H41" s="270">
        <v>9.5000000000000001E-2</v>
      </c>
      <c r="I41" s="270">
        <v>0.1</v>
      </c>
      <c r="J41" s="270">
        <v>9.5000000000000001E-2</v>
      </c>
      <c r="K41" s="100"/>
      <c r="L41" s="100"/>
      <c r="M41" s="100"/>
      <c r="N41" s="100"/>
      <c r="O41" s="100"/>
      <c r="P41" s="290">
        <f t="shared" si="2"/>
        <v>0.57999999999999996</v>
      </c>
      <c r="Q41" s="731"/>
      <c r="R41" s="732"/>
      <c r="S41" s="732"/>
      <c r="T41" s="732"/>
      <c r="U41" s="732"/>
      <c r="V41" s="732"/>
      <c r="W41" s="732"/>
      <c r="X41" s="732"/>
      <c r="Y41" s="732"/>
      <c r="Z41" s="732"/>
      <c r="AA41" s="732"/>
      <c r="AB41" s="732"/>
      <c r="AC41" s="732"/>
      <c r="AD41" s="733"/>
      <c r="AE41" s="97"/>
    </row>
    <row r="42" spans="1:41" ht="55.5" customHeight="1" x14ac:dyDescent="0.25">
      <c r="A42" s="603" t="s">
        <v>140</v>
      </c>
      <c r="B42" s="601">
        <v>0.05</v>
      </c>
      <c r="C42" s="213" t="s">
        <v>64</v>
      </c>
      <c r="D42" s="275">
        <v>0.08</v>
      </c>
      <c r="E42" s="275">
        <v>0.08</v>
      </c>
      <c r="F42" s="286">
        <v>8.3299999999999999E-2</v>
      </c>
      <c r="G42" s="286">
        <v>8.3299999999999999E-2</v>
      </c>
      <c r="H42" s="207">
        <v>8.3299999999999999E-2</v>
      </c>
      <c r="I42" s="207">
        <v>8.3299999999999999E-2</v>
      </c>
      <c r="J42" s="207">
        <v>8.3299999999999999E-2</v>
      </c>
      <c r="K42" s="207">
        <v>8.3299999999999999E-2</v>
      </c>
      <c r="L42" s="207">
        <v>8.3299999999999999E-2</v>
      </c>
      <c r="M42" s="207">
        <v>8.3299999999999999E-2</v>
      </c>
      <c r="N42" s="207">
        <v>8.3299999999999999E-2</v>
      </c>
      <c r="O42" s="207">
        <v>0.09</v>
      </c>
      <c r="P42" s="290">
        <f t="shared" si="2"/>
        <v>0.99970000000000014</v>
      </c>
      <c r="Q42" s="722" t="s">
        <v>141</v>
      </c>
      <c r="R42" s="723"/>
      <c r="S42" s="723"/>
      <c r="T42" s="723"/>
      <c r="U42" s="723"/>
      <c r="V42" s="723"/>
      <c r="W42" s="723"/>
      <c r="X42" s="723"/>
      <c r="Y42" s="723"/>
      <c r="Z42" s="723"/>
      <c r="AA42" s="723"/>
      <c r="AB42" s="723"/>
      <c r="AC42" s="723"/>
      <c r="AD42" s="724"/>
      <c r="AE42" s="97"/>
    </row>
    <row r="43" spans="1:41" ht="55.5" customHeight="1" x14ac:dyDescent="0.25">
      <c r="A43" s="604"/>
      <c r="B43" s="605"/>
      <c r="C43" s="267" t="s">
        <v>68</v>
      </c>
      <c r="D43" s="271">
        <v>0.08</v>
      </c>
      <c r="E43" s="271">
        <v>0.08</v>
      </c>
      <c r="F43" s="271">
        <v>8.3299999999999999E-2</v>
      </c>
      <c r="G43" s="271">
        <v>8.3299999999999999E-2</v>
      </c>
      <c r="H43" s="271">
        <v>8.3299999999999999E-2</v>
      </c>
      <c r="I43" s="271">
        <v>0.08</v>
      </c>
      <c r="J43" s="271">
        <v>8.3299999999999999E-2</v>
      </c>
      <c r="K43" s="105"/>
      <c r="L43" s="105"/>
      <c r="M43" s="105"/>
      <c r="N43" s="105"/>
      <c r="O43" s="105"/>
      <c r="P43" s="291">
        <f t="shared" si="2"/>
        <v>0.57320000000000004</v>
      </c>
      <c r="Q43" s="725"/>
      <c r="R43" s="726"/>
      <c r="S43" s="726"/>
      <c r="T43" s="726"/>
      <c r="U43" s="726"/>
      <c r="V43" s="726"/>
      <c r="W43" s="726"/>
      <c r="X43" s="726"/>
      <c r="Y43" s="726"/>
      <c r="Z43" s="726"/>
      <c r="AA43" s="726"/>
      <c r="AB43" s="726"/>
      <c r="AC43" s="726"/>
      <c r="AD43" s="727"/>
      <c r="AE43" s="97"/>
    </row>
    <row r="44" spans="1:41" x14ac:dyDescent="0.25">
      <c r="A44" s="50" t="s">
        <v>90</v>
      </c>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9. Implementar el componente de formación para cuidadoras</v>
      </c>
      <c r="B57" s="597">
        <f>B38</f>
        <v>0.05</v>
      </c>
      <c r="C57" s="218" t="s">
        <v>64</v>
      </c>
      <c r="D57" s="219">
        <f>D38*$B$38/$P$38</f>
        <v>0</v>
      </c>
      <c r="E57" s="219">
        <f t="shared" ref="D57:O58" si="3">E38*$B$38/$P$38</f>
        <v>5.0000000000000018E-3</v>
      </c>
      <c r="F57" s="219">
        <f t="shared" si="3"/>
        <v>4.7500000000000016E-3</v>
      </c>
      <c r="G57" s="219">
        <f t="shared" si="3"/>
        <v>4.7500000000000016E-3</v>
      </c>
      <c r="H57" s="219">
        <f t="shared" si="3"/>
        <v>4.7500000000000016E-3</v>
      </c>
      <c r="I57" s="219">
        <f t="shared" si="3"/>
        <v>4.7500000000000016E-3</v>
      </c>
      <c r="J57" s="219">
        <f t="shared" si="3"/>
        <v>4.7500000000000016E-3</v>
      </c>
      <c r="K57" s="219">
        <f t="shared" si="3"/>
        <v>4.7500000000000016E-3</v>
      </c>
      <c r="L57" s="219">
        <f t="shared" si="3"/>
        <v>4.7500000000000016E-3</v>
      </c>
      <c r="M57" s="219">
        <f t="shared" si="3"/>
        <v>4.7500000000000016E-3</v>
      </c>
      <c r="N57" s="219">
        <f t="shared" si="3"/>
        <v>4.5000000000000005E-3</v>
      </c>
      <c r="O57" s="219">
        <f t="shared" si="3"/>
        <v>2.5000000000000009E-3</v>
      </c>
      <c r="P57" s="220">
        <f t="shared" ref="P57:P62" si="4">SUM(D57:O57)</f>
        <v>5.0000000000000017E-2</v>
      </c>
      <c r="Q57" s="221">
        <v>0.05</v>
      </c>
      <c r="R57" s="222">
        <f t="shared" ref="R57:R65" si="5">+P57-Q57</f>
        <v>0</v>
      </c>
      <c r="S57" s="216"/>
      <c r="T57" s="216"/>
      <c r="U57" s="216"/>
      <c r="V57" s="216"/>
      <c r="W57" s="216"/>
      <c r="X57" s="216"/>
      <c r="Y57" s="216"/>
      <c r="Z57" s="216"/>
      <c r="AA57" s="216"/>
      <c r="AB57" s="216"/>
      <c r="AC57" s="216"/>
      <c r="AD57" s="216"/>
    </row>
    <row r="58" spans="1:30" x14ac:dyDescent="0.25">
      <c r="A58" s="596"/>
      <c r="B58" s="598"/>
      <c r="C58" s="223" t="s">
        <v>68</v>
      </c>
      <c r="D58" s="224">
        <f t="shared" si="3"/>
        <v>0</v>
      </c>
      <c r="E58" s="224">
        <f t="shared" si="3"/>
        <v>2.5000000000000009E-3</v>
      </c>
      <c r="F58" s="224">
        <f t="shared" si="3"/>
        <v>4.7500000000000016E-3</v>
      </c>
      <c r="G58" s="224">
        <f t="shared" si="3"/>
        <v>4.7500000000000016E-3</v>
      </c>
      <c r="H58" s="224">
        <f t="shared" si="3"/>
        <v>4.7500000000000016E-3</v>
      </c>
      <c r="I58" s="224">
        <f t="shared" si="3"/>
        <v>5.0000000000000018E-3</v>
      </c>
      <c r="J58" s="224">
        <f t="shared" si="3"/>
        <v>4.7500000000000016E-3</v>
      </c>
      <c r="K58" s="224">
        <f t="shared" si="3"/>
        <v>0</v>
      </c>
      <c r="L58" s="224">
        <f t="shared" si="3"/>
        <v>0</v>
      </c>
      <c r="M58" s="224">
        <f t="shared" si="3"/>
        <v>0</v>
      </c>
      <c r="N58" s="224">
        <f t="shared" si="3"/>
        <v>0</v>
      </c>
      <c r="O58" s="224">
        <f t="shared" si="3"/>
        <v>0</v>
      </c>
      <c r="P58" s="225">
        <f t="shared" si="4"/>
        <v>2.6500000000000006E-2</v>
      </c>
      <c r="Q58" s="226">
        <f>+P58</f>
        <v>2.6500000000000006E-2</v>
      </c>
      <c r="R58" s="222">
        <f t="shared" si="5"/>
        <v>0</v>
      </c>
      <c r="S58" s="216"/>
      <c r="T58" s="216"/>
      <c r="U58" s="216"/>
      <c r="V58" s="216"/>
      <c r="W58" s="216"/>
      <c r="X58" s="216"/>
      <c r="Y58" s="216"/>
      <c r="Z58" s="216"/>
      <c r="AA58" s="216"/>
      <c r="AB58" s="216"/>
      <c r="AC58" s="216"/>
      <c r="AD58" s="216"/>
    </row>
    <row r="59" spans="1:30" x14ac:dyDescent="0.25">
      <c r="A59" s="595" t="str">
        <f>A40</f>
        <v xml:space="preserve">10. Implementar el componente de orientación psicojurídica para cuidadoras </v>
      </c>
      <c r="B59" s="623">
        <f>B40</f>
        <v>0.05</v>
      </c>
      <c r="C59" s="218" t="s">
        <v>64</v>
      </c>
      <c r="D59" s="219">
        <f t="shared" ref="D59:O60" si="6">D40*$B$40/$P$40</f>
        <v>0</v>
      </c>
      <c r="E59" s="219">
        <f t="shared" si="6"/>
        <v>5.0000000000000018E-3</v>
      </c>
      <c r="F59" s="219">
        <f t="shared" si="6"/>
        <v>4.7500000000000016E-3</v>
      </c>
      <c r="G59" s="219">
        <f t="shared" si="6"/>
        <v>4.7500000000000016E-3</v>
      </c>
      <c r="H59" s="219">
        <f t="shared" si="6"/>
        <v>4.7500000000000016E-3</v>
      </c>
      <c r="I59" s="219">
        <f t="shared" si="6"/>
        <v>4.7500000000000016E-3</v>
      </c>
      <c r="J59" s="219">
        <f t="shared" si="6"/>
        <v>4.7500000000000016E-3</v>
      </c>
      <c r="K59" s="219">
        <f t="shared" si="6"/>
        <v>4.7500000000000016E-3</v>
      </c>
      <c r="L59" s="219">
        <f t="shared" si="6"/>
        <v>4.7500000000000016E-3</v>
      </c>
      <c r="M59" s="219">
        <f t="shared" si="6"/>
        <v>4.7500000000000016E-3</v>
      </c>
      <c r="N59" s="219">
        <f t="shared" si="6"/>
        <v>4.5000000000000005E-3</v>
      </c>
      <c r="O59" s="219">
        <f t="shared" si="6"/>
        <v>2.5000000000000009E-3</v>
      </c>
      <c r="P59" s="220">
        <f t="shared" si="4"/>
        <v>5.0000000000000017E-2</v>
      </c>
      <c r="Q59" s="221">
        <v>2.5000000000000001E-2</v>
      </c>
      <c r="R59" s="222">
        <f t="shared" si="5"/>
        <v>2.5000000000000015E-2</v>
      </c>
      <c r="S59" s="216"/>
      <c r="T59" s="216"/>
      <c r="U59" s="216"/>
      <c r="V59" s="216"/>
      <c r="W59" s="216"/>
      <c r="X59" s="216"/>
      <c r="Y59" s="216"/>
      <c r="Z59" s="216"/>
      <c r="AA59" s="216"/>
      <c r="AB59" s="216"/>
      <c r="AC59" s="216"/>
      <c r="AD59" s="216"/>
    </row>
    <row r="60" spans="1:30" x14ac:dyDescent="0.25">
      <c r="A60" s="622"/>
      <c r="B60" s="624"/>
      <c r="C60" s="223" t="s">
        <v>68</v>
      </c>
      <c r="D60" s="224">
        <f t="shared" si="6"/>
        <v>0</v>
      </c>
      <c r="E60" s="224">
        <f t="shared" si="6"/>
        <v>5.0000000000000018E-3</v>
      </c>
      <c r="F60" s="224">
        <f t="shared" si="6"/>
        <v>4.7500000000000016E-3</v>
      </c>
      <c r="G60" s="224">
        <f t="shared" si="6"/>
        <v>4.7500000000000016E-3</v>
      </c>
      <c r="H60" s="224">
        <f t="shared" si="6"/>
        <v>4.7500000000000016E-3</v>
      </c>
      <c r="I60" s="224">
        <f t="shared" si="6"/>
        <v>5.0000000000000018E-3</v>
      </c>
      <c r="J60" s="224">
        <f t="shared" si="6"/>
        <v>4.7500000000000016E-3</v>
      </c>
      <c r="K60" s="224">
        <f t="shared" si="6"/>
        <v>0</v>
      </c>
      <c r="L60" s="224">
        <f t="shared" si="6"/>
        <v>0</v>
      </c>
      <c r="M60" s="224">
        <f t="shared" si="6"/>
        <v>0</v>
      </c>
      <c r="N60" s="224">
        <f t="shared" si="6"/>
        <v>0</v>
      </c>
      <c r="O60" s="224">
        <f t="shared" si="6"/>
        <v>0</v>
      </c>
      <c r="P60" s="225">
        <f t="shared" si="4"/>
        <v>2.9000000000000008E-2</v>
      </c>
      <c r="Q60" s="226">
        <f>+P60</f>
        <v>2.9000000000000008E-2</v>
      </c>
      <c r="R60" s="222">
        <f t="shared" si="5"/>
        <v>0</v>
      </c>
      <c r="S60" s="216"/>
      <c r="T60" s="216"/>
      <c r="U60" s="216"/>
      <c r="V60" s="216"/>
      <c r="W60" s="216"/>
      <c r="X60" s="216"/>
      <c r="Y60" s="216"/>
      <c r="Z60" s="216"/>
      <c r="AA60" s="216"/>
      <c r="AB60" s="216"/>
      <c r="AC60" s="216"/>
      <c r="AD60" s="216"/>
    </row>
    <row r="61" spans="1:30" x14ac:dyDescent="0.25">
      <c r="A61" s="595" t="str">
        <f>A42</f>
        <v xml:space="preserve">11. Implementar, monitorear y hacer seguimiento al Plan Integral de Acciones Afirmativas </v>
      </c>
      <c r="B61" s="623">
        <f>B42</f>
        <v>0.05</v>
      </c>
      <c r="C61" s="218" t="s">
        <v>64</v>
      </c>
      <c r="D61" s="219">
        <f t="shared" ref="D61:O62" si="7">D42*$B$42/$P$42</f>
        <v>4.0012003601080318E-3</v>
      </c>
      <c r="E61" s="219">
        <f t="shared" si="7"/>
        <v>4.0012003601080318E-3</v>
      </c>
      <c r="F61" s="219">
        <f t="shared" si="7"/>
        <v>4.1662498749624882E-3</v>
      </c>
      <c r="G61" s="219">
        <f t="shared" si="7"/>
        <v>4.1662498749624882E-3</v>
      </c>
      <c r="H61" s="219">
        <f t="shared" si="7"/>
        <v>4.1662498749624882E-3</v>
      </c>
      <c r="I61" s="219">
        <f t="shared" si="7"/>
        <v>4.1662498749624882E-3</v>
      </c>
      <c r="J61" s="219">
        <f t="shared" si="7"/>
        <v>4.1662498749624882E-3</v>
      </c>
      <c r="K61" s="219">
        <f t="shared" si="7"/>
        <v>4.1662498749624882E-3</v>
      </c>
      <c r="L61" s="219">
        <f t="shared" si="7"/>
        <v>4.1662498749624882E-3</v>
      </c>
      <c r="M61" s="219">
        <f t="shared" si="7"/>
        <v>4.1662498749624882E-3</v>
      </c>
      <c r="N61" s="219">
        <f t="shared" si="7"/>
        <v>4.1662498749624882E-3</v>
      </c>
      <c r="O61" s="219">
        <f t="shared" si="7"/>
        <v>4.5013504051215356E-3</v>
      </c>
      <c r="P61" s="220">
        <f t="shared" si="4"/>
        <v>4.9999999999999989E-2</v>
      </c>
      <c r="Q61" s="221">
        <v>2.5000000000000001E-2</v>
      </c>
      <c r="R61" s="222">
        <f t="shared" si="5"/>
        <v>2.4999999999999988E-2</v>
      </c>
      <c r="S61" s="216"/>
      <c r="T61" s="216"/>
      <c r="U61" s="216"/>
      <c r="V61" s="216"/>
      <c r="W61" s="216"/>
      <c r="X61" s="216"/>
      <c r="Y61" s="216"/>
      <c r="Z61" s="216"/>
      <c r="AA61" s="216"/>
      <c r="AB61" s="216"/>
      <c r="AC61" s="216"/>
      <c r="AD61" s="216"/>
    </row>
    <row r="62" spans="1:30" x14ac:dyDescent="0.25">
      <c r="A62" s="622"/>
      <c r="B62" s="624"/>
      <c r="C62" s="223" t="s">
        <v>68</v>
      </c>
      <c r="D62" s="224">
        <f t="shared" si="7"/>
        <v>4.0012003601080318E-3</v>
      </c>
      <c r="E62" s="224">
        <f t="shared" si="7"/>
        <v>4.0012003601080318E-3</v>
      </c>
      <c r="F62" s="224">
        <f t="shared" si="7"/>
        <v>4.1662498749624882E-3</v>
      </c>
      <c r="G62" s="224">
        <f t="shared" si="7"/>
        <v>4.1662498749624882E-3</v>
      </c>
      <c r="H62" s="224">
        <f t="shared" si="7"/>
        <v>4.1662498749624882E-3</v>
      </c>
      <c r="I62" s="224">
        <f t="shared" si="7"/>
        <v>4.0012003601080318E-3</v>
      </c>
      <c r="J62" s="224">
        <f t="shared" si="7"/>
        <v>4.1662498749624882E-3</v>
      </c>
      <c r="K62" s="224">
        <f t="shared" si="7"/>
        <v>0</v>
      </c>
      <c r="L62" s="224">
        <f t="shared" si="7"/>
        <v>0</v>
      </c>
      <c r="M62" s="224">
        <f t="shared" si="7"/>
        <v>0</v>
      </c>
      <c r="N62" s="224">
        <f t="shared" si="7"/>
        <v>0</v>
      </c>
      <c r="O62" s="224">
        <f t="shared" si="7"/>
        <v>0</v>
      </c>
      <c r="P62" s="225">
        <f t="shared" si="4"/>
        <v>2.866860058017405E-2</v>
      </c>
      <c r="Q62" s="226">
        <f>+P62</f>
        <v>2.866860058017405E-2</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4.0012003601080318E-3</v>
      </c>
      <c r="E65" s="237">
        <f t="shared" ref="E65:O65" si="8">E58+E60+E62</f>
        <v>1.1501200360108035E-2</v>
      </c>
      <c r="F65" s="237">
        <f t="shared" si="8"/>
        <v>1.3666249874962491E-2</v>
      </c>
      <c r="G65" s="237">
        <f t="shared" si="8"/>
        <v>1.3666249874962491E-2</v>
      </c>
      <c r="H65" s="237">
        <f t="shared" si="8"/>
        <v>1.3666249874962491E-2</v>
      </c>
      <c r="I65" s="237">
        <f t="shared" si="8"/>
        <v>1.4001200360108036E-2</v>
      </c>
      <c r="J65" s="237">
        <f t="shared" si="8"/>
        <v>1.3666249874962491E-2</v>
      </c>
      <c r="K65" s="237">
        <f t="shared" si="8"/>
        <v>0</v>
      </c>
      <c r="L65" s="237">
        <f t="shared" si="8"/>
        <v>0</v>
      </c>
      <c r="M65" s="237">
        <f t="shared" si="8"/>
        <v>0</v>
      </c>
      <c r="N65" s="237">
        <f t="shared" si="8"/>
        <v>0</v>
      </c>
      <c r="O65" s="237">
        <f t="shared" si="8"/>
        <v>0</v>
      </c>
      <c r="P65" s="237">
        <f>P58+P60+P62</f>
        <v>8.4168600580174058E-2</v>
      </c>
      <c r="Q65" s="215"/>
      <c r="R65" s="222">
        <f t="shared" si="5"/>
        <v>8.4168600580174058E-2</v>
      </c>
      <c r="S65" s="216"/>
      <c r="T65" s="216"/>
      <c r="U65" s="216"/>
      <c r="V65" s="216"/>
      <c r="W65" s="216"/>
      <c r="X65" s="216"/>
      <c r="Y65" s="216"/>
      <c r="Z65" s="216"/>
      <c r="AA65" s="216"/>
      <c r="AB65" s="216"/>
      <c r="AC65" s="216"/>
      <c r="AD65" s="216"/>
    </row>
    <row r="66" spans="1:30" x14ac:dyDescent="0.25">
      <c r="A66" s="215"/>
      <c r="B66" s="238"/>
      <c r="C66" s="239" t="s">
        <v>68</v>
      </c>
      <c r="D66" s="240">
        <f>D65*$W$17/$B$34</f>
        <v>6.4019205761728509E-3</v>
      </c>
      <c r="E66" s="240">
        <f t="shared" ref="E66:O66" si="9">E65*$W$17/$B$34</f>
        <v>1.8401920576172855E-2</v>
      </c>
      <c r="F66" s="240">
        <f t="shared" si="9"/>
        <v>2.1865999799939986E-2</v>
      </c>
      <c r="G66" s="240">
        <f t="shared" si="9"/>
        <v>2.1865999799939986E-2</v>
      </c>
      <c r="H66" s="240">
        <f t="shared" si="9"/>
        <v>2.1865999799939986E-2</v>
      </c>
      <c r="I66" s="240">
        <f t="shared" si="9"/>
        <v>2.2401920576172858E-2</v>
      </c>
      <c r="J66" s="240">
        <f t="shared" si="9"/>
        <v>2.1865999799939986E-2</v>
      </c>
      <c r="K66" s="240">
        <f t="shared" si="9"/>
        <v>0</v>
      </c>
      <c r="L66" s="240">
        <f t="shared" si="9"/>
        <v>0</v>
      </c>
      <c r="M66" s="240">
        <f t="shared" si="9"/>
        <v>0</v>
      </c>
      <c r="N66" s="240">
        <f t="shared" si="9"/>
        <v>0</v>
      </c>
      <c r="O66" s="240">
        <f t="shared" si="9"/>
        <v>0</v>
      </c>
      <c r="P66" s="241">
        <f>SUM(D66:O66)</f>
        <v>0.13466976092827854</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4.0012003601080318E-3</v>
      </c>
      <c r="E68" s="237">
        <f t="shared" si="10"/>
        <v>1.4001200360108036E-2</v>
      </c>
      <c r="F68" s="237">
        <f t="shared" si="10"/>
        <v>1.3666249874962491E-2</v>
      </c>
      <c r="G68" s="237">
        <f t="shared" si="10"/>
        <v>1.3666249874962491E-2</v>
      </c>
      <c r="H68" s="237">
        <f t="shared" si="10"/>
        <v>1.3666249874962491E-2</v>
      </c>
      <c r="I68" s="237">
        <f t="shared" si="10"/>
        <v>1.3666249874962491E-2</v>
      </c>
      <c r="J68" s="237">
        <f t="shared" si="10"/>
        <v>1.3666249874962491E-2</v>
      </c>
      <c r="K68" s="237">
        <f t="shared" si="10"/>
        <v>1.3666249874962491E-2</v>
      </c>
      <c r="L68" s="237">
        <f t="shared" si="10"/>
        <v>1.3666249874962491E-2</v>
      </c>
      <c r="M68" s="237">
        <f t="shared" si="10"/>
        <v>1.3666249874962491E-2</v>
      </c>
      <c r="N68" s="237">
        <f t="shared" si="10"/>
        <v>1.3166249874962489E-2</v>
      </c>
      <c r="O68" s="237">
        <f t="shared" si="10"/>
        <v>9.5013504051215374E-3</v>
      </c>
      <c r="P68" s="237">
        <f t="shared" si="10"/>
        <v>0.15000000000000002</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6.4019205761728509E-3</v>
      </c>
      <c r="E69" s="240">
        <f t="shared" si="11"/>
        <v>2.2401920576172858E-2</v>
      </c>
      <c r="F69" s="240">
        <f t="shared" si="11"/>
        <v>2.1865999799939986E-2</v>
      </c>
      <c r="G69" s="240">
        <f t="shared" si="11"/>
        <v>2.1865999799939986E-2</v>
      </c>
      <c r="H69" s="240">
        <f t="shared" si="11"/>
        <v>2.1865999799939986E-2</v>
      </c>
      <c r="I69" s="240">
        <f t="shared" si="11"/>
        <v>2.1865999799939986E-2</v>
      </c>
      <c r="J69" s="240">
        <f t="shared" si="11"/>
        <v>2.1865999799939986E-2</v>
      </c>
      <c r="K69" s="240">
        <f t="shared" si="11"/>
        <v>2.1865999799939986E-2</v>
      </c>
      <c r="L69" s="240">
        <f t="shared" si="11"/>
        <v>2.1865999799939986E-2</v>
      </c>
      <c r="M69" s="240">
        <f t="shared" si="11"/>
        <v>2.1865999799939986E-2</v>
      </c>
      <c r="N69" s="240">
        <f t="shared" si="11"/>
        <v>2.1065999799939981E-2</v>
      </c>
      <c r="O69" s="240">
        <f t="shared" si="11"/>
        <v>1.5202160648194461E-2</v>
      </c>
      <c r="P69" s="241">
        <f>SUM(D69:O69)</f>
        <v>0.24000000000000002</v>
      </c>
      <c r="Q69" s="221"/>
      <c r="R69" s="221"/>
      <c r="S69" s="216"/>
      <c r="T69" s="216"/>
      <c r="U69" s="216"/>
      <c r="V69" s="216"/>
      <c r="W69" s="216"/>
      <c r="X69" s="216"/>
      <c r="Y69" s="216"/>
      <c r="Z69" s="216"/>
      <c r="AA69" s="216"/>
      <c r="AB69" s="216"/>
      <c r="AC69" s="216"/>
      <c r="AD69" s="216"/>
    </row>
  </sheetData>
  <mergeCells count="89">
    <mergeCell ref="A61:A62"/>
    <mergeCell ref="B61:B62"/>
    <mergeCell ref="C55:P55"/>
    <mergeCell ref="A55:A56"/>
    <mergeCell ref="B55:B56"/>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D115D090-2F30-4173-B37D-EDBD3EB64667}">
      <formula1>$C$21:$N$21</formula1>
    </dataValidation>
  </dataValidations>
  <pageMargins left="0.25" right="0.25" top="0.75" bottom="0.75" header="0.3" footer="0.3"/>
  <pageSetup scale="19" orientation="landscape"/>
  <customProperties>
    <customPr name="_pios_id" r:id="rId1"/>
  </customPropertie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B15-2246-F441-B001-E1E91C1D5E34}">
  <sheetPr>
    <tabColor rgb="FF00B050"/>
    <pageSetUpPr fitToPage="1"/>
  </sheetPr>
  <dimension ref="A1:AX62"/>
  <sheetViews>
    <sheetView showGridLines="0" topLeftCell="P17" zoomScale="65" zoomScaleNormal="65" workbookViewId="0">
      <selection activeCell="AD21" sqref="AD2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0.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0"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0"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0"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0"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0"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0"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0"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0"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row>
    <row r="12" spans="1:50"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row>
    <row r="13" spans="1:50"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row>
    <row r="16" spans="1:50"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row>
    <row r="17" spans="1:50" s="76" customFormat="1" ht="37.5" customHeight="1" thickBot="1" x14ac:dyDescent="0.3">
      <c r="A17" s="512" t="s">
        <v>23</v>
      </c>
      <c r="B17" s="513"/>
      <c r="C17" s="514" t="s">
        <v>24</v>
      </c>
      <c r="D17" s="515"/>
      <c r="E17" s="515"/>
      <c r="F17" s="515"/>
      <c r="G17" s="515"/>
      <c r="H17" s="515"/>
      <c r="I17" s="515"/>
      <c r="J17" s="515"/>
      <c r="K17" s="515"/>
      <c r="L17" s="515"/>
      <c r="M17" s="515"/>
      <c r="N17" s="515"/>
      <c r="O17" s="515"/>
      <c r="P17" s="515"/>
      <c r="Q17" s="516"/>
      <c r="R17" s="501" t="s">
        <v>25</v>
      </c>
      <c r="S17" s="502"/>
      <c r="T17" s="502"/>
      <c r="U17" s="502"/>
      <c r="V17" s="503"/>
      <c r="W17" s="517">
        <v>1</v>
      </c>
      <c r="X17" s="518"/>
      <c r="Y17" s="502" t="s">
        <v>26</v>
      </c>
      <c r="Z17" s="502"/>
      <c r="AA17" s="502"/>
      <c r="AB17" s="503"/>
      <c r="AC17" s="519">
        <v>0.1</v>
      </c>
      <c r="AD17" s="520"/>
      <c r="AX17" s="353"/>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row>
    <row r="20" spans="1:50"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row>
    <row r="21" spans="1:50"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row>
    <row r="22" spans="1:50" ht="32.1" customHeight="1" x14ac:dyDescent="0.25">
      <c r="A22" s="452" t="s">
        <v>43</v>
      </c>
      <c r="B22" s="454"/>
      <c r="C22" s="322"/>
      <c r="D22" s="323"/>
      <c r="E22" s="323"/>
      <c r="F22" s="323"/>
      <c r="G22" s="323"/>
      <c r="H22" s="323"/>
      <c r="I22" s="323"/>
      <c r="J22" s="323"/>
      <c r="K22" s="323"/>
      <c r="L22" s="323"/>
      <c r="M22" s="323"/>
      <c r="N22" s="323"/>
      <c r="O22" s="323">
        <f>SUM(C22:N22)</f>
        <v>0</v>
      </c>
      <c r="P22" s="380"/>
      <c r="Q22" s="322">
        <v>367342350</v>
      </c>
      <c r="R22" s="323"/>
      <c r="S22" s="323"/>
      <c r="T22" s="323">
        <v>21559511</v>
      </c>
      <c r="U22" s="323"/>
      <c r="V22" s="323">
        <f>2139478+34249272-10290230</f>
        <v>26098520</v>
      </c>
      <c r="W22" s="323"/>
      <c r="X22" s="323"/>
      <c r="Y22" s="323"/>
      <c r="Z22" s="323"/>
      <c r="AA22" s="323"/>
      <c r="AB22" s="323"/>
      <c r="AC22" s="376">
        <f>SUM(Q22:AB22)</f>
        <v>415000381</v>
      </c>
      <c r="AD22" s="183"/>
      <c r="AE22" s="3"/>
      <c r="AF22" s="625" t="s">
        <v>132</v>
      </c>
      <c r="AG22" s="625"/>
      <c r="AH22" s="625"/>
      <c r="AI22" s="625"/>
      <c r="AJ22" s="625"/>
      <c r="AK22" s="625"/>
      <c r="AL22" s="625"/>
      <c r="AM22" s="625"/>
    </row>
    <row r="23" spans="1:50" ht="32.1" customHeight="1" x14ac:dyDescent="0.25">
      <c r="A23" s="453" t="s">
        <v>44</v>
      </c>
      <c r="B23" s="455"/>
      <c r="C23" s="174"/>
      <c r="D23" s="173"/>
      <c r="E23" s="173"/>
      <c r="F23" s="173"/>
      <c r="G23" s="173"/>
      <c r="H23" s="173"/>
      <c r="I23" s="173"/>
      <c r="J23" s="173"/>
      <c r="K23" s="173"/>
      <c r="L23" s="173"/>
      <c r="M23" s="173"/>
      <c r="N23" s="173"/>
      <c r="O23" s="173">
        <f>SUM(C23:N23)</f>
        <v>0</v>
      </c>
      <c r="P23" s="381"/>
      <c r="Q23" s="174">
        <v>131719000</v>
      </c>
      <c r="R23" s="173">
        <v>160636483</v>
      </c>
      <c r="S23" s="173">
        <v>24103734</v>
      </c>
      <c r="T23" s="173">
        <v>-7934917</v>
      </c>
      <c r="U23" s="173">
        <v>50047197</v>
      </c>
      <c r="V23" s="173">
        <v>11200000</v>
      </c>
      <c r="W23" s="173">
        <v>0</v>
      </c>
      <c r="X23" s="173"/>
      <c r="Y23" s="173"/>
      <c r="Z23" s="173"/>
      <c r="AA23" s="173"/>
      <c r="AB23" s="173"/>
      <c r="AC23" s="377">
        <f>SUM(Q23:AB23)</f>
        <v>369771497</v>
      </c>
      <c r="AD23" s="181">
        <f>IFERROR(AC23/(SUMIF(Q23:AB23,"&gt;0",Q22:AB22))," ")</f>
        <v>0.93984007558747007</v>
      </c>
      <c r="AE23" s="3"/>
      <c r="AF23" s="625"/>
      <c r="AG23" s="625"/>
      <c r="AH23" s="625"/>
      <c r="AI23" s="625"/>
      <c r="AJ23" s="625"/>
      <c r="AK23" s="625"/>
      <c r="AL23" s="625"/>
      <c r="AM23" s="625"/>
    </row>
    <row r="24" spans="1:50" ht="32.1" customHeight="1" x14ac:dyDescent="0.25">
      <c r="A24" s="453" t="s">
        <v>45</v>
      </c>
      <c r="B24" s="455"/>
      <c r="C24" s="174">
        <v>19304536</v>
      </c>
      <c r="D24" s="173">
        <f>1166667+432600+475860+4505046</f>
        <v>6580173</v>
      </c>
      <c r="E24" s="173"/>
      <c r="F24" s="173"/>
      <c r="G24" s="173"/>
      <c r="H24" s="173"/>
      <c r="I24" s="173"/>
      <c r="J24" s="173"/>
      <c r="K24" s="173"/>
      <c r="L24" s="173"/>
      <c r="M24" s="173"/>
      <c r="N24" s="173"/>
      <c r="O24" s="206">
        <f>SUM(C24:N24)</f>
        <v>25884709</v>
      </c>
      <c r="P24" s="177"/>
      <c r="Q24" s="174"/>
      <c r="R24" s="173">
        <v>15581050</v>
      </c>
      <c r="S24" s="173">
        <v>31978300</v>
      </c>
      <c r="T24" s="173">
        <v>31978300</v>
      </c>
      <c r="U24" s="173">
        <f>31978300+21559511</f>
        <v>53537811</v>
      </c>
      <c r="V24" s="173">
        <f>31978300-10290230</f>
        <v>21688070</v>
      </c>
      <c r="W24" s="173">
        <f>31978300+2139478+11416424</f>
        <v>45534202</v>
      </c>
      <c r="X24" s="173">
        <v>31978300</v>
      </c>
      <c r="Y24" s="173">
        <f>31978300+11416424</f>
        <v>43394724</v>
      </c>
      <c r="Z24" s="173">
        <v>31978300</v>
      </c>
      <c r="AA24" s="173">
        <f>31978300+11416424</f>
        <v>43394724</v>
      </c>
      <c r="AB24" s="173">
        <v>63956600</v>
      </c>
      <c r="AC24" s="206">
        <f>SUM(Q24:AB24)</f>
        <v>415000381</v>
      </c>
      <c r="AD24" s="181"/>
      <c r="AE24" s="3"/>
      <c r="AF24" s="625"/>
      <c r="AG24" s="625"/>
      <c r="AH24" s="625"/>
      <c r="AI24" s="625"/>
      <c r="AJ24" s="625"/>
      <c r="AK24" s="625"/>
      <c r="AL24" s="625"/>
      <c r="AM24" s="625"/>
    </row>
    <row r="25" spans="1:50" ht="32.1" customHeight="1" thickBot="1" x14ac:dyDescent="0.3">
      <c r="A25" s="481" t="s">
        <v>46</v>
      </c>
      <c r="B25" s="487"/>
      <c r="C25" s="324">
        <v>475860</v>
      </c>
      <c r="D25" s="175">
        <v>18698718</v>
      </c>
      <c r="E25" s="175" t="s">
        <v>47</v>
      </c>
      <c r="F25" s="175">
        <v>5151217</v>
      </c>
      <c r="G25" s="175">
        <v>0</v>
      </c>
      <c r="H25" s="175">
        <v>382120</v>
      </c>
      <c r="I25" s="175">
        <v>0</v>
      </c>
      <c r="J25" s="175"/>
      <c r="K25" s="175"/>
      <c r="L25" s="175"/>
      <c r="M25" s="175"/>
      <c r="N25" s="175"/>
      <c r="O25" s="175">
        <f>SUM(C25:N25)</f>
        <v>24707915</v>
      </c>
      <c r="P25" s="180">
        <f>+O25/O24</f>
        <v>0.95453709755825344</v>
      </c>
      <c r="Q25" s="324" t="s">
        <v>48</v>
      </c>
      <c r="R25" s="175">
        <v>1210733</v>
      </c>
      <c r="S25" s="175">
        <v>15704100</v>
      </c>
      <c r="T25" s="175">
        <v>25939467</v>
      </c>
      <c r="U25" s="175">
        <v>29819500</v>
      </c>
      <c r="V25" s="175">
        <v>29772367</v>
      </c>
      <c r="W25" s="175">
        <v>58576730</v>
      </c>
      <c r="X25" s="175"/>
      <c r="Y25" s="175"/>
      <c r="Z25" s="175"/>
      <c r="AA25" s="175"/>
      <c r="AB25" s="175"/>
      <c r="AC25" s="175">
        <f>SUM(Q25:AB25)</f>
        <v>161022897</v>
      </c>
      <c r="AD25" s="182">
        <f>IFERROR(AC25/(SUMIF(Q25:AB25,"&gt;0",Q24:AB24))," ")</f>
        <v>0.80391772082612634</v>
      </c>
      <c r="AE25" s="3"/>
      <c r="AF25" s="625"/>
      <c r="AG25" s="625"/>
      <c r="AH25" s="625"/>
      <c r="AI25" s="625"/>
      <c r="AJ25" s="625"/>
      <c r="AK25" s="625"/>
      <c r="AL25" s="625"/>
      <c r="AM25" s="625"/>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0"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0"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0"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0" ht="86.25" customHeight="1" thickBot="1" x14ac:dyDescent="0.3">
      <c r="A30" s="85" t="s">
        <v>54</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0" ht="45" customHeight="1" thickBot="1" x14ac:dyDescent="0.3">
      <c r="A31" s="474" t="s">
        <v>55</v>
      </c>
      <c r="B31" s="475"/>
      <c r="C31" s="475"/>
      <c r="D31" s="475"/>
      <c r="E31" s="475"/>
      <c r="F31" s="475"/>
      <c r="G31" s="475"/>
      <c r="H31" s="475"/>
      <c r="I31" s="475"/>
      <c r="J31" s="475"/>
      <c r="K31" s="475"/>
      <c r="L31" s="475"/>
      <c r="M31" s="475"/>
      <c r="N31" s="475"/>
      <c r="O31" s="475"/>
      <c r="P31" s="475"/>
      <c r="Q31" s="476"/>
      <c r="R31" s="476"/>
      <c r="S31" s="476"/>
      <c r="T31" s="476"/>
      <c r="U31" s="476"/>
      <c r="V31" s="476"/>
      <c r="W31" s="476"/>
      <c r="X31" s="476"/>
      <c r="Y31" s="476"/>
      <c r="Z31" s="476"/>
      <c r="AA31" s="476"/>
      <c r="AB31" s="476"/>
      <c r="AC31" s="476"/>
      <c r="AD31" s="477"/>
    </row>
    <row r="32" spans="1:50" ht="20.25" customHeight="1" x14ac:dyDescent="0.25">
      <c r="A32" s="452" t="s">
        <v>56</v>
      </c>
      <c r="B32" s="456" t="s">
        <v>57</v>
      </c>
      <c r="C32" s="456" t="s">
        <v>51</v>
      </c>
      <c r="D32" s="480" t="s">
        <v>58</v>
      </c>
      <c r="E32" s="456"/>
      <c r="F32" s="456"/>
      <c r="G32" s="456"/>
      <c r="H32" s="456"/>
      <c r="I32" s="456"/>
      <c r="J32" s="456"/>
      <c r="K32" s="456"/>
      <c r="L32" s="456"/>
      <c r="M32" s="456"/>
      <c r="N32" s="456"/>
      <c r="O32" s="456"/>
      <c r="P32" s="457"/>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thickBot="1" x14ac:dyDescent="0.3">
      <c r="A33" s="712"/>
      <c r="B33" s="717"/>
      <c r="C33" s="746"/>
      <c r="D33" s="315" t="s">
        <v>30</v>
      </c>
      <c r="E33" s="318" t="s">
        <v>31</v>
      </c>
      <c r="F33" s="318" t="s">
        <v>8</v>
      </c>
      <c r="G33" s="318" t="s">
        <v>32</v>
      </c>
      <c r="H33" s="318" t="s">
        <v>33</v>
      </c>
      <c r="I33" s="318" t="s">
        <v>34</v>
      </c>
      <c r="J33" s="318" t="s">
        <v>35</v>
      </c>
      <c r="K33" s="318" t="s">
        <v>36</v>
      </c>
      <c r="L33" s="318" t="s">
        <v>37</v>
      </c>
      <c r="M33" s="318" t="s">
        <v>38</v>
      </c>
      <c r="N33" s="318" t="s">
        <v>39</v>
      </c>
      <c r="O33" s="318" t="s">
        <v>40</v>
      </c>
      <c r="P33" s="253"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102" customHeight="1" x14ac:dyDescent="0.25">
      <c r="A34" s="753" t="s">
        <v>54</v>
      </c>
      <c r="B34" s="755">
        <v>0.1</v>
      </c>
      <c r="C34" s="338" t="s">
        <v>64</v>
      </c>
      <c r="D34" s="346">
        <v>1</v>
      </c>
      <c r="E34" s="347">
        <v>1</v>
      </c>
      <c r="F34" s="347">
        <v>1</v>
      </c>
      <c r="G34" s="347">
        <v>1</v>
      </c>
      <c r="H34" s="347">
        <v>1</v>
      </c>
      <c r="I34" s="347">
        <v>1</v>
      </c>
      <c r="J34" s="347">
        <v>1</v>
      </c>
      <c r="K34" s="347">
        <v>1</v>
      </c>
      <c r="L34" s="347">
        <v>1</v>
      </c>
      <c r="M34" s="347">
        <v>1</v>
      </c>
      <c r="N34" s="347">
        <v>1</v>
      </c>
      <c r="O34" s="348">
        <v>1</v>
      </c>
      <c r="P34" s="349">
        <v>1</v>
      </c>
      <c r="Q34" s="757" t="s">
        <v>154</v>
      </c>
      <c r="R34" s="758"/>
      <c r="S34" s="759"/>
      <c r="T34" s="757" t="s">
        <v>155</v>
      </c>
      <c r="U34" s="758"/>
      <c r="V34" s="759"/>
      <c r="W34" s="760" t="s">
        <v>156</v>
      </c>
      <c r="X34" s="761"/>
      <c r="Y34" s="761"/>
      <c r="Z34" s="761"/>
      <c r="AA34" s="760" t="s">
        <v>576</v>
      </c>
      <c r="AB34" s="761"/>
      <c r="AC34" s="761"/>
      <c r="AD34" s="761"/>
      <c r="AG34" s="87"/>
      <c r="AH34" s="87"/>
      <c r="AI34" s="87"/>
      <c r="AJ34" s="87"/>
      <c r="AK34" s="87"/>
      <c r="AL34" s="87"/>
      <c r="AM34" s="87"/>
      <c r="AN34" s="87"/>
      <c r="AO34" s="87"/>
    </row>
    <row r="35" spans="1:41" ht="102" customHeight="1" thickBot="1" x14ac:dyDescent="0.3">
      <c r="A35" s="754"/>
      <c r="B35" s="756"/>
      <c r="C35" s="339" t="s">
        <v>68</v>
      </c>
      <c r="D35" s="340">
        <v>1</v>
      </c>
      <c r="E35" s="350">
        <v>1</v>
      </c>
      <c r="F35" s="350">
        <v>1</v>
      </c>
      <c r="G35" s="350">
        <v>1</v>
      </c>
      <c r="H35" s="350">
        <v>1</v>
      </c>
      <c r="I35" s="350">
        <v>1</v>
      </c>
      <c r="J35" s="350">
        <f t="shared" ref="J35:O35" si="0">J56</f>
        <v>9.5000000000000029E-2</v>
      </c>
      <c r="K35" s="350">
        <f t="shared" si="0"/>
        <v>0</v>
      </c>
      <c r="L35" s="350">
        <f t="shared" si="0"/>
        <v>0</v>
      </c>
      <c r="M35" s="350">
        <f t="shared" si="0"/>
        <v>0</v>
      </c>
      <c r="N35" s="350">
        <f t="shared" si="0"/>
        <v>0</v>
      </c>
      <c r="O35" s="351">
        <f t="shared" si="0"/>
        <v>0</v>
      </c>
      <c r="P35" s="352">
        <v>1</v>
      </c>
      <c r="Q35" s="758"/>
      <c r="R35" s="758"/>
      <c r="S35" s="759"/>
      <c r="T35" s="758"/>
      <c r="U35" s="758"/>
      <c r="V35" s="759"/>
      <c r="W35" s="762"/>
      <c r="X35" s="762"/>
      <c r="Y35" s="762"/>
      <c r="Z35" s="762"/>
      <c r="AA35" s="762"/>
      <c r="AB35" s="762"/>
      <c r="AC35" s="762"/>
      <c r="AD35" s="762"/>
      <c r="AE35" s="49"/>
      <c r="AG35" s="87"/>
      <c r="AH35" s="87"/>
      <c r="AI35" s="87"/>
      <c r="AJ35" s="87"/>
      <c r="AK35" s="87"/>
      <c r="AL35" s="87"/>
      <c r="AM35" s="87"/>
      <c r="AN35" s="87"/>
      <c r="AO35" s="87"/>
    </row>
    <row r="36" spans="1:41" ht="26.1" customHeight="1" x14ac:dyDescent="0.25">
      <c r="A36" s="452" t="s">
        <v>69</v>
      </c>
      <c r="B36" s="456" t="s">
        <v>70</v>
      </c>
      <c r="C36" s="763"/>
      <c r="D36" s="763"/>
      <c r="E36" s="763"/>
      <c r="F36" s="763"/>
      <c r="G36" s="763"/>
      <c r="H36" s="763"/>
      <c r="I36" s="763"/>
      <c r="J36" s="763"/>
      <c r="K36" s="763"/>
      <c r="L36" s="763"/>
      <c r="M36" s="763"/>
      <c r="N36" s="763"/>
      <c r="O36" s="763"/>
      <c r="P36" s="763"/>
      <c r="Q36" s="456" t="s">
        <v>72</v>
      </c>
      <c r="R36" s="456"/>
      <c r="S36" s="456"/>
      <c r="T36" s="456"/>
      <c r="U36" s="456"/>
      <c r="V36" s="456"/>
      <c r="W36" s="456"/>
      <c r="X36" s="456"/>
      <c r="Y36" s="456"/>
      <c r="Z36" s="456"/>
      <c r="AA36" s="456"/>
      <c r="AB36" s="456"/>
      <c r="AC36" s="456"/>
      <c r="AD36" s="457"/>
      <c r="AG36" s="87"/>
      <c r="AH36" s="87"/>
      <c r="AI36" s="87"/>
      <c r="AJ36" s="87"/>
      <c r="AK36" s="87"/>
      <c r="AL36" s="87"/>
      <c r="AM36" s="87"/>
      <c r="AN36" s="87"/>
      <c r="AO36" s="87"/>
    </row>
    <row r="37" spans="1:41" ht="26.1" customHeight="1" thickBot="1" x14ac:dyDescent="0.3">
      <c r="A37" s="481"/>
      <c r="B37" s="482"/>
      <c r="C37" s="304" t="s">
        <v>73</v>
      </c>
      <c r="D37" s="304" t="s">
        <v>74</v>
      </c>
      <c r="E37" s="304" t="s">
        <v>75</v>
      </c>
      <c r="F37" s="304" t="s">
        <v>76</v>
      </c>
      <c r="G37" s="304" t="s">
        <v>77</v>
      </c>
      <c r="H37" s="304" t="s">
        <v>78</v>
      </c>
      <c r="I37" s="304" t="s">
        <v>79</v>
      </c>
      <c r="J37" s="304" t="s">
        <v>80</v>
      </c>
      <c r="K37" s="304" t="s">
        <v>81</v>
      </c>
      <c r="L37" s="304" t="s">
        <v>82</v>
      </c>
      <c r="M37" s="304" t="s">
        <v>83</v>
      </c>
      <c r="N37" s="304" t="s">
        <v>84</v>
      </c>
      <c r="O37" s="304" t="s">
        <v>85</v>
      </c>
      <c r="P37" s="304" t="s">
        <v>86</v>
      </c>
      <c r="Q37" s="482" t="s">
        <v>87</v>
      </c>
      <c r="R37" s="482"/>
      <c r="S37" s="482"/>
      <c r="T37" s="482"/>
      <c r="U37" s="482"/>
      <c r="V37" s="482"/>
      <c r="W37" s="482"/>
      <c r="X37" s="482"/>
      <c r="Y37" s="482"/>
      <c r="Z37" s="482"/>
      <c r="AA37" s="482"/>
      <c r="AB37" s="482"/>
      <c r="AC37" s="482"/>
      <c r="AD37" s="764"/>
      <c r="AG37" s="94"/>
      <c r="AH37" s="94"/>
      <c r="AI37" s="94"/>
      <c r="AJ37" s="94"/>
      <c r="AK37" s="94"/>
      <c r="AL37" s="94"/>
      <c r="AM37" s="94"/>
      <c r="AN37" s="94"/>
      <c r="AO37" s="94"/>
    </row>
    <row r="38" spans="1:41" ht="44.25" customHeight="1" x14ac:dyDescent="0.25">
      <c r="A38" s="702" t="s">
        <v>88</v>
      </c>
      <c r="B38" s="747">
        <v>0.1</v>
      </c>
      <c r="C38" s="338" t="s">
        <v>64</v>
      </c>
      <c r="D38" s="341">
        <v>0</v>
      </c>
      <c r="E38" s="365">
        <v>0.1</v>
      </c>
      <c r="F38" s="366">
        <v>9.5000000000000001E-2</v>
      </c>
      <c r="G38" s="366">
        <v>9.5000000000000001E-2</v>
      </c>
      <c r="H38" s="366">
        <v>9.5000000000000001E-2</v>
      </c>
      <c r="I38" s="366">
        <v>9.5000000000000001E-2</v>
      </c>
      <c r="J38" s="342">
        <v>9.5000000000000001E-2</v>
      </c>
      <c r="K38" s="342">
        <v>9.5000000000000001E-2</v>
      </c>
      <c r="L38" s="342">
        <v>9.5000000000000001E-2</v>
      </c>
      <c r="M38" s="342">
        <v>9.5000000000000001E-2</v>
      </c>
      <c r="N38" s="342">
        <v>0.09</v>
      </c>
      <c r="O38" s="342">
        <v>0.05</v>
      </c>
      <c r="P38" s="343">
        <v>0.99999999999999989</v>
      </c>
      <c r="Q38" s="748" t="s">
        <v>157</v>
      </c>
      <c r="R38" s="749"/>
      <c r="S38" s="749"/>
      <c r="T38" s="749"/>
      <c r="U38" s="749"/>
      <c r="V38" s="749"/>
      <c r="W38" s="749"/>
      <c r="X38" s="749"/>
      <c r="Y38" s="749"/>
      <c r="Z38" s="749"/>
      <c r="AA38" s="749"/>
      <c r="AB38" s="749"/>
      <c r="AC38" s="749"/>
      <c r="AD38" s="750"/>
      <c r="AE38" s="97"/>
      <c r="AG38" s="98"/>
      <c r="AH38" s="98"/>
      <c r="AI38" s="98"/>
      <c r="AJ38" s="98"/>
      <c r="AK38" s="98"/>
      <c r="AL38" s="98"/>
      <c r="AM38" s="98"/>
      <c r="AN38" s="98"/>
      <c r="AO38" s="98"/>
    </row>
    <row r="39" spans="1:41" ht="44.25" customHeight="1" x14ac:dyDescent="0.25">
      <c r="A39" s="439"/>
      <c r="B39" s="441"/>
      <c r="C39" s="303" t="s">
        <v>68</v>
      </c>
      <c r="D39" s="344"/>
      <c r="E39" s="367">
        <v>0.1</v>
      </c>
      <c r="F39" s="367">
        <v>9.5000000000000001E-2</v>
      </c>
      <c r="G39" s="367">
        <v>9.5000000000000001E-2</v>
      </c>
      <c r="H39" s="367">
        <v>9.5000000000000001E-2</v>
      </c>
      <c r="I39" s="367">
        <v>9.5000000000000001E-2</v>
      </c>
      <c r="J39" s="367">
        <v>9.5000000000000001E-2</v>
      </c>
      <c r="K39" s="345"/>
      <c r="L39" s="345"/>
      <c r="M39" s="345"/>
      <c r="N39" s="345"/>
      <c r="O39" s="345"/>
      <c r="P39" s="251">
        <f t="shared" ref="P39" si="1">SUM(D39:O39)</f>
        <v>0.57499999999999996</v>
      </c>
      <c r="Q39" s="751"/>
      <c r="R39" s="751"/>
      <c r="S39" s="751"/>
      <c r="T39" s="751"/>
      <c r="U39" s="751"/>
      <c r="V39" s="751"/>
      <c r="W39" s="751"/>
      <c r="X39" s="751"/>
      <c r="Y39" s="751"/>
      <c r="Z39" s="751"/>
      <c r="AA39" s="751"/>
      <c r="AB39" s="751"/>
      <c r="AC39" s="751"/>
      <c r="AD39" s="752"/>
      <c r="AE39" s="97"/>
    </row>
    <row r="40" spans="1:41" x14ac:dyDescent="0.25">
      <c r="A40" s="50" t="s">
        <v>90</v>
      </c>
    </row>
    <row r="45" spans="1:41" x14ac:dyDescent="0.25">
      <c r="A45" s="588" t="s">
        <v>91</v>
      </c>
      <c r="B45" s="590" t="s">
        <v>70</v>
      </c>
      <c r="C45" s="592" t="s">
        <v>71</v>
      </c>
      <c r="D45" s="593"/>
      <c r="E45" s="593"/>
      <c r="F45" s="593"/>
      <c r="G45" s="593"/>
      <c r="H45" s="593"/>
      <c r="I45" s="593"/>
      <c r="J45" s="593"/>
      <c r="K45" s="593"/>
      <c r="L45" s="593"/>
      <c r="M45" s="593"/>
      <c r="N45" s="593"/>
      <c r="O45" s="593"/>
      <c r="P45" s="594"/>
      <c r="Q45" s="215"/>
      <c r="R45" s="215"/>
      <c r="S45" s="216"/>
      <c r="T45" s="216"/>
      <c r="U45" s="216"/>
      <c r="V45" s="216"/>
      <c r="W45" s="216"/>
      <c r="X45" s="216"/>
      <c r="Y45" s="216"/>
      <c r="Z45" s="216"/>
      <c r="AA45" s="216"/>
      <c r="AB45" s="216"/>
      <c r="AC45" s="216"/>
      <c r="AD45" s="216"/>
    </row>
    <row r="46" spans="1:41" ht="21" x14ac:dyDescent="0.25">
      <c r="A46" s="589"/>
      <c r="B46" s="591"/>
      <c r="C46" s="217" t="s">
        <v>73</v>
      </c>
      <c r="D46" s="217" t="s">
        <v>74</v>
      </c>
      <c r="E46" s="217" t="s">
        <v>75</v>
      </c>
      <c r="F46" s="217" t="s">
        <v>76</v>
      </c>
      <c r="G46" s="217" t="s">
        <v>77</v>
      </c>
      <c r="H46" s="217" t="s">
        <v>78</v>
      </c>
      <c r="I46" s="217" t="s">
        <v>79</v>
      </c>
      <c r="J46" s="217" t="s">
        <v>80</v>
      </c>
      <c r="K46" s="217" t="s">
        <v>81</v>
      </c>
      <c r="L46" s="217" t="s">
        <v>82</v>
      </c>
      <c r="M46" s="217" t="s">
        <v>83</v>
      </c>
      <c r="N46" s="217" t="s">
        <v>84</v>
      </c>
      <c r="O46" s="217" t="s">
        <v>85</v>
      </c>
      <c r="P46" s="217" t="s">
        <v>86</v>
      </c>
      <c r="Q46" s="215"/>
      <c r="R46" s="215"/>
      <c r="S46" s="216"/>
      <c r="T46" s="216"/>
      <c r="U46" s="216"/>
      <c r="V46" s="216"/>
      <c r="W46" s="216"/>
      <c r="X46" s="216"/>
      <c r="Y46" s="216"/>
      <c r="Z46" s="216"/>
      <c r="AA46" s="216"/>
      <c r="AB46" s="216"/>
      <c r="AC46" s="216"/>
      <c r="AD46" s="216"/>
    </row>
    <row r="47" spans="1:41" x14ac:dyDescent="0.25">
      <c r="A47" s="595" t="str">
        <f>A38</f>
        <v xml:space="preserve">12. Diseñar, publicar y socializar una caja de herramientas de la Estrategia Pedagógica y de Cambio Cultural.  </v>
      </c>
      <c r="B47" s="597">
        <f>B38</f>
        <v>0.1</v>
      </c>
      <c r="C47" s="218" t="s">
        <v>64</v>
      </c>
      <c r="D47" s="219">
        <f t="shared" ref="D47:O47" si="2">D38*$B$38/$P$38</f>
        <v>0</v>
      </c>
      <c r="E47" s="219">
        <f t="shared" si="2"/>
        <v>1.0000000000000004E-2</v>
      </c>
      <c r="F47" s="219">
        <f t="shared" si="2"/>
        <v>9.5000000000000032E-3</v>
      </c>
      <c r="G47" s="219">
        <f t="shared" si="2"/>
        <v>9.5000000000000032E-3</v>
      </c>
      <c r="H47" s="219">
        <f t="shared" si="2"/>
        <v>9.5000000000000032E-3</v>
      </c>
      <c r="I47" s="219">
        <f t="shared" si="2"/>
        <v>9.5000000000000032E-3</v>
      </c>
      <c r="J47" s="219">
        <f t="shared" si="2"/>
        <v>9.5000000000000032E-3</v>
      </c>
      <c r="K47" s="219">
        <f t="shared" si="2"/>
        <v>9.5000000000000032E-3</v>
      </c>
      <c r="L47" s="219">
        <f t="shared" si="2"/>
        <v>9.5000000000000032E-3</v>
      </c>
      <c r="M47" s="219">
        <f t="shared" si="2"/>
        <v>9.5000000000000032E-3</v>
      </c>
      <c r="N47" s="219">
        <f t="shared" si="2"/>
        <v>9.0000000000000011E-3</v>
      </c>
      <c r="O47" s="219">
        <f t="shared" si="2"/>
        <v>5.0000000000000018E-3</v>
      </c>
      <c r="P47" s="220">
        <f>SUM(D47:O47)</f>
        <v>0.10000000000000003</v>
      </c>
      <c r="Q47" s="221">
        <v>0.05</v>
      </c>
      <c r="R47" s="222">
        <f>+P47-Q47</f>
        <v>5.0000000000000031E-2</v>
      </c>
      <c r="S47" s="216"/>
      <c r="T47" s="216"/>
      <c r="U47" s="216"/>
      <c r="V47" s="216"/>
      <c r="W47" s="216"/>
      <c r="X47" s="216"/>
      <c r="Y47" s="216"/>
      <c r="Z47" s="216"/>
      <c r="AA47" s="216"/>
      <c r="AB47" s="216"/>
      <c r="AC47" s="216"/>
      <c r="AD47" s="216"/>
    </row>
    <row r="48" spans="1:41" x14ac:dyDescent="0.25">
      <c r="A48" s="596"/>
      <c r="B48" s="598"/>
      <c r="C48" s="227" t="s">
        <v>68</v>
      </c>
      <c r="D48" s="224">
        <f t="shared" ref="D48:O48" si="3">D39*$B$38/$P$38</f>
        <v>0</v>
      </c>
      <c r="E48" s="224">
        <f t="shared" si="3"/>
        <v>1.0000000000000004E-2</v>
      </c>
      <c r="F48" s="224">
        <f t="shared" si="3"/>
        <v>9.5000000000000032E-3</v>
      </c>
      <c r="G48" s="224">
        <f t="shared" si="3"/>
        <v>9.5000000000000032E-3</v>
      </c>
      <c r="H48" s="224">
        <f t="shared" si="3"/>
        <v>9.5000000000000032E-3</v>
      </c>
      <c r="I48" s="224">
        <f t="shared" si="3"/>
        <v>9.5000000000000032E-3</v>
      </c>
      <c r="J48" s="224">
        <f t="shared" si="3"/>
        <v>9.5000000000000032E-3</v>
      </c>
      <c r="K48" s="224">
        <f t="shared" si="3"/>
        <v>0</v>
      </c>
      <c r="L48" s="224">
        <f t="shared" si="3"/>
        <v>0</v>
      </c>
      <c r="M48" s="224">
        <f t="shared" si="3"/>
        <v>0</v>
      </c>
      <c r="N48" s="224">
        <f t="shared" si="3"/>
        <v>0</v>
      </c>
      <c r="O48" s="224">
        <f t="shared" si="3"/>
        <v>0</v>
      </c>
      <c r="P48" s="225">
        <f>SUM(D48:O48)</f>
        <v>5.7500000000000016E-2</v>
      </c>
      <c r="Q48" s="226">
        <f>+P48</f>
        <v>5.7500000000000016E-2</v>
      </c>
      <c r="R48" s="222">
        <f>+P48-Q48</f>
        <v>0</v>
      </c>
      <c r="S48" s="216"/>
      <c r="T48" s="216"/>
      <c r="U48" s="216"/>
      <c r="V48" s="216"/>
      <c r="W48" s="216"/>
      <c r="X48" s="216"/>
      <c r="Y48" s="216"/>
      <c r="Z48" s="216"/>
      <c r="AA48" s="216"/>
      <c r="AB48" s="216"/>
      <c r="AC48" s="216"/>
      <c r="AD48" s="216"/>
    </row>
    <row r="49" spans="1:30" x14ac:dyDescent="0.25">
      <c r="A49" s="584"/>
      <c r="B49" s="586"/>
      <c r="C49" s="230"/>
      <c r="D49" s="219"/>
      <c r="E49" s="219"/>
      <c r="F49" s="219"/>
      <c r="G49" s="219"/>
      <c r="H49" s="219"/>
      <c r="I49" s="219"/>
      <c r="J49" s="219"/>
      <c r="K49" s="219"/>
      <c r="L49" s="219"/>
      <c r="M49" s="219"/>
      <c r="N49" s="219"/>
      <c r="O49" s="219"/>
      <c r="P49" s="231"/>
      <c r="Q49" s="221"/>
      <c r="R49" s="222"/>
      <c r="S49" s="216"/>
      <c r="T49" s="216"/>
      <c r="U49" s="216"/>
      <c r="V49" s="216"/>
      <c r="W49" s="216"/>
      <c r="X49" s="216"/>
      <c r="Y49" s="216"/>
      <c r="Z49" s="216"/>
      <c r="AA49" s="216"/>
      <c r="AB49" s="216"/>
      <c r="AC49" s="216"/>
      <c r="AD49" s="216"/>
    </row>
    <row r="50" spans="1:30" x14ac:dyDescent="0.25">
      <c r="A50" s="585"/>
      <c r="B50" s="587"/>
      <c r="C50" s="230"/>
      <c r="D50" s="234"/>
      <c r="E50" s="234"/>
      <c r="F50" s="234"/>
      <c r="G50" s="234"/>
      <c r="H50" s="234"/>
      <c r="I50" s="234"/>
      <c r="J50" s="234"/>
      <c r="K50" s="234"/>
      <c r="L50" s="234"/>
      <c r="M50" s="234"/>
      <c r="N50" s="234"/>
      <c r="O50" s="234"/>
      <c r="P50" s="231"/>
      <c r="Q50" s="226"/>
      <c r="R50" s="222"/>
      <c r="S50" s="216"/>
      <c r="T50" s="216"/>
      <c r="U50" s="216"/>
      <c r="V50" s="216"/>
      <c r="W50" s="216"/>
      <c r="X50" s="216"/>
      <c r="Y50" s="216"/>
      <c r="Z50" s="216"/>
      <c r="AA50" s="216"/>
      <c r="AB50" s="216"/>
      <c r="AC50" s="216"/>
      <c r="AD50" s="216"/>
    </row>
    <row r="51" spans="1:30" x14ac:dyDescent="0.25">
      <c r="A51" s="584"/>
      <c r="B51" s="586"/>
      <c r="C51" s="230"/>
      <c r="D51" s="219"/>
      <c r="E51" s="219"/>
      <c r="F51" s="219"/>
      <c r="G51" s="219"/>
      <c r="H51" s="219"/>
      <c r="I51" s="219"/>
      <c r="J51" s="219"/>
      <c r="K51" s="219"/>
      <c r="L51" s="219"/>
      <c r="M51" s="219"/>
      <c r="N51" s="219"/>
      <c r="O51" s="219"/>
      <c r="P51" s="231"/>
      <c r="Q51" s="221"/>
      <c r="R51" s="222"/>
      <c r="S51" s="216"/>
      <c r="T51" s="216"/>
      <c r="U51" s="216"/>
      <c r="V51" s="216"/>
      <c r="W51" s="216"/>
      <c r="X51" s="216"/>
      <c r="Y51" s="216"/>
      <c r="Z51" s="216"/>
      <c r="AA51" s="216"/>
      <c r="AB51" s="216"/>
      <c r="AC51" s="216"/>
      <c r="AD51" s="216"/>
    </row>
    <row r="52" spans="1:30" x14ac:dyDescent="0.25">
      <c r="A52" s="585"/>
      <c r="B52" s="587"/>
      <c r="C52" s="230"/>
      <c r="D52" s="234"/>
      <c r="E52" s="234"/>
      <c r="F52" s="234"/>
      <c r="G52" s="234"/>
      <c r="H52" s="234"/>
      <c r="I52" s="234"/>
      <c r="J52" s="234"/>
      <c r="K52" s="234"/>
      <c r="L52" s="234"/>
      <c r="M52" s="234"/>
      <c r="N52" s="234"/>
      <c r="O52" s="234"/>
      <c r="P52" s="231"/>
      <c r="Q52" s="226"/>
      <c r="R52" s="222"/>
      <c r="S52" s="216"/>
      <c r="T52" s="216"/>
      <c r="U52" s="216"/>
      <c r="V52" s="216"/>
      <c r="W52" s="216"/>
      <c r="X52" s="216"/>
      <c r="Y52" s="216"/>
      <c r="Z52" s="216"/>
      <c r="AA52" s="216"/>
      <c r="AB52" s="216"/>
      <c r="AC52" s="216"/>
      <c r="AD52" s="216"/>
    </row>
    <row r="53" spans="1:30" x14ac:dyDescent="0.25">
      <c r="A53" s="228"/>
      <c r="B53" s="229"/>
      <c r="C53" s="230"/>
      <c r="D53" s="219"/>
      <c r="E53" s="219"/>
      <c r="F53" s="219"/>
      <c r="G53" s="219"/>
      <c r="H53" s="219"/>
      <c r="I53" s="219"/>
      <c r="J53" s="219"/>
      <c r="K53" s="219"/>
      <c r="L53" s="219"/>
      <c r="M53" s="219"/>
      <c r="N53" s="219"/>
      <c r="O53" s="219"/>
      <c r="P53" s="231"/>
      <c r="Q53" s="221"/>
      <c r="R53" s="222"/>
      <c r="S53" s="216"/>
      <c r="T53" s="216"/>
      <c r="U53" s="216"/>
      <c r="V53" s="216"/>
      <c r="W53" s="216"/>
      <c r="X53" s="216"/>
      <c r="Y53" s="216"/>
      <c r="Z53" s="216"/>
      <c r="AA53" s="216"/>
      <c r="AB53" s="216"/>
      <c r="AC53" s="216"/>
      <c r="AD53" s="216"/>
    </row>
    <row r="54" spans="1:30" x14ac:dyDescent="0.25">
      <c r="A54" s="232"/>
      <c r="B54" s="233"/>
      <c r="C54" s="230"/>
      <c r="D54" s="234"/>
      <c r="E54" s="234"/>
      <c r="F54" s="234"/>
      <c r="G54" s="234"/>
      <c r="H54" s="234"/>
      <c r="I54" s="234"/>
      <c r="J54" s="234"/>
      <c r="K54" s="234"/>
      <c r="L54" s="234"/>
      <c r="M54" s="234"/>
      <c r="N54" s="234"/>
      <c r="O54" s="234"/>
      <c r="P54" s="231"/>
      <c r="Q54" s="226"/>
      <c r="R54" s="222"/>
      <c r="S54" s="216"/>
      <c r="T54" s="216"/>
      <c r="U54" s="216"/>
      <c r="V54" s="216"/>
      <c r="W54" s="216"/>
      <c r="X54" s="216"/>
      <c r="Y54" s="216"/>
      <c r="Z54" s="216"/>
      <c r="AA54" s="216"/>
      <c r="AB54" s="216"/>
      <c r="AC54" s="216"/>
      <c r="AD54" s="216"/>
    </row>
    <row r="55" spans="1:30" x14ac:dyDescent="0.25">
      <c r="A55" s="215"/>
      <c r="B55" s="235"/>
      <c r="C55" s="236"/>
      <c r="D55" s="237">
        <f>D48</f>
        <v>0</v>
      </c>
      <c r="E55" s="237">
        <f t="shared" ref="E55:O55" si="4">E48</f>
        <v>1.0000000000000004E-2</v>
      </c>
      <c r="F55" s="237">
        <f t="shared" si="4"/>
        <v>9.5000000000000032E-3</v>
      </c>
      <c r="G55" s="237">
        <f t="shared" si="4"/>
        <v>9.5000000000000032E-3</v>
      </c>
      <c r="H55" s="237">
        <f t="shared" si="4"/>
        <v>9.5000000000000032E-3</v>
      </c>
      <c r="I55" s="237">
        <f t="shared" si="4"/>
        <v>9.5000000000000032E-3</v>
      </c>
      <c r="J55" s="237">
        <f t="shared" si="4"/>
        <v>9.5000000000000032E-3</v>
      </c>
      <c r="K55" s="237">
        <f t="shared" si="4"/>
        <v>0</v>
      </c>
      <c r="L55" s="237">
        <f t="shared" si="4"/>
        <v>0</v>
      </c>
      <c r="M55" s="237">
        <f t="shared" si="4"/>
        <v>0</v>
      </c>
      <c r="N55" s="237">
        <f t="shared" si="4"/>
        <v>0</v>
      </c>
      <c r="O55" s="237">
        <f t="shared" si="4"/>
        <v>0</v>
      </c>
      <c r="P55" s="237">
        <f>P48+P50+P52</f>
        <v>5.7500000000000016E-2</v>
      </c>
      <c r="Q55" s="215"/>
      <c r="R55" s="222">
        <f>+P55-Q55</f>
        <v>5.7500000000000016E-2</v>
      </c>
      <c r="S55" s="216"/>
      <c r="T55" s="216"/>
      <c r="U55" s="216"/>
      <c r="V55" s="216"/>
      <c r="W55" s="216"/>
      <c r="X55" s="216"/>
      <c r="Y55" s="216"/>
      <c r="Z55" s="216"/>
      <c r="AA55" s="216"/>
      <c r="AB55" s="216"/>
      <c r="AC55" s="216"/>
      <c r="AD55" s="216"/>
    </row>
    <row r="56" spans="1:30" x14ac:dyDescent="0.25">
      <c r="A56" s="215"/>
      <c r="B56" s="238"/>
      <c r="C56" s="239" t="s">
        <v>68</v>
      </c>
      <c r="D56" s="240">
        <f>D55*$W$17/$B$34</f>
        <v>0</v>
      </c>
      <c r="E56" s="240">
        <f t="shared" ref="E56:O56" si="5">E55*$W$17/$B$34</f>
        <v>0.10000000000000003</v>
      </c>
      <c r="F56" s="240">
        <f t="shared" si="5"/>
        <v>9.5000000000000029E-2</v>
      </c>
      <c r="G56" s="240">
        <f t="shared" si="5"/>
        <v>9.5000000000000029E-2</v>
      </c>
      <c r="H56" s="240">
        <f t="shared" si="5"/>
        <v>9.5000000000000029E-2</v>
      </c>
      <c r="I56" s="240">
        <f t="shared" si="5"/>
        <v>9.5000000000000029E-2</v>
      </c>
      <c r="J56" s="240">
        <f t="shared" si="5"/>
        <v>9.5000000000000029E-2</v>
      </c>
      <c r="K56" s="240">
        <f t="shared" si="5"/>
        <v>0</v>
      </c>
      <c r="L56" s="240">
        <f t="shared" si="5"/>
        <v>0</v>
      </c>
      <c r="M56" s="240">
        <f t="shared" si="5"/>
        <v>0</v>
      </c>
      <c r="N56" s="240">
        <f t="shared" si="5"/>
        <v>0</v>
      </c>
      <c r="O56" s="240">
        <f t="shared" si="5"/>
        <v>0</v>
      </c>
      <c r="P56" s="241">
        <f>SUM(D56:O56)</f>
        <v>0.57500000000000018</v>
      </c>
      <c r="Q56" s="242"/>
      <c r="R56" s="215"/>
      <c r="S56" s="216"/>
      <c r="T56" s="216"/>
      <c r="U56" s="216"/>
      <c r="V56" s="216"/>
      <c r="W56" s="216"/>
      <c r="X56" s="216"/>
      <c r="Y56" s="216"/>
      <c r="Z56" s="216"/>
      <c r="AA56" s="216"/>
      <c r="AB56" s="216"/>
      <c r="AC56" s="216"/>
      <c r="AD56" s="216"/>
    </row>
    <row r="57" spans="1:30" x14ac:dyDescent="0.25">
      <c r="A57" s="242"/>
      <c r="B57" s="243"/>
      <c r="C57" s="243"/>
      <c r="D57" s="243"/>
      <c r="E57" s="243"/>
      <c r="F57" s="243"/>
      <c r="G57" s="243"/>
      <c r="H57" s="243"/>
      <c r="I57" s="243"/>
      <c r="J57" s="243"/>
      <c r="K57" s="243"/>
      <c r="L57" s="243"/>
      <c r="M57" s="243"/>
      <c r="N57" s="243"/>
      <c r="O57" s="243"/>
      <c r="P57" s="243"/>
      <c r="Q57" s="242"/>
      <c r="R57" s="242"/>
      <c r="S57" s="216"/>
      <c r="T57" s="216"/>
      <c r="U57" s="216"/>
      <c r="V57" s="216"/>
      <c r="W57" s="216"/>
      <c r="X57" s="216"/>
      <c r="Y57" s="216"/>
      <c r="Z57" s="216"/>
      <c r="AA57" s="216"/>
      <c r="AB57" s="216"/>
      <c r="AC57" s="216"/>
      <c r="AD57" s="216"/>
    </row>
    <row r="58" spans="1:30" x14ac:dyDescent="0.25">
      <c r="A58" s="221"/>
      <c r="B58" s="108"/>
      <c r="C58" s="108"/>
      <c r="D58" s="237">
        <f>+D47</f>
        <v>0</v>
      </c>
      <c r="E58" s="237">
        <f t="shared" ref="E58:O58" si="6">+E47</f>
        <v>1.0000000000000004E-2</v>
      </c>
      <c r="F58" s="237">
        <f t="shared" si="6"/>
        <v>9.5000000000000032E-3</v>
      </c>
      <c r="G58" s="237">
        <f t="shared" si="6"/>
        <v>9.5000000000000032E-3</v>
      </c>
      <c r="H58" s="237">
        <f t="shared" si="6"/>
        <v>9.5000000000000032E-3</v>
      </c>
      <c r="I58" s="237">
        <f t="shared" si="6"/>
        <v>9.5000000000000032E-3</v>
      </c>
      <c r="J58" s="237">
        <f t="shared" si="6"/>
        <v>9.5000000000000032E-3</v>
      </c>
      <c r="K58" s="237">
        <f t="shared" si="6"/>
        <v>9.5000000000000032E-3</v>
      </c>
      <c r="L58" s="237">
        <f t="shared" si="6"/>
        <v>9.5000000000000032E-3</v>
      </c>
      <c r="M58" s="237">
        <f t="shared" si="6"/>
        <v>9.5000000000000032E-3</v>
      </c>
      <c r="N58" s="237">
        <f t="shared" si="6"/>
        <v>9.0000000000000011E-3</v>
      </c>
      <c r="O58" s="237">
        <f t="shared" si="6"/>
        <v>5.0000000000000018E-3</v>
      </c>
      <c r="P58" s="237">
        <f>+P47+P49+P51</f>
        <v>0.10000000000000003</v>
      </c>
      <c r="Q58" s="221"/>
      <c r="R58" s="221"/>
      <c r="S58" s="216"/>
      <c r="T58" s="216"/>
      <c r="U58" s="216"/>
      <c r="V58" s="216"/>
      <c r="W58" s="216"/>
      <c r="X58" s="216"/>
      <c r="Y58" s="216"/>
      <c r="Z58" s="216"/>
      <c r="AA58" s="216"/>
      <c r="AB58" s="216"/>
      <c r="AC58" s="216"/>
      <c r="AD58" s="216"/>
    </row>
    <row r="59" spans="1:30" x14ac:dyDescent="0.25">
      <c r="A59" s="221"/>
      <c r="B59" s="108"/>
      <c r="C59" s="239" t="s">
        <v>64</v>
      </c>
      <c r="D59" s="240">
        <f t="shared" ref="D59:O59" si="7">D58*$W$17/$B$34</f>
        <v>0</v>
      </c>
      <c r="E59" s="240">
        <f>E58*$W$17/$B$34</f>
        <v>0.10000000000000003</v>
      </c>
      <c r="F59" s="240">
        <f t="shared" si="7"/>
        <v>9.5000000000000029E-2</v>
      </c>
      <c r="G59" s="240">
        <f t="shared" si="7"/>
        <v>9.5000000000000029E-2</v>
      </c>
      <c r="H59" s="240">
        <f t="shared" si="7"/>
        <v>9.5000000000000029E-2</v>
      </c>
      <c r="I59" s="240">
        <f t="shared" si="7"/>
        <v>9.5000000000000029E-2</v>
      </c>
      <c r="J59" s="240">
        <f t="shared" si="7"/>
        <v>9.5000000000000029E-2</v>
      </c>
      <c r="K59" s="240">
        <f t="shared" si="7"/>
        <v>9.5000000000000029E-2</v>
      </c>
      <c r="L59" s="240">
        <f t="shared" si="7"/>
        <v>9.5000000000000029E-2</v>
      </c>
      <c r="M59" s="240">
        <f t="shared" si="7"/>
        <v>9.5000000000000029E-2</v>
      </c>
      <c r="N59" s="240">
        <f t="shared" si="7"/>
        <v>9.0000000000000011E-2</v>
      </c>
      <c r="O59" s="240">
        <f t="shared" si="7"/>
        <v>5.0000000000000017E-2</v>
      </c>
      <c r="P59" s="241">
        <f>SUM(D59:O59)</f>
        <v>1</v>
      </c>
      <c r="Q59" s="221"/>
      <c r="R59" s="221"/>
      <c r="S59" s="216"/>
      <c r="T59" s="216"/>
      <c r="U59" s="216"/>
      <c r="V59" s="216"/>
      <c r="W59" s="216"/>
      <c r="X59" s="216"/>
      <c r="Y59" s="216"/>
      <c r="Z59" s="216"/>
      <c r="AA59" s="216"/>
      <c r="AB59" s="216"/>
      <c r="AC59" s="216"/>
      <c r="AD59" s="216"/>
    </row>
    <row r="60" spans="1:30" x14ac:dyDescent="0.25">
      <c r="A60" s="216"/>
      <c r="Q60" s="216"/>
      <c r="R60" s="216"/>
      <c r="S60" s="216"/>
      <c r="T60" s="216"/>
      <c r="U60" s="216"/>
      <c r="V60" s="216"/>
      <c r="W60" s="216"/>
      <c r="X60" s="216"/>
      <c r="Y60" s="216"/>
      <c r="Z60" s="216"/>
      <c r="AA60" s="216"/>
      <c r="AB60" s="216"/>
      <c r="AC60" s="216"/>
      <c r="AD60" s="216"/>
    </row>
    <row r="61" spans="1:30" x14ac:dyDescent="0.25">
      <c r="A61" s="216"/>
      <c r="Q61" s="216"/>
      <c r="R61" s="216"/>
      <c r="S61" s="216"/>
      <c r="T61" s="216"/>
      <c r="U61" s="216"/>
      <c r="V61" s="216"/>
      <c r="W61" s="216"/>
      <c r="X61" s="216"/>
      <c r="Y61" s="216"/>
      <c r="Z61" s="216"/>
      <c r="AA61" s="216"/>
      <c r="AB61" s="216"/>
      <c r="AC61" s="216"/>
      <c r="AD61" s="216"/>
    </row>
    <row r="62" spans="1:30" x14ac:dyDescent="0.25">
      <c r="A62" s="216"/>
      <c r="Q62" s="216"/>
      <c r="R62" s="216"/>
      <c r="S62" s="216"/>
      <c r="T62" s="216"/>
      <c r="U62" s="216"/>
      <c r="V62" s="216"/>
      <c r="W62" s="216"/>
      <c r="X62" s="216"/>
      <c r="Y62" s="216"/>
      <c r="Z62" s="216"/>
      <c r="AA62" s="216"/>
      <c r="AB62" s="216"/>
      <c r="AC62" s="216"/>
      <c r="AD62" s="216"/>
    </row>
  </sheetData>
  <mergeCells count="83">
    <mergeCell ref="A51:A52"/>
    <mergeCell ref="B51:B52"/>
    <mergeCell ref="A45:A46"/>
    <mergeCell ref="B45:B46"/>
    <mergeCell ref="C45:P45"/>
    <mergeCell ref="A47:A48"/>
    <mergeCell ref="B47:B48"/>
    <mergeCell ref="A49:A50"/>
    <mergeCell ref="B49:B5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004E2A3B-7E5A-493E-A729-EBBE9A1DD577}">
      <formula1>$C$21:$N$21</formula1>
    </dataValidation>
    <dataValidation type="textLength" operator="lessThanOrEqual" allowBlank="1" showInputMessage="1" showErrorMessage="1" errorTitle="Máximo 2.000 caracteres" error="Máximo 2.000 caracteres" promptTitle="2.000 caracteres" sqref="Q30:AD30" xr:uid="{CB465D79-DC36-DC4E-AC3F-600D622B9A48}">
      <formula1>2000</formula1>
    </dataValidation>
    <dataValidation type="textLength" operator="lessThanOrEqual" allowBlank="1" showInputMessage="1" showErrorMessage="1" errorTitle="Máximo 2.000 caracteres" error="Máximo 2.000 caracteres" sqref="AA34 Q38:AD39 Q34" xr:uid="{8C5EF503-33C3-D847-A339-457EB42FC9D4}">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A3C7-7B39-0B4E-91EE-758958BFDEAE}">
  <sheetPr>
    <tabColor theme="7" tint="0.39997558519241921"/>
    <pageSetUpPr fitToPage="1"/>
  </sheetPr>
  <dimension ref="A1:AX74"/>
  <sheetViews>
    <sheetView showGridLines="0" topLeftCell="S9" zoomScale="65" zoomScaleNormal="65" workbookViewId="0">
      <selection activeCell="Y17" sqref="Y17:AB17"/>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7.85546875" style="50" customWidth="1"/>
    <col min="20"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0"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0"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0"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0"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0"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0"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0"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0"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row>
    <row r="12" spans="1:50"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row>
    <row r="13" spans="1:50"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row>
    <row r="16" spans="1:50"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row>
    <row r="17" spans="1:50" s="76" customFormat="1" ht="37.5" customHeight="1" thickBot="1" x14ac:dyDescent="0.3">
      <c r="A17" s="512" t="s">
        <v>23</v>
      </c>
      <c r="B17" s="513"/>
      <c r="C17" s="514" t="s">
        <v>92</v>
      </c>
      <c r="D17" s="515"/>
      <c r="E17" s="515"/>
      <c r="F17" s="515"/>
      <c r="G17" s="515"/>
      <c r="H17" s="515"/>
      <c r="I17" s="515"/>
      <c r="J17" s="515"/>
      <c r="K17" s="515"/>
      <c r="L17" s="515"/>
      <c r="M17" s="515"/>
      <c r="N17" s="515"/>
      <c r="O17" s="515"/>
      <c r="P17" s="515"/>
      <c r="Q17" s="516"/>
      <c r="R17" s="501" t="s">
        <v>25</v>
      </c>
      <c r="S17" s="502"/>
      <c r="T17" s="502"/>
      <c r="U17" s="502"/>
      <c r="V17" s="503"/>
      <c r="W17" s="517">
        <v>1</v>
      </c>
      <c r="X17" s="518"/>
      <c r="Y17" s="502" t="s">
        <v>26</v>
      </c>
      <c r="Z17" s="502"/>
      <c r="AA17" s="502"/>
      <c r="AB17" s="503"/>
      <c r="AC17" s="519">
        <v>0.2</v>
      </c>
      <c r="AD17" s="520"/>
      <c r="AX17" s="353"/>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row>
    <row r="20" spans="1:50"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row>
    <row r="21" spans="1:50"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row>
    <row r="22" spans="1:50" ht="32.1" customHeight="1" x14ac:dyDescent="0.25">
      <c r="A22" s="452" t="s">
        <v>43</v>
      </c>
      <c r="B22" s="454"/>
      <c r="C22" s="322"/>
      <c r="D22" s="323"/>
      <c r="E22" s="323"/>
      <c r="F22" s="323"/>
      <c r="G22" s="323"/>
      <c r="H22" s="323"/>
      <c r="I22" s="323"/>
      <c r="J22" s="323"/>
      <c r="K22" s="323"/>
      <c r="L22" s="323"/>
      <c r="M22" s="323"/>
      <c r="N22" s="323"/>
      <c r="O22" s="323">
        <f>SUM(C22:N22)</f>
        <v>0</v>
      </c>
      <c r="P22" s="378"/>
      <c r="Q22" s="327">
        <v>425475150</v>
      </c>
      <c r="R22" s="323"/>
      <c r="S22" s="323">
        <v>19186925</v>
      </c>
      <c r="T22" s="323">
        <f>35000000+21559511</f>
        <v>56559511</v>
      </c>
      <c r="U22" s="323"/>
      <c r="V22" s="323">
        <f>2139477+34249272+6542287</f>
        <v>42931036</v>
      </c>
      <c r="W22" s="323"/>
      <c r="X22" s="323"/>
      <c r="Y22" s="323"/>
      <c r="Z22" s="323"/>
      <c r="AA22" s="323"/>
      <c r="AB22" s="323"/>
      <c r="AC22" s="376">
        <f>SUM(Q22:AB22)</f>
        <v>544152622</v>
      </c>
      <c r="AD22" s="183"/>
      <c r="AE22" s="3"/>
      <c r="AF22" s="625" t="s">
        <v>132</v>
      </c>
      <c r="AG22" s="625"/>
      <c r="AH22" s="625"/>
      <c r="AI22" s="625"/>
      <c r="AJ22" s="625"/>
      <c r="AK22" s="625"/>
      <c r="AL22" s="625"/>
      <c r="AM22" s="625"/>
    </row>
    <row r="23" spans="1:50" ht="32.1" customHeight="1" x14ac:dyDescent="0.25">
      <c r="A23" s="453" t="s">
        <v>44</v>
      </c>
      <c r="B23" s="455"/>
      <c r="C23" s="174"/>
      <c r="D23" s="173"/>
      <c r="E23" s="173"/>
      <c r="F23" s="173"/>
      <c r="G23" s="173"/>
      <c r="H23" s="173"/>
      <c r="I23" s="173"/>
      <c r="J23" s="173"/>
      <c r="K23" s="173"/>
      <c r="L23" s="173"/>
      <c r="M23" s="173"/>
      <c r="N23" s="173"/>
      <c r="O23" s="173">
        <f>SUM(C23:N23)</f>
        <v>0</v>
      </c>
      <c r="P23" s="379"/>
      <c r="Q23" s="325">
        <v>45618029</v>
      </c>
      <c r="R23" s="173">
        <v>274389683</v>
      </c>
      <c r="S23" s="173">
        <v>37936095</v>
      </c>
      <c r="T23" s="173">
        <v>9781083</v>
      </c>
      <c r="U23" s="173">
        <v>50047197</v>
      </c>
      <c r="V23" s="173">
        <v>21021262</v>
      </c>
      <c r="W23" s="173">
        <v>35000000</v>
      </c>
      <c r="X23" s="173"/>
      <c r="Y23" s="173"/>
      <c r="Z23" s="173"/>
      <c r="AA23" s="173"/>
      <c r="AB23" s="173"/>
      <c r="AC23" s="377">
        <f>SUM(Q23:AB23)</f>
        <v>473793349</v>
      </c>
      <c r="AD23" s="181">
        <f>IFERROR(AC23/(SUMIF(Q23:AB23,"&gt;0",Q22:AB22))," ")</f>
        <v>0.87069937705822542</v>
      </c>
      <c r="AE23" s="3"/>
      <c r="AF23" s="625"/>
      <c r="AG23" s="625"/>
      <c r="AH23" s="625"/>
      <c r="AI23" s="625"/>
      <c r="AJ23" s="625"/>
      <c r="AK23" s="625"/>
      <c r="AL23" s="625"/>
      <c r="AM23" s="625"/>
    </row>
    <row r="24" spans="1:50" ht="32.1" customHeight="1" x14ac:dyDescent="0.25">
      <c r="A24" s="453" t="s">
        <v>45</v>
      </c>
      <c r="B24" s="455"/>
      <c r="C24" s="174">
        <f>25110242+1804187+19304540</f>
        <v>46218969</v>
      </c>
      <c r="D24" s="173">
        <f>1749515+3375000+3750000+461422+1166666+618000+432600+475860+4505045</f>
        <v>16534108</v>
      </c>
      <c r="E24" s="173">
        <v>4956875</v>
      </c>
      <c r="F24" s="173">
        <v>5038625</v>
      </c>
      <c r="G24" s="173"/>
      <c r="H24" s="173"/>
      <c r="I24" s="173"/>
      <c r="J24" s="173"/>
      <c r="K24" s="173"/>
      <c r="L24" s="173"/>
      <c r="M24" s="173"/>
      <c r="N24" s="173"/>
      <c r="O24" s="206">
        <f>SUM(C24:N24)</f>
        <v>72748577</v>
      </c>
      <c r="P24" s="326"/>
      <c r="Q24" s="325"/>
      <c r="R24" s="173">
        <v>18502650</v>
      </c>
      <c r="S24" s="173">
        <v>36997500</v>
      </c>
      <c r="T24" s="173">
        <f>36997500+1918693</f>
        <v>38916193</v>
      </c>
      <c r="U24" s="173">
        <f>36997500+1918693+3888889+21559511</f>
        <v>64364593</v>
      </c>
      <c r="V24" s="173">
        <f>36997500+1918693+3888889+6542287</f>
        <v>49347369</v>
      </c>
      <c r="W24" s="173">
        <f>36997500+1918693+2139477+3888889+11416424</f>
        <v>56360983</v>
      </c>
      <c r="X24" s="173">
        <f>36997500+1918693+3888889</f>
        <v>42805082</v>
      </c>
      <c r="Y24" s="173">
        <f>36997500+1918692+3888889+11416424</f>
        <v>54221505</v>
      </c>
      <c r="Z24" s="173">
        <f>36997500+1918692+3888889</f>
        <v>42805081</v>
      </c>
      <c r="AA24" s="173">
        <f>36997500+1918692+3888889+11416424</f>
        <v>54221505</v>
      </c>
      <c r="AB24" s="173">
        <f>73995000+3837384+7777777</f>
        <v>85610161</v>
      </c>
      <c r="AC24" s="206">
        <f>SUM(Q24:AB24)</f>
        <v>544152622</v>
      </c>
      <c r="AD24" s="181"/>
      <c r="AE24" s="3"/>
      <c r="AF24" s="625"/>
      <c r="AG24" s="625"/>
      <c r="AH24" s="625"/>
      <c r="AI24" s="625"/>
      <c r="AJ24" s="625"/>
      <c r="AK24" s="625"/>
      <c r="AL24" s="625"/>
      <c r="AM24" s="625"/>
    </row>
    <row r="25" spans="1:50" ht="32.1" customHeight="1" thickBot="1" x14ac:dyDescent="0.3">
      <c r="A25" s="481" t="s">
        <v>46</v>
      </c>
      <c r="B25" s="487"/>
      <c r="C25" s="324">
        <v>2894648</v>
      </c>
      <c r="D25" s="175">
        <v>31987653</v>
      </c>
      <c r="E25" s="175">
        <v>22040035</v>
      </c>
      <c r="F25" s="175">
        <v>10889552</v>
      </c>
      <c r="G25" s="175">
        <v>0</v>
      </c>
      <c r="H25" s="175">
        <v>384895</v>
      </c>
      <c r="I25" s="175">
        <v>0</v>
      </c>
      <c r="J25" s="175"/>
      <c r="K25" s="175"/>
      <c r="L25" s="175"/>
      <c r="M25" s="175"/>
      <c r="N25" s="175"/>
      <c r="O25" s="175">
        <f>SUM(C25:N25)</f>
        <v>68196783</v>
      </c>
      <c r="P25" s="182">
        <f>+O25/O24</f>
        <v>0.9374311610246342</v>
      </c>
      <c r="Q25" s="328" t="s">
        <v>48</v>
      </c>
      <c r="R25" s="175">
        <v>944067</v>
      </c>
      <c r="S25" s="175">
        <v>14912614</v>
      </c>
      <c r="T25" s="175">
        <v>28115866</v>
      </c>
      <c r="U25" s="175">
        <v>36909462</v>
      </c>
      <c r="V25" s="175">
        <v>45540923</v>
      </c>
      <c r="W25" s="175">
        <v>64584730</v>
      </c>
      <c r="X25" s="175"/>
      <c r="Y25" s="175"/>
      <c r="Z25" s="175"/>
      <c r="AA25" s="175"/>
      <c r="AB25" s="175"/>
      <c r="AC25" s="175">
        <f>SUM(Q25:AB25)</f>
        <v>191007662</v>
      </c>
      <c r="AD25" s="182">
        <f>IFERROR(AC25/(SUMIF(Q25:AB25,"&gt;0",Q24:AB24))," ")</f>
        <v>0.7221754175541506</v>
      </c>
      <c r="AE25" s="3"/>
      <c r="AF25" s="625"/>
      <c r="AG25" s="625"/>
      <c r="AH25" s="625"/>
      <c r="AI25" s="625"/>
      <c r="AJ25" s="625"/>
      <c r="AK25" s="625"/>
      <c r="AL25" s="625"/>
      <c r="AM25" s="625"/>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0"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0"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0"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0" ht="68.25" customHeight="1" thickBot="1" x14ac:dyDescent="0.3">
      <c r="A30" s="85" t="s">
        <v>93</v>
      </c>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row>
    <row r="31" spans="1:50"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0" ht="23.1" customHeight="1" x14ac:dyDescent="0.25">
      <c r="A32" s="452" t="s">
        <v>56</v>
      </c>
      <c r="B32" s="456" t="s">
        <v>57</v>
      </c>
      <c r="C32" s="456" t="s">
        <v>51</v>
      </c>
      <c r="D32" s="480" t="s">
        <v>58</v>
      </c>
      <c r="E32" s="456"/>
      <c r="F32" s="456"/>
      <c r="G32" s="456"/>
      <c r="H32" s="456"/>
      <c r="I32" s="456"/>
      <c r="J32" s="456"/>
      <c r="K32" s="456"/>
      <c r="L32" s="456"/>
      <c r="M32" s="456"/>
      <c r="N32" s="456"/>
      <c r="O32" s="456"/>
      <c r="P32" s="457"/>
      <c r="Q32" s="452"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thickBot="1" x14ac:dyDescent="0.3">
      <c r="A33" s="453"/>
      <c r="B33" s="478"/>
      <c r="C33" s="479"/>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1" t="s">
        <v>60</v>
      </c>
      <c r="R33" s="482"/>
      <c r="S33" s="482"/>
      <c r="T33" s="482" t="s">
        <v>61</v>
      </c>
      <c r="U33" s="482"/>
      <c r="V33" s="482"/>
      <c r="W33" s="483" t="s">
        <v>62</v>
      </c>
      <c r="X33" s="484"/>
      <c r="Y33" s="484"/>
      <c r="Z33" s="485"/>
      <c r="AA33" s="483" t="s">
        <v>63</v>
      </c>
      <c r="AB33" s="484"/>
      <c r="AC33" s="484"/>
      <c r="AD33" s="486"/>
      <c r="AG33" s="87"/>
      <c r="AH33" s="87"/>
      <c r="AI33" s="87"/>
      <c r="AJ33" s="87"/>
      <c r="AK33" s="87"/>
      <c r="AL33" s="87"/>
      <c r="AM33" s="87"/>
      <c r="AN33" s="87"/>
      <c r="AO33" s="87"/>
    </row>
    <row r="34" spans="1:41" ht="110.25" customHeight="1" x14ac:dyDescent="0.25">
      <c r="A34" s="462" t="s">
        <v>93</v>
      </c>
      <c r="B34" s="464">
        <v>0.2</v>
      </c>
      <c r="C34" s="102" t="s">
        <v>64</v>
      </c>
      <c r="D34" s="258">
        <f>D69</f>
        <v>0</v>
      </c>
      <c r="E34" s="259">
        <v>1</v>
      </c>
      <c r="F34" s="259">
        <v>1</v>
      </c>
      <c r="G34" s="259">
        <v>1</v>
      </c>
      <c r="H34" s="259">
        <v>1</v>
      </c>
      <c r="I34" s="259">
        <v>1</v>
      </c>
      <c r="J34" s="259">
        <v>1</v>
      </c>
      <c r="K34" s="259">
        <v>1</v>
      </c>
      <c r="L34" s="259">
        <v>1</v>
      </c>
      <c r="M34" s="259">
        <v>1</v>
      </c>
      <c r="N34" s="259">
        <v>1</v>
      </c>
      <c r="O34" s="260">
        <v>1</v>
      </c>
      <c r="P34" s="254">
        <v>1</v>
      </c>
      <c r="Q34" s="786" t="s">
        <v>577</v>
      </c>
      <c r="R34" s="736"/>
      <c r="S34" s="742"/>
      <c r="T34" s="786" t="s">
        <v>575</v>
      </c>
      <c r="U34" s="736"/>
      <c r="V34" s="742"/>
      <c r="W34" s="765" t="s">
        <v>158</v>
      </c>
      <c r="X34" s="736"/>
      <c r="Y34" s="736"/>
      <c r="Z34" s="742"/>
      <c r="AA34" s="765" t="s">
        <v>579</v>
      </c>
      <c r="AB34" s="736"/>
      <c r="AC34" s="736"/>
      <c r="AD34" s="742"/>
      <c r="AG34" s="87"/>
      <c r="AH34" s="87"/>
      <c r="AI34" s="87"/>
      <c r="AJ34" s="87"/>
      <c r="AK34" s="87"/>
      <c r="AL34" s="87"/>
      <c r="AM34" s="87"/>
      <c r="AN34" s="87"/>
      <c r="AO34" s="87"/>
    </row>
    <row r="35" spans="1:41" ht="110.25" customHeight="1" thickBot="1" x14ac:dyDescent="0.3">
      <c r="A35" s="463"/>
      <c r="B35" s="465"/>
      <c r="C35" s="91" t="s">
        <v>68</v>
      </c>
      <c r="D35" s="256">
        <f>D66</f>
        <v>0</v>
      </c>
      <c r="E35" s="246">
        <v>1</v>
      </c>
      <c r="F35" s="246">
        <v>1</v>
      </c>
      <c r="G35" s="246">
        <v>1</v>
      </c>
      <c r="H35" s="246">
        <v>1</v>
      </c>
      <c r="I35" s="246">
        <v>1</v>
      </c>
      <c r="J35" s="246">
        <v>1</v>
      </c>
      <c r="K35" s="246"/>
      <c r="L35" s="246"/>
      <c r="M35" s="246"/>
      <c r="N35" s="246"/>
      <c r="O35" s="247"/>
      <c r="P35" s="255">
        <v>1</v>
      </c>
      <c r="Q35" s="639"/>
      <c r="R35" s="640"/>
      <c r="S35" s="643"/>
      <c r="T35" s="639"/>
      <c r="U35" s="640"/>
      <c r="V35" s="643"/>
      <c r="W35" s="639"/>
      <c r="X35" s="640"/>
      <c r="Y35" s="640"/>
      <c r="Z35" s="643"/>
      <c r="AA35" s="639"/>
      <c r="AB35" s="640"/>
      <c r="AC35" s="640"/>
      <c r="AD35" s="643"/>
      <c r="AE35" s="49"/>
      <c r="AG35" s="87"/>
      <c r="AH35" s="87"/>
      <c r="AI35" s="87"/>
      <c r="AJ35" s="87"/>
      <c r="AK35" s="87"/>
      <c r="AL35" s="87"/>
      <c r="AM35" s="87"/>
      <c r="AN35" s="87"/>
      <c r="AO35" s="87"/>
    </row>
    <row r="36" spans="1:41" ht="26.1" customHeight="1" x14ac:dyDescent="0.25">
      <c r="A36" s="452" t="s">
        <v>69</v>
      </c>
      <c r="B36" s="456" t="s">
        <v>70</v>
      </c>
      <c r="C36" s="480" t="s">
        <v>71</v>
      </c>
      <c r="D36" s="456"/>
      <c r="E36" s="456"/>
      <c r="F36" s="456"/>
      <c r="G36" s="456"/>
      <c r="H36" s="456"/>
      <c r="I36" s="456"/>
      <c r="J36" s="456"/>
      <c r="K36" s="456"/>
      <c r="L36" s="456"/>
      <c r="M36" s="456"/>
      <c r="N36" s="456"/>
      <c r="O36" s="456"/>
      <c r="P36" s="457"/>
      <c r="Q36" s="613" t="s">
        <v>72</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thickBot="1" x14ac:dyDescent="0.3">
      <c r="A37" s="481"/>
      <c r="B37" s="482"/>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14" t="s">
        <v>87</v>
      </c>
      <c r="R37" s="460"/>
      <c r="S37" s="460"/>
      <c r="T37" s="460"/>
      <c r="U37" s="460"/>
      <c r="V37" s="460"/>
      <c r="W37" s="460"/>
      <c r="X37" s="460"/>
      <c r="Y37" s="460"/>
      <c r="Z37" s="460"/>
      <c r="AA37" s="460"/>
      <c r="AB37" s="460"/>
      <c r="AC37" s="460"/>
      <c r="AD37" s="461"/>
      <c r="AG37" s="94"/>
      <c r="AH37" s="94"/>
      <c r="AI37" s="94"/>
      <c r="AJ37" s="94"/>
      <c r="AK37" s="94"/>
      <c r="AL37" s="94"/>
      <c r="AM37" s="94"/>
      <c r="AN37" s="94"/>
      <c r="AO37" s="94"/>
    </row>
    <row r="38" spans="1:41" ht="46.5" customHeight="1" x14ac:dyDescent="0.25">
      <c r="A38" s="772" t="s">
        <v>97</v>
      </c>
      <c r="B38" s="774">
        <v>0.08</v>
      </c>
      <c r="C38" s="337" t="s">
        <v>64</v>
      </c>
      <c r="D38" s="370">
        <v>0</v>
      </c>
      <c r="E38" s="370">
        <v>0.06</v>
      </c>
      <c r="F38" s="371">
        <v>0.105</v>
      </c>
      <c r="G38" s="371">
        <v>0.105</v>
      </c>
      <c r="H38" s="371">
        <v>0.105</v>
      </c>
      <c r="I38" s="371">
        <v>0.105</v>
      </c>
      <c r="J38" s="371">
        <v>0.105</v>
      </c>
      <c r="K38" s="371">
        <v>0.105</v>
      </c>
      <c r="L38" s="371">
        <v>0.105</v>
      </c>
      <c r="M38" s="371">
        <v>0.105</v>
      </c>
      <c r="N38" s="371">
        <v>0.1</v>
      </c>
      <c r="O38" s="333">
        <v>0</v>
      </c>
      <c r="P38" s="334">
        <f t="shared" ref="P38:P43" si="0">SUM(D38:O38)</f>
        <v>0.99999999999999989</v>
      </c>
      <c r="Q38" s="776" t="s">
        <v>578</v>
      </c>
      <c r="R38" s="777"/>
      <c r="S38" s="777"/>
      <c r="T38" s="777"/>
      <c r="U38" s="777"/>
      <c r="V38" s="777"/>
      <c r="W38" s="777"/>
      <c r="X38" s="777"/>
      <c r="Y38" s="777"/>
      <c r="Z38" s="777"/>
      <c r="AA38" s="777"/>
      <c r="AB38" s="777"/>
      <c r="AC38" s="777"/>
      <c r="AD38" s="778"/>
      <c r="AE38" s="97"/>
      <c r="AG38" s="98"/>
      <c r="AH38" s="98"/>
      <c r="AI38" s="98"/>
      <c r="AJ38" s="98"/>
      <c r="AK38" s="98"/>
      <c r="AL38" s="98"/>
      <c r="AM38" s="98"/>
      <c r="AN38" s="98"/>
      <c r="AO38" s="98"/>
    </row>
    <row r="39" spans="1:41" ht="46.5" customHeight="1" x14ac:dyDescent="0.25">
      <c r="A39" s="773"/>
      <c r="B39" s="775"/>
      <c r="C39" s="212" t="s">
        <v>68</v>
      </c>
      <c r="D39" s="274"/>
      <c r="E39" s="270">
        <v>0.06</v>
      </c>
      <c r="F39" s="270">
        <v>0.105</v>
      </c>
      <c r="G39" s="270">
        <v>0.14611111099999999</v>
      </c>
      <c r="H39" s="383">
        <v>0.105</v>
      </c>
      <c r="I39" s="383">
        <v>0.105</v>
      </c>
      <c r="J39" s="383" t="s">
        <v>159</v>
      </c>
      <c r="K39" s="100"/>
      <c r="L39" s="100"/>
      <c r="M39" s="100"/>
      <c r="N39" s="100"/>
      <c r="O39" s="100"/>
      <c r="P39" s="250">
        <f t="shared" si="0"/>
        <v>0.52111111099999996</v>
      </c>
      <c r="Q39" s="779"/>
      <c r="R39" s="780"/>
      <c r="S39" s="780"/>
      <c r="T39" s="780"/>
      <c r="U39" s="780"/>
      <c r="V39" s="780"/>
      <c r="W39" s="780"/>
      <c r="X39" s="780"/>
      <c r="Y39" s="780"/>
      <c r="Z39" s="780"/>
      <c r="AA39" s="780"/>
      <c r="AB39" s="780"/>
      <c r="AC39" s="780"/>
      <c r="AD39" s="781"/>
      <c r="AE39" s="97"/>
    </row>
    <row r="40" spans="1:41" ht="46.5" customHeight="1" x14ac:dyDescent="0.25">
      <c r="A40" s="782" t="s">
        <v>99</v>
      </c>
      <c r="B40" s="783">
        <v>7.0000000000000007E-2</v>
      </c>
      <c r="C40" s="213" t="s">
        <v>64</v>
      </c>
      <c r="D40" s="368">
        <v>0</v>
      </c>
      <c r="E40" s="369">
        <v>9.5000000000000001E-2</v>
      </c>
      <c r="F40" s="369">
        <v>9.5000000000000001E-2</v>
      </c>
      <c r="G40" s="369">
        <v>9.5000000000000001E-2</v>
      </c>
      <c r="H40" s="369">
        <v>9.5000000000000001E-2</v>
      </c>
      <c r="I40" s="369">
        <v>9.5000000000000001E-2</v>
      </c>
      <c r="J40" s="369">
        <v>9.5000000000000001E-2</v>
      </c>
      <c r="K40" s="207">
        <v>9.5000000000000001E-2</v>
      </c>
      <c r="L40" s="207">
        <v>9.5000000000000001E-2</v>
      </c>
      <c r="M40" s="207">
        <v>9.5000000000000001E-2</v>
      </c>
      <c r="N40" s="207">
        <v>9.5000000000000001E-2</v>
      </c>
      <c r="O40" s="207">
        <v>0.05</v>
      </c>
      <c r="P40" s="250">
        <f t="shared" si="0"/>
        <v>0.99999999999999989</v>
      </c>
      <c r="Q40" s="776" t="s">
        <v>160</v>
      </c>
      <c r="R40" s="777"/>
      <c r="S40" s="777"/>
      <c r="T40" s="777"/>
      <c r="U40" s="777"/>
      <c r="V40" s="777"/>
      <c r="W40" s="777"/>
      <c r="X40" s="777"/>
      <c r="Y40" s="777"/>
      <c r="Z40" s="777"/>
      <c r="AA40" s="777"/>
      <c r="AB40" s="777"/>
      <c r="AC40" s="777"/>
      <c r="AD40" s="778"/>
      <c r="AE40" s="97"/>
    </row>
    <row r="41" spans="1:41" ht="46.5" customHeight="1" x14ac:dyDescent="0.25">
      <c r="A41" s="773"/>
      <c r="B41" s="775"/>
      <c r="C41" s="212" t="s">
        <v>68</v>
      </c>
      <c r="D41" s="274"/>
      <c r="E41" s="270">
        <v>9.5000000000000001E-2</v>
      </c>
      <c r="F41" s="270">
        <v>9.5000000000000001E-2</v>
      </c>
      <c r="G41" s="270">
        <v>9.5000000000000001E-2</v>
      </c>
      <c r="H41" s="383">
        <v>9.5000000000000001E-2</v>
      </c>
      <c r="I41" s="383">
        <v>9.5000000000000001E-2</v>
      </c>
      <c r="J41" s="383">
        <v>9.5000000000000001E-2</v>
      </c>
      <c r="K41" s="100"/>
      <c r="L41" s="100"/>
      <c r="M41" s="100"/>
      <c r="N41" s="100"/>
      <c r="O41" s="100"/>
      <c r="P41" s="250">
        <f t="shared" si="0"/>
        <v>0.56999999999999995</v>
      </c>
      <c r="Q41" s="779"/>
      <c r="R41" s="780"/>
      <c r="S41" s="780"/>
      <c r="T41" s="780"/>
      <c r="U41" s="780"/>
      <c r="V41" s="780"/>
      <c r="W41" s="780"/>
      <c r="X41" s="780"/>
      <c r="Y41" s="780"/>
      <c r="Z41" s="780"/>
      <c r="AA41" s="780"/>
      <c r="AB41" s="780"/>
      <c r="AC41" s="780"/>
      <c r="AD41" s="781"/>
      <c r="AE41" s="97"/>
    </row>
    <row r="42" spans="1:41" ht="46.5" customHeight="1" x14ac:dyDescent="0.25">
      <c r="A42" s="603" t="s">
        <v>101</v>
      </c>
      <c r="B42" s="784">
        <v>0.05</v>
      </c>
      <c r="C42" s="213" t="s">
        <v>64</v>
      </c>
      <c r="D42" s="368">
        <v>0</v>
      </c>
      <c r="E42" s="368">
        <v>0.17</v>
      </c>
      <c r="F42" s="369">
        <v>0</v>
      </c>
      <c r="G42" s="369">
        <v>0.16600000000000001</v>
      </c>
      <c r="H42" s="369">
        <v>0</v>
      </c>
      <c r="I42" s="369">
        <v>0.16600000000000001</v>
      </c>
      <c r="J42" s="369">
        <v>0</v>
      </c>
      <c r="K42" s="207">
        <v>0.16600000000000001</v>
      </c>
      <c r="L42" s="207">
        <v>0</v>
      </c>
      <c r="M42" s="207">
        <v>0.16600000000000001</v>
      </c>
      <c r="N42" s="207">
        <v>0</v>
      </c>
      <c r="O42" s="207">
        <v>0.16600000000000001</v>
      </c>
      <c r="P42" s="250">
        <f>SUM(D42:O42)</f>
        <v>1</v>
      </c>
      <c r="Q42" s="766" t="s">
        <v>161</v>
      </c>
      <c r="R42" s="767"/>
      <c r="S42" s="767"/>
      <c r="T42" s="767"/>
      <c r="U42" s="767"/>
      <c r="V42" s="767"/>
      <c r="W42" s="767"/>
      <c r="X42" s="767"/>
      <c r="Y42" s="767"/>
      <c r="Z42" s="767"/>
      <c r="AA42" s="767"/>
      <c r="AB42" s="767"/>
      <c r="AC42" s="767"/>
      <c r="AD42" s="768"/>
      <c r="AE42" s="97"/>
    </row>
    <row r="43" spans="1:41" ht="46.5" customHeight="1" x14ac:dyDescent="0.25">
      <c r="A43" s="604"/>
      <c r="B43" s="785"/>
      <c r="C43" s="267" t="s">
        <v>68</v>
      </c>
      <c r="D43" s="372"/>
      <c r="E43" s="372">
        <v>0.17</v>
      </c>
      <c r="F43" s="373">
        <v>0</v>
      </c>
      <c r="G43" s="373">
        <v>0.16600000000000001</v>
      </c>
      <c r="H43" s="372">
        <v>0</v>
      </c>
      <c r="I43" s="373">
        <v>0.16600000000000001</v>
      </c>
      <c r="J43" s="373">
        <v>0</v>
      </c>
      <c r="K43" s="105"/>
      <c r="L43" s="105"/>
      <c r="M43" s="105"/>
      <c r="N43" s="105"/>
      <c r="O43" s="105"/>
      <c r="P43" s="251">
        <f t="shared" si="0"/>
        <v>0.502</v>
      </c>
      <c r="Q43" s="769"/>
      <c r="R43" s="770"/>
      <c r="S43" s="770"/>
      <c r="T43" s="770"/>
      <c r="U43" s="770"/>
      <c r="V43" s="770"/>
      <c r="W43" s="770"/>
      <c r="X43" s="770"/>
      <c r="Y43" s="770"/>
      <c r="Z43" s="770"/>
      <c r="AA43" s="770"/>
      <c r="AB43" s="770"/>
      <c r="AC43" s="770"/>
      <c r="AD43" s="771"/>
      <c r="AE43" s="97"/>
    </row>
    <row r="44" spans="1:41" x14ac:dyDescent="0.25">
      <c r="A44" s="50" t="s">
        <v>90</v>
      </c>
      <c r="AF44" s="375"/>
    </row>
    <row r="45" spans="1:41" x14ac:dyDescent="0.25">
      <c r="AE45" s="374"/>
    </row>
    <row r="46" spans="1:41" x14ac:dyDescent="0.25"/>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 xml:space="preserve">13. Implementar los talleres de cambio cultural </v>
      </c>
      <c r="B57" s="597">
        <f>B38</f>
        <v>0.08</v>
      </c>
      <c r="C57" s="218" t="s">
        <v>64</v>
      </c>
      <c r="D57" s="219">
        <f>D38*$B$38/$P$38</f>
        <v>0</v>
      </c>
      <c r="E57" s="219">
        <f t="shared" ref="D57:O58" si="1">E38*$B$38/$P$38</f>
        <v>4.8000000000000004E-3</v>
      </c>
      <c r="F57" s="219">
        <f t="shared" si="1"/>
        <v>8.4000000000000012E-3</v>
      </c>
      <c r="G57" s="219">
        <f t="shared" si="1"/>
        <v>8.4000000000000012E-3</v>
      </c>
      <c r="H57" s="219">
        <f t="shared" si="1"/>
        <v>8.4000000000000012E-3</v>
      </c>
      <c r="I57" s="219">
        <f t="shared" si="1"/>
        <v>8.4000000000000012E-3</v>
      </c>
      <c r="J57" s="219">
        <f t="shared" si="1"/>
        <v>8.4000000000000012E-3</v>
      </c>
      <c r="K57" s="219">
        <f t="shared" si="1"/>
        <v>8.4000000000000012E-3</v>
      </c>
      <c r="L57" s="219">
        <f t="shared" si="1"/>
        <v>8.4000000000000012E-3</v>
      </c>
      <c r="M57" s="219">
        <f t="shared" si="1"/>
        <v>8.4000000000000012E-3</v>
      </c>
      <c r="N57" s="219">
        <f t="shared" si="1"/>
        <v>8.0000000000000019E-3</v>
      </c>
      <c r="O57" s="219">
        <f t="shared" si="1"/>
        <v>0</v>
      </c>
      <c r="P57" s="220">
        <f t="shared" ref="P57:P62" si="2">SUM(D57:O57)</f>
        <v>8.0000000000000029E-2</v>
      </c>
      <c r="Q57" s="221">
        <v>0.05</v>
      </c>
      <c r="R57" s="222">
        <f t="shared" ref="R57:R65" si="3">+P57-Q57</f>
        <v>3.0000000000000027E-2</v>
      </c>
      <c r="S57" s="216"/>
      <c r="T57" s="216"/>
      <c r="U57" s="216"/>
      <c r="V57" s="216"/>
      <c r="W57" s="216"/>
      <c r="X57" s="216"/>
      <c r="Y57" s="216"/>
      <c r="Z57" s="216"/>
      <c r="AA57" s="216"/>
      <c r="AB57" s="216"/>
      <c r="AC57" s="216"/>
      <c r="AD57" s="216"/>
    </row>
    <row r="58" spans="1:30" x14ac:dyDescent="0.25">
      <c r="A58" s="596"/>
      <c r="B58" s="598"/>
      <c r="C58" s="223" t="s">
        <v>68</v>
      </c>
      <c r="D58" s="224">
        <f t="shared" si="1"/>
        <v>0</v>
      </c>
      <c r="E58" s="224">
        <f t="shared" si="1"/>
        <v>4.8000000000000004E-3</v>
      </c>
      <c r="F58" s="224">
        <f t="shared" si="1"/>
        <v>8.4000000000000012E-3</v>
      </c>
      <c r="G58" s="224">
        <f t="shared" si="1"/>
        <v>1.1688888880000001E-2</v>
      </c>
      <c r="H58" s="224">
        <f t="shared" si="1"/>
        <v>8.4000000000000012E-3</v>
      </c>
      <c r="I58" s="224">
        <f t="shared" si="1"/>
        <v>8.4000000000000012E-3</v>
      </c>
      <c r="J58" s="224" t="e">
        <f t="shared" si="1"/>
        <v>#VALUE!</v>
      </c>
      <c r="K58" s="224">
        <f t="shared" si="1"/>
        <v>0</v>
      </c>
      <c r="L58" s="224">
        <f t="shared" si="1"/>
        <v>0</v>
      </c>
      <c r="M58" s="224">
        <f t="shared" si="1"/>
        <v>0</v>
      </c>
      <c r="N58" s="224">
        <f t="shared" si="1"/>
        <v>0</v>
      </c>
      <c r="O58" s="224">
        <f t="shared" si="1"/>
        <v>0</v>
      </c>
      <c r="P58" s="225" t="e">
        <f t="shared" si="2"/>
        <v>#VALUE!</v>
      </c>
      <c r="Q58" s="226" t="e">
        <f>+P58</f>
        <v>#VALUE!</v>
      </c>
      <c r="R58" s="222" t="e">
        <f t="shared" si="3"/>
        <v>#VALUE!</v>
      </c>
      <c r="S58" s="216"/>
      <c r="T58" s="216"/>
      <c r="U58" s="216"/>
      <c r="V58" s="216"/>
      <c r="W58" s="216"/>
      <c r="X58" s="216"/>
      <c r="Y58" s="216"/>
      <c r="Z58" s="216"/>
      <c r="AA58" s="216"/>
      <c r="AB58" s="216"/>
      <c r="AC58" s="216"/>
      <c r="AD58" s="216"/>
    </row>
    <row r="59" spans="1:30" x14ac:dyDescent="0.25">
      <c r="A59" s="595" t="str">
        <f>A40</f>
        <v>14. Implementar la Red de Alianzas del Cuidado</v>
      </c>
      <c r="B59" s="623">
        <f>B40</f>
        <v>7.0000000000000007E-2</v>
      </c>
      <c r="C59" s="218" t="s">
        <v>64</v>
      </c>
      <c r="D59" s="219">
        <f t="shared" ref="D59:O60" si="4">D40*$B$40/$P$40</f>
        <v>0</v>
      </c>
      <c r="E59" s="219">
        <f t="shared" si="4"/>
        <v>6.6500000000000014E-3</v>
      </c>
      <c r="F59" s="219">
        <f t="shared" si="4"/>
        <v>6.6500000000000014E-3</v>
      </c>
      <c r="G59" s="219">
        <f t="shared" si="4"/>
        <v>6.6500000000000014E-3</v>
      </c>
      <c r="H59" s="219">
        <f t="shared" si="4"/>
        <v>6.6500000000000014E-3</v>
      </c>
      <c r="I59" s="219">
        <f t="shared" si="4"/>
        <v>6.6500000000000014E-3</v>
      </c>
      <c r="J59" s="219">
        <f t="shared" si="4"/>
        <v>6.6500000000000014E-3</v>
      </c>
      <c r="K59" s="219">
        <f t="shared" si="4"/>
        <v>6.6500000000000014E-3</v>
      </c>
      <c r="L59" s="219">
        <f t="shared" si="4"/>
        <v>6.6500000000000014E-3</v>
      </c>
      <c r="M59" s="219">
        <f t="shared" si="4"/>
        <v>6.6500000000000014E-3</v>
      </c>
      <c r="N59" s="219">
        <f t="shared" si="4"/>
        <v>6.6500000000000014E-3</v>
      </c>
      <c r="O59" s="219">
        <f t="shared" si="4"/>
        <v>3.5000000000000009E-3</v>
      </c>
      <c r="P59" s="220">
        <f t="shared" si="2"/>
        <v>7.0000000000000021E-2</v>
      </c>
      <c r="Q59" s="221">
        <v>2.5000000000000001E-2</v>
      </c>
      <c r="R59" s="222">
        <f t="shared" si="3"/>
        <v>4.5000000000000019E-2</v>
      </c>
      <c r="S59" s="216"/>
      <c r="T59" s="216"/>
      <c r="U59" s="216"/>
      <c r="V59" s="216"/>
      <c r="W59" s="216"/>
      <c r="X59" s="216"/>
      <c r="Y59" s="216"/>
      <c r="Z59" s="216"/>
      <c r="AA59" s="216"/>
      <c r="AB59" s="216"/>
      <c r="AC59" s="216"/>
      <c r="AD59" s="216"/>
    </row>
    <row r="60" spans="1:30" x14ac:dyDescent="0.25">
      <c r="A60" s="622"/>
      <c r="B60" s="624"/>
      <c r="C60" s="223" t="s">
        <v>68</v>
      </c>
      <c r="D60" s="224">
        <f t="shared" si="4"/>
        <v>0</v>
      </c>
      <c r="E60" s="224">
        <f t="shared" si="4"/>
        <v>6.6500000000000014E-3</v>
      </c>
      <c r="F60" s="224">
        <f t="shared" si="4"/>
        <v>6.6500000000000014E-3</v>
      </c>
      <c r="G60" s="224">
        <f t="shared" si="4"/>
        <v>6.6500000000000014E-3</v>
      </c>
      <c r="H60" s="224">
        <f t="shared" si="4"/>
        <v>6.6500000000000014E-3</v>
      </c>
      <c r="I60" s="224">
        <f t="shared" si="4"/>
        <v>6.6500000000000014E-3</v>
      </c>
      <c r="J60" s="224">
        <f t="shared" si="4"/>
        <v>6.6500000000000014E-3</v>
      </c>
      <c r="K60" s="224">
        <f t="shared" si="4"/>
        <v>0</v>
      </c>
      <c r="L60" s="224">
        <f t="shared" si="4"/>
        <v>0</v>
      </c>
      <c r="M60" s="224">
        <f t="shared" si="4"/>
        <v>0</v>
      </c>
      <c r="N60" s="224">
        <f t="shared" si="4"/>
        <v>0</v>
      </c>
      <c r="O60" s="224">
        <f t="shared" si="4"/>
        <v>0</v>
      </c>
      <c r="P60" s="225">
        <f t="shared" si="2"/>
        <v>3.9900000000000012E-2</v>
      </c>
      <c r="Q60" s="226">
        <f>+P60</f>
        <v>3.9900000000000012E-2</v>
      </c>
      <c r="R60" s="222">
        <f t="shared" si="3"/>
        <v>0</v>
      </c>
      <c r="S60" s="216"/>
      <c r="T60" s="216"/>
      <c r="U60" s="216"/>
      <c r="V60" s="216"/>
      <c r="W60" s="216"/>
      <c r="X60" s="216"/>
      <c r="Y60" s="216"/>
      <c r="Z60" s="216"/>
      <c r="AA60" s="216"/>
      <c r="AB60" s="216"/>
      <c r="AC60" s="216"/>
      <c r="AD60" s="216"/>
    </row>
    <row r="61" spans="1:30" x14ac:dyDescent="0.25">
      <c r="A61" s="595" t="str">
        <f>A42</f>
        <v>15. Convocar y gestionar las sesiones de la Mesa de Transformación Cultural de la Unidad Técnica de Apoyo de la Comisión Intersectorial del Sistema de Cuidado</v>
      </c>
      <c r="B61" s="623">
        <f>B42</f>
        <v>0.05</v>
      </c>
      <c r="C61" s="218" t="s">
        <v>64</v>
      </c>
      <c r="D61" s="219">
        <f t="shared" ref="D61:O62" si="5">D42*$B$42/$P$42</f>
        <v>0</v>
      </c>
      <c r="E61" s="219">
        <f t="shared" si="5"/>
        <v>8.5000000000000006E-3</v>
      </c>
      <c r="F61" s="219">
        <f t="shared" si="5"/>
        <v>0</v>
      </c>
      <c r="G61" s="219">
        <f t="shared" si="5"/>
        <v>8.3000000000000001E-3</v>
      </c>
      <c r="H61" s="219">
        <f t="shared" si="5"/>
        <v>0</v>
      </c>
      <c r="I61" s="219">
        <f t="shared" si="5"/>
        <v>8.3000000000000001E-3</v>
      </c>
      <c r="J61" s="219">
        <f t="shared" si="5"/>
        <v>0</v>
      </c>
      <c r="K61" s="219">
        <f t="shared" si="5"/>
        <v>8.3000000000000001E-3</v>
      </c>
      <c r="L61" s="219">
        <f t="shared" si="5"/>
        <v>0</v>
      </c>
      <c r="M61" s="219">
        <f t="shared" si="5"/>
        <v>8.3000000000000001E-3</v>
      </c>
      <c r="N61" s="219">
        <f t="shared" si="5"/>
        <v>0</v>
      </c>
      <c r="O61" s="219">
        <f t="shared" si="5"/>
        <v>8.3000000000000001E-3</v>
      </c>
      <c r="P61" s="220">
        <f t="shared" si="2"/>
        <v>5.000000000000001E-2</v>
      </c>
      <c r="Q61" s="221">
        <v>2.5000000000000001E-2</v>
      </c>
      <c r="R61" s="222">
        <f t="shared" si="3"/>
        <v>2.5000000000000008E-2</v>
      </c>
      <c r="S61" s="216"/>
      <c r="T61" s="216"/>
      <c r="U61" s="216"/>
      <c r="V61" s="216"/>
      <c r="W61" s="216"/>
      <c r="X61" s="216"/>
      <c r="Y61" s="216"/>
      <c r="Z61" s="216"/>
      <c r="AA61" s="216"/>
      <c r="AB61" s="216"/>
      <c r="AC61" s="216"/>
      <c r="AD61" s="216"/>
    </row>
    <row r="62" spans="1:30" x14ac:dyDescent="0.25">
      <c r="A62" s="622"/>
      <c r="B62" s="624"/>
      <c r="C62" s="223" t="s">
        <v>68</v>
      </c>
      <c r="D62" s="224">
        <f t="shared" si="5"/>
        <v>0</v>
      </c>
      <c r="E62" s="224">
        <f t="shared" si="5"/>
        <v>8.5000000000000006E-3</v>
      </c>
      <c r="F62" s="224">
        <f t="shared" si="5"/>
        <v>0</v>
      </c>
      <c r="G62" s="224">
        <f t="shared" si="5"/>
        <v>8.3000000000000001E-3</v>
      </c>
      <c r="H62" s="224">
        <f t="shared" si="5"/>
        <v>0</v>
      </c>
      <c r="I62" s="224">
        <f t="shared" si="5"/>
        <v>8.3000000000000001E-3</v>
      </c>
      <c r="J62" s="224">
        <f t="shared" si="5"/>
        <v>0</v>
      </c>
      <c r="K62" s="224">
        <f t="shared" si="5"/>
        <v>0</v>
      </c>
      <c r="L62" s="224">
        <f t="shared" si="5"/>
        <v>0</v>
      </c>
      <c r="M62" s="224">
        <f t="shared" si="5"/>
        <v>0</v>
      </c>
      <c r="N62" s="224">
        <f t="shared" si="5"/>
        <v>0</v>
      </c>
      <c r="O62" s="224">
        <f t="shared" si="5"/>
        <v>0</v>
      </c>
      <c r="P62" s="225">
        <f t="shared" si="2"/>
        <v>2.5100000000000004E-2</v>
      </c>
      <c r="Q62" s="226">
        <f>+P62</f>
        <v>2.5100000000000004E-2</v>
      </c>
      <c r="R62" s="222">
        <f t="shared" si="3"/>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6">E58+E60+E62</f>
        <v>1.9950000000000002E-2</v>
      </c>
      <c r="F65" s="237">
        <f t="shared" si="6"/>
        <v>1.5050000000000003E-2</v>
      </c>
      <c r="G65" s="237">
        <f t="shared" si="6"/>
        <v>2.6638888880000003E-2</v>
      </c>
      <c r="H65" s="237">
        <f t="shared" si="6"/>
        <v>1.5050000000000003E-2</v>
      </c>
      <c r="I65" s="237">
        <f t="shared" si="6"/>
        <v>2.3350000000000003E-2</v>
      </c>
      <c r="J65" s="237" t="e">
        <f t="shared" si="6"/>
        <v>#VALUE!</v>
      </c>
      <c r="K65" s="237">
        <f t="shared" si="6"/>
        <v>0</v>
      </c>
      <c r="L65" s="237">
        <f t="shared" si="6"/>
        <v>0</v>
      </c>
      <c r="M65" s="237">
        <f t="shared" si="6"/>
        <v>0</v>
      </c>
      <c r="N65" s="237">
        <f t="shared" si="6"/>
        <v>0</v>
      </c>
      <c r="O65" s="237">
        <f t="shared" si="6"/>
        <v>0</v>
      </c>
      <c r="P65" s="237" t="e">
        <f>P58+P60+P62</f>
        <v>#VALUE!</v>
      </c>
      <c r="Q65" s="215"/>
      <c r="R65" s="222" t="e">
        <f t="shared" si="3"/>
        <v>#VALUE!</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7">E65*$W$17/$B$34</f>
        <v>9.9750000000000005E-2</v>
      </c>
      <c r="F66" s="240">
        <f t="shared" si="7"/>
        <v>7.5250000000000011E-2</v>
      </c>
      <c r="G66" s="240">
        <f t="shared" si="7"/>
        <v>0.1331944444</v>
      </c>
      <c r="H66" s="240">
        <f t="shared" si="7"/>
        <v>7.5250000000000011E-2</v>
      </c>
      <c r="I66" s="240">
        <f t="shared" si="7"/>
        <v>0.11675000000000001</v>
      </c>
      <c r="J66" s="240" t="e">
        <f t="shared" si="7"/>
        <v>#VALUE!</v>
      </c>
      <c r="K66" s="240">
        <f t="shared" si="7"/>
        <v>0</v>
      </c>
      <c r="L66" s="240">
        <f t="shared" si="7"/>
        <v>0</v>
      </c>
      <c r="M66" s="240">
        <f t="shared" si="7"/>
        <v>0</v>
      </c>
      <c r="N66" s="240">
        <f t="shared" si="7"/>
        <v>0</v>
      </c>
      <c r="O66" s="240">
        <f t="shared" si="7"/>
        <v>0</v>
      </c>
      <c r="P66" s="241" t="e">
        <f>SUM(D66:O66)</f>
        <v>#VALUE!</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8">+D57+D59+D61</f>
        <v>0</v>
      </c>
      <c r="E68" s="237">
        <f t="shared" si="8"/>
        <v>1.9950000000000002E-2</v>
      </c>
      <c r="F68" s="237">
        <f t="shared" si="8"/>
        <v>1.5050000000000003E-2</v>
      </c>
      <c r="G68" s="237">
        <f t="shared" si="8"/>
        <v>2.3350000000000003E-2</v>
      </c>
      <c r="H68" s="237">
        <f t="shared" si="8"/>
        <v>1.5050000000000003E-2</v>
      </c>
      <c r="I68" s="237">
        <f t="shared" si="8"/>
        <v>2.3350000000000003E-2</v>
      </c>
      <c r="J68" s="237">
        <f t="shared" si="8"/>
        <v>1.5050000000000003E-2</v>
      </c>
      <c r="K68" s="237">
        <f t="shared" si="8"/>
        <v>2.3350000000000003E-2</v>
      </c>
      <c r="L68" s="237">
        <f t="shared" si="8"/>
        <v>1.5050000000000003E-2</v>
      </c>
      <c r="M68" s="237">
        <f t="shared" si="8"/>
        <v>2.3350000000000003E-2</v>
      </c>
      <c r="N68" s="237">
        <f t="shared" si="8"/>
        <v>1.4650000000000003E-2</v>
      </c>
      <c r="O68" s="237">
        <f t="shared" si="8"/>
        <v>1.1800000000000001E-2</v>
      </c>
      <c r="P68" s="237">
        <f t="shared" si="8"/>
        <v>0.20000000000000007</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9">D68*$W$17/$B$34</f>
        <v>0</v>
      </c>
      <c r="E69" s="240">
        <f t="shared" si="9"/>
        <v>9.9750000000000005E-2</v>
      </c>
      <c r="F69" s="240">
        <f t="shared" si="9"/>
        <v>7.5250000000000011E-2</v>
      </c>
      <c r="G69" s="240">
        <f t="shared" si="9"/>
        <v>0.11675000000000001</v>
      </c>
      <c r="H69" s="240">
        <f t="shared" si="9"/>
        <v>7.5250000000000011E-2</v>
      </c>
      <c r="I69" s="240">
        <f t="shared" si="9"/>
        <v>0.11675000000000001</v>
      </c>
      <c r="J69" s="240">
        <f t="shared" si="9"/>
        <v>7.5250000000000011E-2</v>
      </c>
      <c r="K69" s="240">
        <f t="shared" si="9"/>
        <v>0.11675000000000001</v>
      </c>
      <c r="L69" s="240">
        <f t="shared" si="9"/>
        <v>7.5250000000000011E-2</v>
      </c>
      <c r="M69" s="240">
        <f t="shared" si="9"/>
        <v>0.11675000000000001</v>
      </c>
      <c r="N69" s="240">
        <f t="shared" si="9"/>
        <v>7.325000000000001E-2</v>
      </c>
      <c r="O69" s="240">
        <f t="shared" si="9"/>
        <v>5.9000000000000004E-2</v>
      </c>
      <c r="P69" s="241">
        <f>SUM(D69:O69)</f>
        <v>1.0000000000000002</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sheetData>
  <mergeCells count="89">
    <mergeCell ref="A61:A62"/>
    <mergeCell ref="B61:B62"/>
    <mergeCell ref="A55:A56"/>
    <mergeCell ref="B55:B56"/>
    <mergeCell ref="C55:P55"/>
    <mergeCell ref="A57:A58"/>
    <mergeCell ref="B57:B58"/>
    <mergeCell ref="A59:A60"/>
    <mergeCell ref="B59:B60"/>
    <mergeCell ref="AA34:AD35"/>
    <mergeCell ref="Q42:AD43"/>
    <mergeCell ref="A38:A39"/>
    <mergeCell ref="B38:B39"/>
    <mergeCell ref="Q38:AD39"/>
    <mergeCell ref="A40:A41"/>
    <mergeCell ref="B40:B41"/>
    <mergeCell ref="Q40:AD41"/>
    <mergeCell ref="A42:A43"/>
    <mergeCell ref="B42:B43"/>
    <mergeCell ref="A34:A35"/>
    <mergeCell ref="B34:B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EA99FED2-778D-4D3F-B00E-3D0C4612656A}">
      <formula1>$C$21:$N$21</formula1>
    </dataValidation>
    <dataValidation type="textLength" operator="lessThanOrEqual" allowBlank="1" showInputMessage="1" showErrorMessage="1" errorTitle="Máximo 2.000 caracteres" error="Máximo 2.000 caracteres" promptTitle="2.000 caracteres" sqref="Q30:AD30" xr:uid="{9EFC8495-C6E2-504B-9B00-1541B1E4A74A}">
      <formula1>2000</formula1>
    </dataValidation>
    <dataValidation type="textLength" operator="lessThanOrEqual" allowBlank="1" showInputMessage="1" showErrorMessage="1" errorTitle="Máximo 2.000 caracteres" error="Máximo 2.000 caracteres" sqref="AA34 Q34 W34 P46:AC47 Q38:AD43" xr:uid="{E390E226-0307-9046-BAA4-9AC9741F4FB0}">
      <formula1>2000</formula1>
    </dataValidation>
  </dataValidations>
  <pageMargins left="0.25" right="0.25" top="0.75" bottom="0.75" header="0.3" footer="0.3"/>
  <pageSetup scale="2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A77"/>
  <sheetViews>
    <sheetView showGridLines="0" topLeftCell="Q20" zoomScale="65" zoomScaleNormal="65" workbookViewId="0">
      <selection activeCell="X25" sqref="X2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5.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75"/>
      <c r="B1" s="563" t="s">
        <v>0</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c r="AB1" s="560" t="s">
        <v>1</v>
      </c>
      <c r="AC1" s="561"/>
      <c r="AD1" s="562"/>
    </row>
    <row r="2" spans="1:53" ht="30.75" customHeight="1" thickBot="1" x14ac:dyDescent="0.3">
      <c r="A2" s="576"/>
      <c r="B2" s="563" t="s">
        <v>2</v>
      </c>
      <c r="C2" s="564"/>
      <c r="D2" s="564"/>
      <c r="E2" s="564"/>
      <c r="F2" s="564"/>
      <c r="G2" s="564"/>
      <c r="H2" s="564"/>
      <c r="I2" s="564"/>
      <c r="J2" s="564"/>
      <c r="K2" s="564"/>
      <c r="L2" s="564"/>
      <c r="M2" s="564"/>
      <c r="N2" s="564"/>
      <c r="O2" s="564"/>
      <c r="P2" s="564"/>
      <c r="Q2" s="564"/>
      <c r="R2" s="564"/>
      <c r="S2" s="564"/>
      <c r="T2" s="564"/>
      <c r="U2" s="564"/>
      <c r="V2" s="564"/>
      <c r="W2" s="564"/>
      <c r="X2" s="564"/>
      <c r="Y2" s="564"/>
      <c r="Z2" s="564"/>
      <c r="AA2" s="565"/>
      <c r="AB2" s="566" t="s">
        <v>3</v>
      </c>
      <c r="AC2" s="567"/>
      <c r="AD2" s="568"/>
    </row>
    <row r="3" spans="1:53" ht="24" customHeight="1" x14ac:dyDescent="0.25">
      <c r="A3" s="576"/>
      <c r="B3" s="569" t="s">
        <v>4</v>
      </c>
      <c r="C3" s="476"/>
      <c r="D3" s="476"/>
      <c r="E3" s="476"/>
      <c r="F3" s="476"/>
      <c r="G3" s="476"/>
      <c r="H3" s="476"/>
      <c r="I3" s="476"/>
      <c r="J3" s="476"/>
      <c r="K3" s="476"/>
      <c r="L3" s="476"/>
      <c r="M3" s="476"/>
      <c r="N3" s="476"/>
      <c r="O3" s="476"/>
      <c r="P3" s="476"/>
      <c r="Q3" s="476"/>
      <c r="R3" s="476"/>
      <c r="S3" s="476"/>
      <c r="T3" s="476"/>
      <c r="U3" s="476"/>
      <c r="V3" s="476"/>
      <c r="W3" s="476"/>
      <c r="X3" s="476"/>
      <c r="Y3" s="476"/>
      <c r="Z3" s="476"/>
      <c r="AA3" s="477"/>
      <c r="AB3" s="566" t="s">
        <v>5</v>
      </c>
      <c r="AC3" s="567"/>
      <c r="AD3" s="568"/>
    </row>
    <row r="4" spans="1:53" ht="21.95" customHeight="1" thickBot="1" x14ac:dyDescent="0.3">
      <c r="A4" s="577"/>
      <c r="B4" s="570"/>
      <c r="C4" s="465"/>
      <c r="D4" s="465"/>
      <c r="E4" s="465"/>
      <c r="F4" s="465"/>
      <c r="G4" s="465"/>
      <c r="H4" s="465"/>
      <c r="I4" s="465"/>
      <c r="J4" s="465"/>
      <c r="K4" s="465"/>
      <c r="L4" s="465"/>
      <c r="M4" s="465"/>
      <c r="N4" s="465"/>
      <c r="O4" s="465"/>
      <c r="P4" s="465"/>
      <c r="Q4" s="465"/>
      <c r="R4" s="465"/>
      <c r="S4" s="465"/>
      <c r="T4" s="465"/>
      <c r="U4" s="465"/>
      <c r="V4" s="465"/>
      <c r="W4" s="465"/>
      <c r="X4" s="465"/>
      <c r="Y4" s="465"/>
      <c r="Z4" s="465"/>
      <c r="AA4" s="571"/>
      <c r="AB4" s="572" t="s">
        <v>6</v>
      </c>
      <c r="AC4" s="573"/>
      <c r="AD4" s="574"/>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27" t="s">
        <v>7</v>
      </c>
      <c r="B7" s="528"/>
      <c r="C7" s="542" t="s">
        <v>36</v>
      </c>
      <c r="D7" s="527" t="s">
        <v>9</v>
      </c>
      <c r="E7" s="545"/>
      <c r="F7" s="545"/>
      <c r="G7" s="545"/>
      <c r="H7" s="528"/>
      <c r="I7" s="548">
        <v>45141</v>
      </c>
      <c r="J7" s="549"/>
      <c r="K7" s="527" t="s">
        <v>10</v>
      </c>
      <c r="L7" s="528"/>
      <c r="M7" s="554" t="s">
        <v>104</v>
      </c>
      <c r="N7" s="555"/>
      <c r="O7" s="578"/>
      <c r="P7" s="579"/>
      <c r="Q7" s="54"/>
      <c r="R7" s="54"/>
      <c r="S7" s="54"/>
      <c r="T7" s="54"/>
      <c r="U7" s="54"/>
      <c r="V7" s="54"/>
      <c r="W7" s="54"/>
      <c r="X7" s="54"/>
      <c r="Y7" s="54"/>
      <c r="Z7" s="55"/>
      <c r="AA7" s="54"/>
      <c r="AB7" s="54"/>
      <c r="AC7" s="60"/>
      <c r="AD7" s="61"/>
    </row>
    <row r="8" spans="1:53" ht="15" customHeight="1" x14ac:dyDescent="0.25">
      <c r="A8" s="529"/>
      <c r="B8" s="530"/>
      <c r="C8" s="543"/>
      <c r="D8" s="529"/>
      <c r="E8" s="546"/>
      <c r="F8" s="546"/>
      <c r="G8" s="546"/>
      <c r="H8" s="530"/>
      <c r="I8" s="550"/>
      <c r="J8" s="551"/>
      <c r="K8" s="529"/>
      <c r="L8" s="530"/>
      <c r="M8" s="580" t="s">
        <v>105</v>
      </c>
      <c r="N8" s="581"/>
      <c r="O8" s="626"/>
      <c r="P8" s="627"/>
      <c r="Q8" s="54"/>
      <c r="R8" s="54"/>
      <c r="S8" s="54"/>
      <c r="T8" s="54"/>
      <c r="U8" s="54"/>
      <c r="V8" s="54"/>
      <c r="W8" s="54"/>
      <c r="X8" s="54"/>
      <c r="Y8" s="54"/>
      <c r="Z8" s="55"/>
      <c r="AA8" s="54"/>
      <c r="AB8" s="54"/>
      <c r="AC8" s="60"/>
      <c r="AD8" s="61"/>
    </row>
    <row r="9" spans="1:53" ht="15.75" customHeight="1" x14ac:dyDescent="0.25">
      <c r="A9" s="531"/>
      <c r="B9" s="532"/>
      <c r="C9" s="544"/>
      <c r="D9" s="531"/>
      <c r="E9" s="547"/>
      <c r="F9" s="547"/>
      <c r="G9" s="547"/>
      <c r="H9" s="532"/>
      <c r="I9" s="552"/>
      <c r="J9" s="553"/>
      <c r="K9" s="531"/>
      <c r="L9" s="532"/>
      <c r="M9" s="556" t="s">
        <v>13</v>
      </c>
      <c r="N9" s="557"/>
      <c r="O9" s="558" t="s">
        <v>14</v>
      </c>
      <c r="P9" s="559"/>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27" t="s">
        <v>15</v>
      </c>
      <c r="B11" s="528"/>
      <c r="C11" s="533" t="s">
        <v>16</v>
      </c>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5"/>
      <c r="BA11" s="309"/>
    </row>
    <row r="12" spans="1:53" ht="15" customHeight="1" x14ac:dyDescent="0.25">
      <c r="A12" s="529"/>
      <c r="B12" s="530"/>
      <c r="C12" s="536"/>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8"/>
      <c r="BA12" s="309"/>
    </row>
    <row r="13" spans="1:53" ht="15" customHeight="1" thickBot="1" x14ac:dyDescent="0.3">
      <c r="A13" s="531"/>
      <c r="B13" s="532"/>
      <c r="C13" s="539"/>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1"/>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2" t="s">
        <v>17</v>
      </c>
      <c r="B15" s="513"/>
      <c r="C15" s="521" t="s">
        <v>18</v>
      </c>
      <c r="D15" s="522"/>
      <c r="E15" s="522"/>
      <c r="F15" s="522"/>
      <c r="G15" s="522"/>
      <c r="H15" s="522"/>
      <c r="I15" s="522"/>
      <c r="J15" s="522"/>
      <c r="K15" s="523"/>
      <c r="L15" s="501" t="s">
        <v>19</v>
      </c>
      <c r="M15" s="502"/>
      <c r="N15" s="502"/>
      <c r="O15" s="502"/>
      <c r="P15" s="502"/>
      <c r="Q15" s="503"/>
      <c r="R15" s="524" t="s">
        <v>20</v>
      </c>
      <c r="S15" s="525"/>
      <c r="T15" s="525"/>
      <c r="U15" s="525"/>
      <c r="V15" s="525"/>
      <c r="W15" s="525"/>
      <c r="X15" s="526"/>
      <c r="Y15" s="501" t="s">
        <v>21</v>
      </c>
      <c r="Z15" s="503"/>
      <c r="AA15" s="508" t="s">
        <v>22</v>
      </c>
      <c r="AB15" s="509"/>
      <c r="AC15" s="509"/>
      <c r="AD15" s="510"/>
      <c r="BA15" s="309"/>
    </row>
    <row r="16" spans="1:53" ht="105" customHeight="1" thickBot="1" x14ac:dyDescent="0.3">
      <c r="A16" s="59"/>
      <c r="B16" s="54"/>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73"/>
      <c r="AD16" s="74"/>
      <c r="AX16" s="354" t="s">
        <v>106</v>
      </c>
      <c r="BA16" s="309"/>
    </row>
    <row r="17" spans="1:53" s="76" customFormat="1" ht="37.5" customHeight="1" thickBot="1" x14ac:dyDescent="0.3">
      <c r="A17" s="512" t="s">
        <v>23</v>
      </c>
      <c r="B17" s="513"/>
      <c r="C17" s="514" t="s">
        <v>162</v>
      </c>
      <c r="D17" s="515"/>
      <c r="E17" s="515"/>
      <c r="F17" s="515"/>
      <c r="G17" s="515"/>
      <c r="H17" s="515"/>
      <c r="I17" s="515"/>
      <c r="J17" s="515"/>
      <c r="K17" s="515"/>
      <c r="L17" s="515"/>
      <c r="M17" s="515"/>
      <c r="N17" s="515"/>
      <c r="O17" s="515"/>
      <c r="P17" s="515"/>
      <c r="Q17" s="516"/>
      <c r="R17" s="501" t="s">
        <v>25</v>
      </c>
      <c r="S17" s="502"/>
      <c r="T17" s="502"/>
      <c r="U17" s="502"/>
      <c r="V17" s="503"/>
      <c r="W17" s="720">
        <v>0.25</v>
      </c>
      <c r="X17" s="721"/>
      <c r="Y17" s="502" t="s">
        <v>26</v>
      </c>
      <c r="Z17" s="502"/>
      <c r="AA17" s="502"/>
      <c r="AB17" s="503"/>
      <c r="AC17" s="519">
        <v>0.15</v>
      </c>
      <c r="AD17" s="520"/>
      <c r="AX17" s="353"/>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1" t="s">
        <v>27</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3"/>
      <c r="AE19" s="83"/>
      <c r="AF19" s="83"/>
      <c r="BA19" s="309"/>
    </row>
    <row r="20" spans="1:53" ht="32.1" customHeight="1" thickBot="1" x14ac:dyDescent="0.3">
      <c r="A20" s="82"/>
      <c r="B20" s="60"/>
      <c r="C20" s="504" t="s">
        <v>28</v>
      </c>
      <c r="D20" s="484"/>
      <c r="E20" s="484"/>
      <c r="F20" s="484"/>
      <c r="G20" s="484"/>
      <c r="H20" s="484"/>
      <c r="I20" s="484"/>
      <c r="J20" s="484"/>
      <c r="K20" s="484"/>
      <c r="L20" s="484"/>
      <c r="M20" s="484"/>
      <c r="N20" s="484"/>
      <c r="O20" s="484"/>
      <c r="P20" s="486"/>
      <c r="Q20" s="505" t="s">
        <v>29</v>
      </c>
      <c r="R20" s="506"/>
      <c r="S20" s="506"/>
      <c r="T20" s="506"/>
      <c r="U20" s="506"/>
      <c r="V20" s="506"/>
      <c r="W20" s="506"/>
      <c r="X20" s="506"/>
      <c r="Y20" s="506"/>
      <c r="Z20" s="506"/>
      <c r="AA20" s="506"/>
      <c r="AB20" s="506"/>
      <c r="AC20" s="506"/>
      <c r="AD20" s="507"/>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159" t="s">
        <v>42</v>
      </c>
      <c r="AE21" s="3"/>
      <c r="AF21" s="3"/>
      <c r="BA21" s="309"/>
    </row>
    <row r="22" spans="1:53" ht="32.1" customHeight="1" x14ac:dyDescent="0.25">
      <c r="A22" s="452" t="s">
        <v>43</v>
      </c>
      <c r="B22" s="454"/>
      <c r="C22" s="322"/>
      <c r="D22" s="323"/>
      <c r="E22" s="323"/>
      <c r="F22" s="323"/>
      <c r="G22" s="323"/>
      <c r="H22" s="323"/>
      <c r="I22" s="323"/>
      <c r="J22" s="323"/>
      <c r="K22" s="323"/>
      <c r="L22" s="323"/>
      <c r="M22" s="323"/>
      <c r="N22" s="323"/>
      <c r="O22" s="323">
        <f>SUM(C22:N22)</f>
        <v>0</v>
      </c>
      <c r="P22" s="378"/>
      <c r="Q22" s="327">
        <f>1263646230+1878332432</f>
        <v>3141978662</v>
      </c>
      <c r="R22" s="323"/>
      <c r="S22" s="323">
        <v>19186925</v>
      </c>
      <c r="T22" s="323">
        <f>35000000+21559511</f>
        <v>56559511</v>
      </c>
      <c r="U22" s="323"/>
      <c r="V22" s="323">
        <f>2139476+34249272+145372262</f>
        <v>181761010</v>
      </c>
      <c r="W22" s="323"/>
      <c r="X22" s="323"/>
      <c r="Y22" s="323"/>
      <c r="Z22" s="323"/>
      <c r="AA22" s="323"/>
      <c r="AB22" s="323"/>
      <c r="AC22" s="376">
        <f>SUM(Q22:AB22)</f>
        <v>3399486108</v>
      </c>
      <c r="AD22" s="183"/>
      <c r="AE22" s="3"/>
      <c r="AF22" s="625"/>
      <c r="AG22" s="625"/>
      <c r="AH22" s="625"/>
      <c r="AI22" s="625"/>
      <c r="AJ22" s="625"/>
      <c r="AK22" s="625"/>
      <c r="AL22" s="625"/>
      <c r="AM22" s="625"/>
    </row>
    <row r="23" spans="1:53" ht="32.1" customHeight="1" x14ac:dyDescent="0.25">
      <c r="A23" s="453" t="s">
        <v>44</v>
      </c>
      <c r="B23" s="455"/>
      <c r="C23" s="174"/>
      <c r="D23" s="173"/>
      <c r="E23" s="173"/>
      <c r="F23" s="173"/>
      <c r="G23" s="173"/>
      <c r="H23" s="173"/>
      <c r="I23" s="173"/>
      <c r="J23" s="173"/>
      <c r="K23" s="173"/>
      <c r="L23" s="173"/>
      <c r="M23" s="173"/>
      <c r="N23" s="173"/>
      <c r="O23" s="173">
        <f>SUM(C23:N23)</f>
        <v>0</v>
      </c>
      <c r="P23" s="379"/>
      <c r="Q23" s="325">
        <v>2221744061</v>
      </c>
      <c r="R23" s="173">
        <v>815510484</v>
      </c>
      <c r="S23" s="173">
        <v>52163827</v>
      </c>
      <c r="T23" s="173">
        <v>-22425420</v>
      </c>
      <c r="U23" s="173">
        <v>169528095</v>
      </c>
      <c r="V23" s="173">
        <v>20743874</v>
      </c>
      <c r="W23" s="173">
        <v>49502400</v>
      </c>
      <c r="X23" s="173"/>
      <c r="Y23" s="173"/>
      <c r="Z23" s="173"/>
      <c r="AA23" s="173"/>
      <c r="AB23" s="173"/>
      <c r="AC23" s="377">
        <f>SUM(Q23:AB23)</f>
        <v>3306767321</v>
      </c>
      <c r="AD23" s="181">
        <f>IFERROR(AC23/(SUMIF(Q23:AB23,"&gt;0",Q22:AB22))," ")</f>
        <v>0.98918334730040136</v>
      </c>
      <c r="AE23" s="3"/>
      <c r="AF23" s="625"/>
      <c r="AG23" s="625"/>
      <c r="AH23" s="625"/>
      <c r="AI23" s="625"/>
      <c r="AJ23" s="625"/>
      <c r="AK23" s="625"/>
      <c r="AL23" s="625"/>
      <c r="AM23" s="625"/>
    </row>
    <row r="24" spans="1:53" ht="32.1" customHeight="1" x14ac:dyDescent="0.25">
      <c r="A24" s="453" t="s">
        <v>45</v>
      </c>
      <c r="B24" s="455"/>
      <c r="C24" s="174">
        <f>25110242+1804188+19304540</f>
        <v>46218970</v>
      </c>
      <c r="D24" s="173">
        <f>1749515+3375000+3750000+461422+713790+309000+4326000+713790+772500+772500+432600+4800000+475860+4505045</f>
        <v>27157022</v>
      </c>
      <c r="E24" s="173">
        <v>4956875</v>
      </c>
      <c r="F24" s="173">
        <v>5038625</v>
      </c>
      <c r="G24" s="173"/>
      <c r="H24" s="173"/>
      <c r="I24" s="173"/>
      <c r="J24" s="173"/>
      <c r="K24" s="173"/>
      <c r="L24" s="173"/>
      <c r="M24" s="173"/>
      <c r="N24" s="173"/>
      <c r="O24" s="206">
        <f>SUM(C24:N24)</f>
        <v>83371492</v>
      </c>
      <c r="P24" s="326"/>
      <c r="Q24" s="325"/>
      <c r="R24" s="173">
        <f>54487730+166276438</f>
        <v>220764168</v>
      </c>
      <c r="S24" s="173">
        <f>109923500+166276438</f>
        <v>276199938</v>
      </c>
      <c r="T24" s="173">
        <f>109923500+1918693+166276438</f>
        <v>278118631</v>
      </c>
      <c r="U24" s="173">
        <f>109923500+1918693+3888889+21559511+166276438</f>
        <v>303567031</v>
      </c>
      <c r="V24" s="173">
        <f>109923500+1918693+3888889+166276438+145372262</f>
        <v>427379782</v>
      </c>
      <c r="W24" s="173">
        <f>109923500+1918693+2139476+3888889+11416424+166276438</f>
        <v>295563420</v>
      </c>
      <c r="X24" s="173">
        <f>109923500+1918693+3888889+166276438</f>
        <v>282007520</v>
      </c>
      <c r="Y24" s="173">
        <f>109923500+1918692+3888889+11416424+166276438</f>
        <v>293423943</v>
      </c>
      <c r="Z24" s="173">
        <f>109923500+1918692+3888889+166276438</f>
        <v>282007519</v>
      </c>
      <c r="AA24" s="173">
        <f>109923500+1918692+3888889+11416424+166276438</f>
        <v>293423943</v>
      </c>
      <c r="AB24" s="173">
        <f>219847000+3837384+7777777+215568052</f>
        <v>447030213</v>
      </c>
      <c r="AC24" s="206">
        <f>SUM(Q24:AB24)</f>
        <v>3399486108</v>
      </c>
      <c r="AD24" s="181"/>
      <c r="AE24" s="3"/>
      <c r="AF24" s="625"/>
      <c r="AG24" s="625"/>
      <c r="AH24" s="625"/>
      <c r="AI24" s="625"/>
      <c r="AJ24" s="625"/>
      <c r="AK24" s="625"/>
      <c r="AL24" s="625"/>
      <c r="AM24" s="625"/>
    </row>
    <row r="25" spans="1:53" ht="32.1" customHeight="1" thickBot="1" x14ac:dyDescent="0.3">
      <c r="A25" s="481" t="s">
        <v>46</v>
      </c>
      <c r="B25" s="487"/>
      <c r="C25" s="324">
        <v>14684229</v>
      </c>
      <c r="D25" s="175">
        <v>31987652</v>
      </c>
      <c r="E25" s="175">
        <v>22040035</v>
      </c>
      <c r="F25" s="175">
        <v>10889552</v>
      </c>
      <c r="G25" s="175">
        <v>1</v>
      </c>
      <c r="H25" s="175">
        <v>384894</v>
      </c>
      <c r="I25" s="175">
        <v>0</v>
      </c>
      <c r="J25" s="175"/>
      <c r="K25" s="175"/>
      <c r="L25" s="175"/>
      <c r="M25" s="175"/>
      <c r="N25" s="175"/>
      <c r="O25" s="175">
        <f>SUM(C25:N25)</f>
        <v>79986363</v>
      </c>
      <c r="P25" s="182">
        <f>+O25/O24</f>
        <v>0.95939704425584704</v>
      </c>
      <c r="Q25" s="328" t="s">
        <v>163</v>
      </c>
      <c r="R25" s="175">
        <v>172882318</v>
      </c>
      <c r="S25" s="175">
        <v>221760191</v>
      </c>
      <c r="T25" s="175">
        <v>267642475</v>
      </c>
      <c r="U25" s="175">
        <v>360292355</v>
      </c>
      <c r="V25" s="175">
        <v>306598664</v>
      </c>
      <c r="W25" s="175">
        <v>320843594</v>
      </c>
      <c r="X25" s="175"/>
      <c r="Y25" s="175"/>
      <c r="Z25" s="175"/>
      <c r="AA25" s="175"/>
      <c r="AB25" s="175"/>
      <c r="AC25" s="175">
        <f>SUM(Q25:AB25)</f>
        <v>1650019597</v>
      </c>
      <c r="AD25" s="182">
        <f>IFERROR(AC25/(SUMIF(Q25:AB25,"&gt;0",Q24:AB24))," ")</f>
        <v>0.91586702683459076</v>
      </c>
      <c r="AE25" s="3"/>
      <c r="AF25" s="625"/>
      <c r="AG25" s="625"/>
      <c r="AH25" s="625"/>
      <c r="AI25" s="625"/>
      <c r="AJ25" s="625"/>
      <c r="AK25" s="625"/>
      <c r="AL25" s="625"/>
      <c r="AM25" s="625"/>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88" t="s">
        <v>49</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3" ht="15" customHeight="1" x14ac:dyDescent="0.25">
      <c r="A28" s="492" t="s">
        <v>50</v>
      </c>
      <c r="B28" s="494" t="s">
        <v>51</v>
      </c>
      <c r="C28" s="495"/>
      <c r="D28" s="455" t="s">
        <v>52</v>
      </c>
      <c r="E28" s="498"/>
      <c r="F28" s="498"/>
      <c r="G28" s="498"/>
      <c r="H28" s="498"/>
      <c r="I28" s="498"/>
      <c r="J28" s="498"/>
      <c r="K28" s="498"/>
      <c r="L28" s="498"/>
      <c r="M28" s="498"/>
      <c r="N28" s="498"/>
      <c r="O28" s="499"/>
      <c r="P28" s="478" t="s">
        <v>41</v>
      </c>
      <c r="Q28" s="478" t="s">
        <v>53</v>
      </c>
      <c r="R28" s="478"/>
      <c r="S28" s="478"/>
      <c r="T28" s="478"/>
      <c r="U28" s="478"/>
      <c r="V28" s="478"/>
      <c r="W28" s="478"/>
      <c r="X28" s="478"/>
      <c r="Y28" s="478"/>
      <c r="Z28" s="478"/>
      <c r="AA28" s="478"/>
      <c r="AB28" s="478"/>
      <c r="AC28" s="478"/>
      <c r="AD28" s="500"/>
    </row>
    <row r="29" spans="1:53" ht="27" customHeight="1" x14ac:dyDescent="0.25">
      <c r="A29" s="493"/>
      <c r="B29" s="496"/>
      <c r="C29" s="497"/>
      <c r="D29" s="88" t="s">
        <v>30</v>
      </c>
      <c r="E29" s="88" t="s">
        <v>31</v>
      </c>
      <c r="F29" s="88" t="s">
        <v>8</v>
      </c>
      <c r="G29" s="88" t="s">
        <v>32</v>
      </c>
      <c r="H29" s="88" t="s">
        <v>33</v>
      </c>
      <c r="I29" s="88" t="s">
        <v>34</v>
      </c>
      <c r="J29" s="88" t="s">
        <v>35</v>
      </c>
      <c r="K29" s="88" t="s">
        <v>36</v>
      </c>
      <c r="L29" s="88" t="s">
        <v>37</v>
      </c>
      <c r="M29" s="88" t="s">
        <v>38</v>
      </c>
      <c r="N29" s="88" t="s">
        <v>39</v>
      </c>
      <c r="O29" s="88" t="s">
        <v>40</v>
      </c>
      <c r="P29" s="499"/>
      <c r="Q29" s="478"/>
      <c r="R29" s="478"/>
      <c r="S29" s="478"/>
      <c r="T29" s="478"/>
      <c r="U29" s="478"/>
      <c r="V29" s="478"/>
      <c r="W29" s="478"/>
      <c r="X29" s="478"/>
      <c r="Y29" s="478"/>
      <c r="Z29" s="478"/>
      <c r="AA29" s="478"/>
      <c r="AB29" s="478"/>
      <c r="AC29" s="478"/>
      <c r="AD29" s="500"/>
    </row>
    <row r="30" spans="1:53" ht="68.25" customHeight="1" x14ac:dyDescent="0.25">
      <c r="A30" s="85" t="s">
        <v>164</v>
      </c>
      <c r="B30" s="470"/>
      <c r="C30" s="471"/>
      <c r="D30" s="89">
        <v>112</v>
      </c>
      <c r="E30" s="89"/>
      <c r="F30" s="89"/>
      <c r="G30" s="89"/>
      <c r="H30" s="89"/>
      <c r="I30" s="89"/>
      <c r="J30" s="89"/>
      <c r="K30" s="89"/>
      <c r="L30" s="89"/>
      <c r="M30" s="89"/>
      <c r="N30" s="89"/>
      <c r="O30" s="89"/>
      <c r="P30" s="86">
        <f>SUM(D30:O30)</f>
        <v>112</v>
      </c>
      <c r="Q30" s="472"/>
      <c r="R30" s="472"/>
      <c r="S30" s="472"/>
      <c r="T30" s="472"/>
      <c r="U30" s="472"/>
      <c r="V30" s="472"/>
      <c r="W30" s="472"/>
      <c r="X30" s="472"/>
      <c r="Y30" s="472"/>
      <c r="Z30" s="472"/>
      <c r="AA30" s="472"/>
      <c r="AB30" s="472"/>
      <c r="AC30" s="472"/>
      <c r="AD30" s="473"/>
    </row>
    <row r="31" spans="1:53" ht="45" customHeight="1" thickBot="1" x14ac:dyDescent="0.3">
      <c r="A31" s="474" t="s">
        <v>55</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621"/>
    </row>
    <row r="32" spans="1:53" ht="23.1" customHeight="1" x14ac:dyDescent="0.25">
      <c r="A32" s="452" t="s">
        <v>56</v>
      </c>
      <c r="B32" s="456" t="s">
        <v>57</v>
      </c>
      <c r="C32" s="457" t="s">
        <v>51</v>
      </c>
      <c r="D32" s="452" t="s">
        <v>58</v>
      </c>
      <c r="E32" s="456"/>
      <c r="F32" s="456"/>
      <c r="G32" s="456"/>
      <c r="H32" s="456"/>
      <c r="I32" s="456"/>
      <c r="J32" s="456"/>
      <c r="K32" s="456"/>
      <c r="L32" s="456"/>
      <c r="M32" s="456"/>
      <c r="N32" s="456"/>
      <c r="O32" s="456"/>
      <c r="P32" s="457"/>
      <c r="Q32" s="480" t="s">
        <v>59</v>
      </c>
      <c r="R32" s="456"/>
      <c r="S32" s="456"/>
      <c r="T32" s="456"/>
      <c r="U32" s="456"/>
      <c r="V32" s="456"/>
      <c r="W32" s="456"/>
      <c r="X32" s="456"/>
      <c r="Y32" s="456"/>
      <c r="Z32" s="456"/>
      <c r="AA32" s="456"/>
      <c r="AB32" s="456"/>
      <c r="AC32" s="456"/>
      <c r="AD32" s="457"/>
      <c r="AG32" s="87"/>
      <c r="AH32" s="87"/>
      <c r="AI32" s="87"/>
      <c r="AJ32" s="87"/>
      <c r="AK32" s="87"/>
      <c r="AL32" s="87"/>
      <c r="AM32" s="87"/>
      <c r="AN32" s="87"/>
      <c r="AO32" s="87"/>
    </row>
    <row r="33" spans="1:41" ht="27" customHeight="1" x14ac:dyDescent="0.25">
      <c r="A33" s="453"/>
      <c r="B33" s="478"/>
      <c r="C33" s="628"/>
      <c r="D33" s="209"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99" t="s">
        <v>60</v>
      </c>
      <c r="R33" s="478"/>
      <c r="S33" s="478"/>
      <c r="T33" s="478" t="s">
        <v>61</v>
      </c>
      <c r="U33" s="478"/>
      <c r="V33" s="478"/>
      <c r="W33" s="478" t="s">
        <v>62</v>
      </c>
      <c r="X33" s="478"/>
      <c r="Y33" s="478"/>
      <c r="Z33" s="478"/>
      <c r="AA33" s="478" t="s">
        <v>63</v>
      </c>
      <c r="AB33" s="478"/>
      <c r="AC33" s="478"/>
      <c r="AD33" s="500"/>
      <c r="AG33" s="87"/>
      <c r="AH33" s="87"/>
      <c r="AI33" s="87"/>
      <c r="AJ33" s="87"/>
      <c r="AK33" s="87"/>
      <c r="AL33" s="87"/>
      <c r="AM33" s="87"/>
      <c r="AN33" s="87"/>
      <c r="AO33" s="87"/>
    </row>
    <row r="34" spans="1:41" ht="153" customHeight="1" x14ac:dyDescent="0.25">
      <c r="A34" s="631" t="s">
        <v>164</v>
      </c>
      <c r="B34" s="464">
        <v>0.15</v>
      </c>
      <c r="C34" s="263" t="s">
        <v>64</v>
      </c>
      <c r="D34" s="264">
        <f>D69</f>
        <v>2.1762103731630403E-2</v>
      </c>
      <c r="E34" s="259">
        <f t="shared" ref="E34:O34" si="0">E69</f>
        <v>2.1762103731630403E-2</v>
      </c>
      <c r="F34" s="259">
        <f t="shared" si="0"/>
        <v>2.1175335050377265E-2</v>
      </c>
      <c r="G34" s="259">
        <f t="shared" si="0"/>
        <v>2.1175335050377265E-2</v>
      </c>
      <c r="H34" s="259">
        <f t="shared" si="0"/>
        <v>2.1175335050377265E-2</v>
      </c>
      <c r="I34" s="259">
        <f t="shared" si="0"/>
        <v>2.1175335050377265E-2</v>
      </c>
      <c r="J34" s="259">
        <f t="shared" si="0"/>
        <v>2.1175335050377265E-2</v>
      </c>
      <c r="K34" s="259">
        <f t="shared" si="0"/>
        <v>2.1175335050377265E-2</v>
      </c>
      <c r="L34" s="259">
        <f t="shared" si="0"/>
        <v>2.1175335050377265E-2</v>
      </c>
      <c r="M34" s="259">
        <f t="shared" si="0"/>
        <v>2.1175335050377265E-2</v>
      </c>
      <c r="N34" s="259">
        <f t="shared" si="0"/>
        <v>2.1175335050377265E-2</v>
      </c>
      <c r="O34" s="259">
        <f t="shared" si="0"/>
        <v>1.5897777083343837E-2</v>
      </c>
      <c r="P34" s="254">
        <f>SUM(D34:O34)</f>
        <v>0.25000000000000011</v>
      </c>
      <c r="Q34" s="787" t="s">
        <v>165</v>
      </c>
      <c r="R34" s="788"/>
      <c r="S34" s="788"/>
      <c r="T34" s="788" t="s">
        <v>166</v>
      </c>
      <c r="U34" s="788"/>
      <c r="V34" s="788"/>
      <c r="W34" s="802" t="s">
        <v>167</v>
      </c>
      <c r="X34" s="803"/>
      <c r="Y34" s="803"/>
      <c r="Z34" s="804"/>
      <c r="AA34" s="808" t="s">
        <v>168</v>
      </c>
      <c r="AB34" s="808"/>
      <c r="AC34" s="808"/>
      <c r="AD34" s="809"/>
      <c r="AG34" s="87"/>
      <c r="AH34" s="87"/>
      <c r="AI34" s="87"/>
      <c r="AJ34" s="87"/>
      <c r="AK34" s="87"/>
      <c r="AL34" s="87"/>
      <c r="AM34" s="87"/>
      <c r="AN34" s="87"/>
      <c r="AO34" s="87"/>
    </row>
    <row r="35" spans="1:41" ht="153" customHeight="1" x14ac:dyDescent="0.25">
      <c r="A35" s="570"/>
      <c r="B35" s="465"/>
      <c r="C35" s="257" t="s">
        <v>68</v>
      </c>
      <c r="D35" s="245">
        <f>D66</f>
        <v>2.1762103731630403E-2</v>
      </c>
      <c r="E35" s="246">
        <f t="shared" ref="E35:O35" si="1">E66</f>
        <v>2.1762103731630403E-2</v>
      </c>
      <c r="F35" s="246">
        <f t="shared" si="1"/>
        <v>2.1175335050377265E-2</v>
      </c>
      <c r="G35" s="246">
        <f t="shared" si="1"/>
        <v>2.1175335050377265E-2</v>
      </c>
      <c r="H35" s="246">
        <f t="shared" si="1"/>
        <v>2.1175335050377265E-2</v>
      </c>
      <c r="I35" s="246">
        <f t="shared" si="1"/>
        <v>2.1175335050377265E-2</v>
      </c>
      <c r="J35" s="246">
        <f t="shared" si="1"/>
        <v>2.0924582793606959E-2</v>
      </c>
      <c r="K35" s="246">
        <f t="shared" si="1"/>
        <v>0</v>
      </c>
      <c r="L35" s="246">
        <f t="shared" si="1"/>
        <v>0</v>
      </c>
      <c r="M35" s="246">
        <f t="shared" si="1"/>
        <v>0</v>
      </c>
      <c r="N35" s="246">
        <f t="shared" si="1"/>
        <v>0</v>
      </c>
      <c r="O35" s="246">
        <f t="shared" si="1"/>
        <v>0</v>
      </c>
      <c r="P35" s="255">
        <f>SUM(D35:O35)</f>
        <v>0.14915013045837683</v>
      </c>
      <c r="Q35" s="789"/>
      <c r="R35" s="790"/>
      <c r="S35" s="790"/>
      <c r="T35" s="790"/>
      <c r="U35" s="790"/>
      <c r="V35" s="790"/>
      <c r="W35" s="805"/>
      <c r="X35" s="806"/>
      <c r="Y35" s="806"/>
      <c r="Z35" s="807"/>
      <c r="AA35" s="810"/>
      <c r="AB35" s="810"/>
      <c r="AC35" s="810"/>
      <c r="AD35" s="811"/>
      <c r="AE35" s="49"/>
      <c r="AG35" s="87"/>
      <c r="AH35" s="87"/>
      <c r="AI35" s="87"/>
      <c r="AJ35" s="87"/>
      <c r="AK35" s="87"/>
      <c r="AL35" s="87"/>
      <c r="AM35" s="87"/>
      <c r="AN35" s="87"/>
      <c r="AO35" s="87"/>
    </row>
    <row r="36" spans="1:41" ht="26.1" customHeight="1" x14ac:dyDescent="0.25">
      <c r="A36" s="452" t="s">
        <v>69</v>
      </c>
      <c r="B36" s="456" t="s">
        <v>70</v>
      </c>
      <c r="C36" s="480" t="s">
        <v>71</v>
      </c>
      <c r="D36" s="456"/>
      <c r="E36" s="456"/>
      <c r="F36" s="456"/>
      <c r="G36" s="456"/>
      <c r="H36" s="456"/>
      <c r="I36" s="456"/>
      <c r="J36" s="456"/>
      <c r="K36" s="456"/>
      <c r="L36" s="456"/>
      <c r="M36" s="456"/>
      <c r="N36" s="456"/>
      <c r="O36" s="456"/>
      <c r="P36" s="457"/>
      <c r="Q36" s="613" t="s">
        <v>72</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thickBot="1" x14ac:dyDescent="0.3">
      <c r="A37" s="712"/>
      <c r="B37" s="717"/>
      <c r="C37" s="315" t="s">
        <v>73</v>
      </c>
      <c r="D37" s="318" t="s">
        <v>74</v>
      </c>
      <c r="E37" s="318" t="s">
        <v>75</v>
      </c>
      <c r="F37" s="318" t="s">
        <v>76</v>
      </c>
      <c r="G37" s="318" t="s">
        <v>77</v>
      </c>
      <c r="H37" s="318" t="s">
        <v>78</v>
      </c>
      <c r="I37" s="318" t="s">
        <v>79</v>
      </c>
      <c r="J37" s="318" t="s">
        <v>80</v>
      </c>
      <c r="K37" s="318" t="s">
        <v>81</v>
      </c>
      <c r="L37" s="318" t="s">
        <v>82</v>
      </c>
      <c r="M37" s="318" t="s">
        <v>83</v>
      </c>
      <c r="N37" s="318" t="s">
        <v>84</v>
      </c>
      <c r="O37" s="318" t="s">
        <v>85</v>
      </c>
      <c r="P37" s="329" t="s">
        <v>86</v>
      </c>
      <c r="Q37" s="492" t="s">
        <v>87</v>
      </c>
      <c r="R37" s="797"/>
      <c r="S37" s="797"/>
      <c r="T37" s="797"/>
      <c r="U37" s="797"/>
      <c r="V37" s="797"/>
      <c r="W37" s="797"/>
      <c r="X37" s="797"/>
      <c r="Y37" s="797"/>
      <c r="Z37" s="797"/>
      <c r="AA37" s="797"/>
      <c r="AB37" s="797"/>
      <c r="AC37" s="797"/>
      <c r="AD37" s="798"/>
      <c r="AG37" s="94"/>
      <c r="AH37" s="94"/>
      <c r="AI37" s="94"/>
      <c r="AJ37" s="94"/>
      <c r="AK37" s="94"/>
      <c r="AL37" s="94"/>
      <c r="AM37" s="94"/>
      <c r="AN37" s="94"/>
      <c r="AO37" s="94"/>
    </row>
    <row r="38" spans="1:41" ht="55.5" customHeight="1" x14ac:dyDescent="0.25">
      <c r="A38" s="799" t="s">
        <v>169</v>
      </c>
      <c r="B38" s="703">
        <v>0.1</v>
      </c>
      <c r="C38" s="337" t="s">
        <v>64</v>
      </c>
      <c r="D38" s="331">
        <v>0.09</v>
      </c>
      <c r="E38" s="331">
        <v>0.09</v>
      </c>
      <c r="F38" s="333">
        <v>8.5000000000000006E-2</v>
      </c>
      <c r="G38" s="333">
        <v>8.5000000000000006E-2</v>
      </c>
      <c r="H38" s="333">
        <v>8.5000000000000006E-2</v>
      </c>
      <c r="I38" s="333">
        <v>8.5000000000000006E-2</v>
      </c>
      <c r="J38" s="333">
        <v>8.5000000000000006E-2</v>
      </c>
      <c r="K38" s="333">
        <v>8.5000000000000006E-2</v>
      </c>
      <c r="L38" s="333">
        <v>8.5000000000000006E-2</v>
      </c>
      <c r="M38" s="333">
        <v>8.5000000000000006E-2</v>
      </c>
      <c r="N38" s="333">
        <v>8.5000000000000006E-2</v>
      </c>
      <c r="O38" s="333">
        <v>0.05</v>
      </c>
      <c r="P38" s="334">
        <f>SUM(D38:O38)</f>
        <v>0.99499999999999988</v>
      </c>
      <c r="Q38" s="801" t="s">
        <v>170</v>
      </c>
      <c r="R38" s="729"/>
      <c r="S38" s="729"/>
      <c r="T38" s="729"/>
      <c r="U38" s="729"/>
      <c r="V38" s="729"/>
      <c r="W38" s="729"/>
      <c r="X38" s="729"/>
      <c r="Y38" s="729"/>
      <c r="Z38" s="729"/>
      <c r="AA38" s="729"/>
      <c r="AB38" s="729"/>
      <c r="AC38" s="729"/>
      <c r="AD38" s="730"/>
      <c r="AE38" s="97"/>
      <c r="AG38" s="98"/>
      <c r="AH38" s="98"/>
      <c r="AI38" s="98"/>
      <c r="AJ38" s="98"/>
      <c r="AK38" s="98"/>
      <c r="AL38" s="98"/>
      <c r="AM38" s="98"/>
      <c r="AN38" s="98"/>
      <c r="AO38" s="98"/>
    </row>
    <row r="39" spans="1:41" ht="55.5" customHeight="1" x14ac:dyDescent="0.25">
      <c r="A39" s="800"/>
      <c r="B39" s="602"/>
      <c r="C39" s="212" t="s">
        <v>68</v>
      </c>
      <c r="D39" s="270">
        <v>0.09</v>
      </c>
      <c r="E39" s="270">
        <v>0.09</v>
      </c>
      <c r="F39" s="270">
        <v>8.5000000000000006E-2</v>
      </c>
      <c r="G39" s="270">
        <v>8.5000000000000006E-2</v>
      </c>
      <c r="H39" s="270">
        <v>8.5000000000000006E-2</v>
      </c>
      <c r="I39" s="270">
        <v>8.5000000000000006E-2</v>
      </c>
      <c r="J39" s="270">
        <v>8.5000000000000006E-2</v>
      </c>
      <c r="K39" s="100"/>
      <c r="L39" s="100"/>
      <c r="M39" s="100"/>
      <c r="N39" s="100"/>
      <c r="O39" s="100"/>
      <c r="P39" s="250">
        <f>SUM(D39:O39)</f>
        <v>0.60499999999999998</v>
      </c>
      <c r="Q39" s="731"/>
      <c r="R39" s="732"/>
      <c r="S39" s="732"/>
      <c r="T39" s="732"/>
      <c r="U39" s="732"/>
      <c r="V39" s="732"/>
      <c r="W39" s="732"/>
      <c r="X39" s="732"/>
      <c r="Y39" s="732"/>
      <c r="Z39" s="732"/>
      <c r="AA39" s="732"/>
      <c r="AB39" s="732"/>
      <c r="AC39" s="732"/>
      <c r="AD39" s="733"/>
      <c r="AE39" s="97"/>
    </row>
    <row r="40" spans="1:41" ht="55.5" customHeight="1" x14ac:dyDescent="0.25">
      <c r="A40" s="671" t="s">
        <v>171</v>
      </c>
      <c r="B40" s="610">
        <v>0.05</v>
      </c>
      <c r="C40" s="213" t="s">
        <v>64</v>
      </c>
      <c r="D40" s="269">
        <v>0.08</v>
      </c>
      <c r="E40" s="269">
        <v>0.08</v>
      </c>
      <c r="F40" s="205">
        <v>8.3000000000000004E-2</v>
      </c>
      <c r="G40" s="205">
        <v>8.3000000000000004E-2</v>
      </c>
      <c r="H40" s="205">
        <v>8.3000000000000004E-2</v>
      </c>
      <c r="I40" s="205">
        <v>8.3000000000000004E-2</v>
      </c>
      <c r="J40" s="205">
        <v>8.3000000000000004E-2</v>
      </c>
      <c r="K40" s="205">
        <v>8.3000000000000004E-2</v>
      </c>
      <c r="L40" s="205">
        <v>8.3000000000000004E-2</v>
      </c>
      <c r="M40" s="205">
        <v>8.3000000000000004E-2</v>
      </c>
      <c r="N40" s="205">
        <v>8.3000000000000004E-2</v>
      </c>
      <c r="O40" s="205">
        <v>0.09</v>
      </c>
      <c r="P40" s="250">
        <f>SUM(D40:O40)</f>
        <v>0.99699999999999989</v>
      </c>
      <c r="Q40" s="791" t="s">
        <v>172</v>
      </c>
      <c r="R40" s="792"/>
      <c r="S40" s="792"/>
      <c r="T40" s="792"/>
      <c r="U40" s="792"/>
      <c r="V40" s="792"/>
      <c r="W40" s="792"/>
      <c r="X40" s="792"/>
      <c r="Y40" s="792"/>
      <c r="Z40" s="792"/>
      <c r="AA40" s="792"/>
      <c r="AB40" s="792"/>
      <c r="AC40" s="792"/>
      <c r="AD40" s="793"/>
      <c r="AE40" s="97"/>
    </row>
    <row r="41" spans="1:41" ht="55.5" customHeight="1" thickBot="1" x14ac:dyDescent="0.3">
      <c r="A41" s="664"/>
      <c r="B41" s="605"/>
      <c r="C41" s="267" t="s">
        <v>68</v>
      </c>
      <c r="D41" s="271">
        <v>0.08</v>
      </c>
      <c r="E41" s="271">
        <v>0.08</v>
      </c>
      <c r="F41" s="271">
        <v>8.3000000000000004E-2</v>
      </c>
      <c r="G41" s="271">
        <v>8.3000000000000004E-2</v>
      </c>
      <c r="H41" s="271">
        <v>8.3000000000000004E-2</v>
      </c>
      <c r="I41" s="270">
        <v>8.3000000000000004E-2</v>
      </c>
      <c r="J41" s="270">
        <v>0.08</v>
      </c>
      <c r="K41" s="105"/>
      <c r="L41" s="106"/>
      <c r="M41" s="106"/>
      <c r="N41" s="106"/>
      <c r="O41" s="106"/>
      <c r="P41" s="251">
        <f>SUM(D41:O41)</f>
        <v>0.57200000000000006</v>
      </c>
      <c r="Q41" s="794"/>
      <c r="R41" s="795"/>
      <c r="S41" s="795"/>
      <c r="T41" s="795"/>
      <c r="U41" s="795"/>
      <c r="V41" s="795"/>
      <c r="W41" s="795"/>
      <c r="X41" s="795"/>
      <c r="Y41" s="795"/>
      <c r="Z41" s="795"/>
      <c r="AA41" s="795"/>
      <c r="AB41" s="795"/>
      <c r="AC41" s="795"/>
      <c r="AD41" s="796"/>
      <c r="AE41" s="97"/>
    </row>
    <row r="42" spans="1:41" x14ac:dyDescent="0.25">
      <c r="A42" s="50" t="s">
        <v>90</v>
      </c>
    </row>
    <row r="55" spans="1:30" x14ac:dyDescent="0.25">
      <c r="A55" s="588" t="s">
        <v>91</v>
      </c>
      <c r="B55" s="590" t="s">
        <v>70</v>
      </c>
      <c r="C55" s="592" t="s">
        <v>71</v>
      </c>
      <c r="D55" s="593"/>
      <c r="E55" s="593"/>
      <c r="F55" s="593"/>
      <c r="G55" s="593"/>
      <c r="H55" s="593"/>
      <c r="I55" s="593"/>
      <c r="J55" s="593"/>
      <c r="K55" s="593"/>
      <c r="L55" s="593"/>
      <c r="M55" s="593"/>
      <c r="N55" s="593"/>
      <c r="O55" s="593"/>
      <c r="P55" s="594"/>
      <c r="Q55" s="215"/>
      <c r="R55" s="215"/>
      <c r="S55" s="216"/>
      <c r="T55" s="216"/>
      <c r="U55" s="216"/>
      <c r="V55" s="216"/>
      <c r="W55" s="216"/>
      <c r="X55" s="216"/>
      <c r="Y55" s="216"/>
      <c r="Z55" s="216"/>
      <c r="AA55" s="216"/>
      <c r="AB55" s="216"/>
      <c r="AC55" s="216"/>
      <c r="AD55" s="216"/>
    </row>
    <row r="56" spans="1:30" ht="21" x14ac:dyDescent="0.25">
      <c r="A56" s="589"/>
      <c r="B56" s="591"/>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595"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597">
        <f>B38</f>
        <v>0.1</v>
      </c>
      <c r="C57" s="218" t="s">
        <v>64</v>
      </c>
      <c r="D57" s="219">
        <f>D38*$B$38/$P$38</f>
        <v>9.0452261306532659E-3</v>
      </c>
      <c r="E57" s="219">
        <f t="shared" ref="D57:O58" si="2">E38*$B$38/$P$38</f>
        <v>9.0452261306532659E-3</v>
      </c>
      <c r="F57" s="219">
        <f t="shared" si="2"/>
        <v>8.5427135678391979E-3</v>
      </c>
      <c r="G57" s="219">
        <f t="shared" si="2"/>
        <v>8.5427135678391979E-3</v>
      </c>
      <c r="H57" s="219">
        <f t="shared" si="2"/>
        <v>8.5427135678391979E-3</v>
      </c>
      <c r="I57" s="219">
        <f t="shared" si="2"/>
        <v>8.5427135678391979E-3</v>
      </c>
      <c r="J57" s="219">
        <f t="shared" si="2"/>
        <v>8.5427135678391979E-3</v>
      </c>
      <c r="K57" s="219">
        <f t="shared" si="2"/>
        <v>8.5427135678391979E-3</v>
      </c>
      <c r="L57" s="219">
        <f t="shared" si="2"/>
        <v>8.5427135678391979E-3</v>
      </c>
      <c r="M57" s="219">
        <f t="shared" si="2"/>
        <v>8.5427135678391979E-3</v>
      </c>
      <c r="N57" s="219">
        <f t="shared" si="2"/>
        <v>8.5427135678391979E-3</v>
      </c>
      <c r="O57" s="219">
        <f t="shared" si="2"/>
        <v>5.0251256281407053E-3</v>
      </c>
      <c r="P57" s="220">
        <f>SUM(D57:O57)</f>
        <v>0.10000000000000003</v>
      </c>
      <c r="Q57" s="221">
        <v>0.05</v>
      </c>
      <c r="R57" s="222">
        <f t="shared" ref="R57:R65" si="3">+P57-Q57</f>
        <v>5.0000000000000031E-2</v>
      </c>
      <c r="S57" s="216"/>
      <c r="T57" s="216"/>
      <c r="U57" s="216"/>
      <c r="V57" s="216"/>
      <c r="W57" s="216"/>
      <c r="X57" s="216"/>
      <c r="Y57" s="216"/>
      <c r="Z57" s="216"/>
      <c r="AA57" s="216"/>
      <c r="AB57" s="216"/>
      <c r="AC57" s="216"/>
      <c r="AD57" s="216"/>
    </row>
    <row r="58" spans="1:30" x14ac:dyDescent="0.25">
      <c r="A58" s="596"/>
      <c r="B58" s="598"/>
      <c r="C58" s="223" t="s">
        <v>68</v>
      </c>
      <c r="D58" s="224">
        <f t="shared" si="2"/>
        <v>9.0452261306532659E-3</v>
      </c>
      <c r="E58" s="224">
        <f t="shared" si="2"/>
        <v>9.0452261306532659E-3</v>
      </c>
      <c r="F58" s="224">
        <f t="shared" si="2"/>
        <v>8.5427135678391979E-3</v>
      </c>
      <c r="G58" s="224">
        <f t="shared" si="2"/>
        <v>8.5427135678391979E-3</v>
      </c>
      <c r="H58" s="224">
        <f t="shared" si="2"/>
        <v>8.5427135678391979E-3</v>
      </c>
      <c r="I58" s="224">
        <f t="shared" si="2"/>
        <v>8.5427135678391979E-3</v>
      </c>
      <c r="J58" s="224">
        <f t="shared" si="2"/>
        <v>8.5427135678391979E-3</v>
      </c>
      <c r="K58" s="224">
        <f t="shared" si="2"/>
        <v>0</v>
      </c>
      <c r="L58" s="224">
        <f t="shared" si="2"/>
        <v>0</v>
      </c>
      <c r="M58" s="224">
        <f t="shared" si="2"/>
        <v>0</v>
      </c>
      <c r="N58" s="224">
        <f t="shared" si="2"/>
        <v>0</v>
      </c>
      <c r="O58" s="224">
        <f t="shared" si="2"/>
        <v>0</v>
      </c>
      <c r="P58" s="225">
        <f>SUM(D58:O58)</f>
        <v>6.080402010050253E-2</v>
      </c>
      <c r="Q58" s="226">
        <f>+P58</f>
        <v>6.080402010050253E-2</v>
      </c>
      <c r="R58" s="222">
        <f t="shared" si="3"/>
        <v>0</v>
      </c>
      <c r="S58" s="216"/>
      <c r="T58" s="216"/>
      <c r="U58" s="216"/>
      <c r="V58" s="216"/>
      <c r="W58" s="216"/>
      <c r="X58" s="216"/>
      <c r="Y58" s="216"/>
      <c r="Z58" s="216"/>
      <c r="AA58" s="216"/>
      <c r="AB58" s="216"/>
      <c r="AC58" s="216"/>
      <c r="AD58" s="216"/>
    </row>
    <row r="59" spans="1:30" x14ac:dyDescent="0.25">
      <c r="A59" s="595" t="str">
        <f>A40</f>
        <v>17. Convocar y gestionar las sesiones de las Mesa de Unidades Móviles de Servicios del Cuidado</v>
      </c>
      <c r="B59" s="623">
        <f>B40</f>
        <v>0.05</v>
      </c>
      <c r="C59" s="218" t="s">
        <v>64</v>
      </c>
      <c r="D59" s="219">
        <f t="shared" ref="D59:O60" si="4">D40*$B$40/$P$40</f>
        <v>4.0120361083249758E-3</v>
      </c>
      <c r="E59" s="219">
        <f t="shared" si="4"/>
        <v>4.0120361083249758E-3</v>
      </c>
      <c r="F59" s="219">
        <f t="shared" si="4"/>
        <v>4.1624874623871619E-3</v>
      </c>
      <c r="G59" s="219">
        <f t="shared" si="4"/>
        <v>4.1624874623871619E-3</v>
      </c>
      <c r="H59" s="219">
        <f t="shared" si="4"/>
        <v>4.1624874623871619E-3</v>
      </c>
      <c r="I59" s="219">
        <f t="shared" si="4"/>
        <v>4.1624874623871619E-3</v>
      </c>
      <c r="J59" s="219">
        <f t="shared" si="4"/>
        <v>4.1624874623871619E-3</v>
      </c>
      <c r="K59" s="219">
        <f t="shared" si="4"/>
        <v>4.1624874623871619E-3</v>
      </c>
      <c r="L59" s="219">
        <f t="shared" si="4"/>
        <v>4.1624874623871619E-3</v>
      </c>
      <c r="M59" s="219">
        <f t="shared" si="4"/>
        <v>4.1624874623871619E-3</v>
      </c>
      <c r="N59" s="219">
        <f t="shared" si="4"/>
        <v>4.1624874623871619E-3</v>
      </c>
      <c r="O59" s="219">
        <f t="shared" si="4"/>
        <v>4.5135406218655971E-3</v>
      </c>
      <c r="P59" s="220">
        <f>SUM(D59:O59)</f>
        <v>5.000000000000001E-2</v>
      </c>
      <c r="Q59" s="221">
        <v>2.5000000000000001E-2</v>
      </c>
      <c r="R59" s="222">
        <f t="shared" si="3"/>
        <v>2.5000000000000008E-2</v>
      </c>
      <c r="S59" s="216"/>
      <c r="T59" s="216"/>
      <c r="U59" s="216"/>
      <c r="V59" s="216"/>
      <c r="W59" s="216"/>
      <c r="X59" s="216"/>
      <c r="Y59" s="216"/>
      <c r="Z59" s="216"/>
      <c r="AA59" s="216"/>
      <c r="AB59" s="216"/>
      <c r="AC59" s="216"/>
      <c r="AD59" s="216"/>
    </row>
    <row r="60" spans="1:30" x14ac:dyDescent="0.25">
      <c r="A60" s="622"/>
      <c r="B60" s="624"/>
      <c r="C60" s="227" t="s">
        <v>68</v>
      </c>
      <c r="D60" s="224">
        <f t="shared" si="4"/>
        <v>4.0120361083249758E-3</v>
      </c>
      <c r="E60" s="224">
        <f t="shared" si="4"/>
        <v>4.0120361083249758E-3</v>
      </c>
      <c r="F60" s="224">
        <f t="shared" si="4"/>
        <v>4.1624874623871619E-3</v>
      </c>
      <c r="G60" s="224">
        <f t="shared" si="4"/>
        <v>4.1624874623871619E-3</v>
      </c>
      <c r="H60" s="224">
        <f t="shared" si="4"/>
        <v>4.1624874623871619E-3</v>
      </c>
      <c r="I60" s="224">
        <f t="shared" si="4"/>
        <v>4.1624874623871619E-3</v>
      </c>
      <c r="J60" s="224">
        <f t="shared" si="4"/>
        <v>4.0120361083249758E-3</v>
      </c>
      <c r="K60" s="224">
        <f t="shared" si="4"/>
        <v>0</v>
      </c>
      <c r="L60" s="224">
        <f t="shared" si="4"/>
        <v>0</v>
      </c>
      <c r="M60" s="224">
        <f t="shared" si="4"/>
        <v>0</v>
      </c>
      <c r="N60" s="224">
        <f t="shared" si="4"/>
        <v>0</v>
      </c>
      <c r="O60" s="224">
        <f t="shared" si="4"/>
        <v>0</v>
      </c>
      <c r="P60" s="225">
        <f>SUM(D60:O60)</f>
        <v>2.8686058174523577E-2</v>
      </c>
      <c r="Q60" s="226">
        <f>+P60</f>
        <v>2.8686058174523577E-2</v>
      </c>
      <c r="R60" s="222">
        <f t="shared" si="3"/>
        <v>0</v>
      </c>
      <c r="S60" s="216"/>
      <c r="T60" s="216"/>
      <c r="U60" s="216"/>
      <c r="V60" s="216"/>
      <c r="W60" s="216"/>
      <c r="X60" s="216"/>
      <c r="Y60" s="216"/>
      <c r="Z60" s="216"/>
      <c r="AA60" s="216"/>
      <c r="AB60" s="216"/>
      <c r="AC60" s="216"/>
      <c r="AD60" s="216"/>
    </row>
    <row r="61" spans="1:30" x14ac:dyDescent="0.25">
      <c r="A61" s="584"/>
      <c r="B61" s="586"/>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85"/>
      <c r="B62" s="587"/>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f>
        <v>1.3057262238978242E-2</v>
      </c>
      <c r="E65" s="237">
        <f t="shared" ref="E65:O65" si="5">E58+E60</f>
        <v>1.3057262238978242E-2</v>
      </c>
      <c r="F65" s="237">
        <f t="shared" si="5"/>
        <v>1.2705201030226359E-2</v>
      </c>
      <c r="G65" s="237">
        <f t="shared" si="5"/>
        <v>1.2705201030226359E-2</v>
      </c>
      <c r="H65" s="237">
        <f t="shared" si="5"/>
        <v>1.2705201030226359E-2</v>
      </c>
      <c r="I65" s="237">
        <f t="shared" si="5"/>
        <v>1.2705201030226359E-2</v>
      </c>
      <c r="J65" s="237">
        <f t="shared" si="5"/>
        <v>1.2554749676164174E-2</v>
      </c>
      <c r="K65" s="237">
        <f t="shared" si="5"/>
        <v>0</v>
      </c>
      <c r="L65" s="237">
        <f t="shared" si="5"/>
        <v>0</v>
      </c>
      <c r="M65" s="237">
        <f t="shared" si="5"/>
        <v>0</v>
      </c>
      <c r="N65" s="237">
        <f t="shared" si="5"/>
        <v>0</v>
      </c>
      <c r="O65" s="237">
        <f t="shared" si="5"/>
        <v>0</v>
      </c>
      <c r="P65" s="237">
        <f>P58+P60+P62</f>
        <v>8.9490078275026114E-2</v>
      </c>
      <c r="Q65" s="215"/>
      <c r="R65" s="222">
        <f t="shared" si="3"/>
        <v>8.9490078275026114E-2</v>
      </c>
      <c r="S65" s="216"/>
      <c r="T65" s="216"/>
      <c r="U65" s="216"/>
      <c r="V65" s="216"/>
      <c r="W65" s="216"/>
      <c r="X65" s="216"/>
      <c r="Y65" s="216"/>
      <c r="Z65" s="216"/>
      <c r="AA65" s="216"/>
      <c r="AB65" s="216"/>
      <c r="AC65" s="216"/>
      <c r="AD65" s="216"/>
    </row>
    <row r="66" spans="1:30" x14ac:dyDescent="0.25">
      <c r="A66" s="215"/>
      <c r="B66" s="238"/>
      <c r="C66" s="239" t="s">
        <v>68</v>
      </c>
      <c r="D66" s="240">
        <f>D65*$W$17/$B$34</f>
        <v>2.1762103731630403E-2</v>
      </c>
      <c r="E66" s="240">
        <f t="shared" ref="E66:O66" si="6">E65*$W$17/$B$34</f>
        <v>2.1762103731630403E-2</v>
      </c>
      <c r="F66" s="240">
        <f t="shared" si="6"/>
        <v>2.1175335050377265E-2</v>
      </c>
      <c r="G66" s="240">
        <f t="shared" si="6"/>
        <v>2.1175335050377265E-2</v>
      </c>
      <c r="H66" s="240">
        <f t="shared" si="6"/>
        <v>2.1175335050377265E-2</v>
      </c>
      <c r="I66" s="240">
        <f t="shared" si="6"/>
        <v>2.1175335050377265E-2</v>
      </c>
      <c r="J66" s="240">
        <f t="shared" si="6"/>
        <v>2.0924582793606959E-2</v>
      </c>
      <c r="K66" s="240">
        <f t="shared" si="6"/>
        <v>0</v>
      </c>
      <c r="L66" s="240">
        <f t="shared" si="6"/>
        <v>0</v>
      </c>
      <c r="M66" s="240">
        <f t="shared" si="6"/>
        <v>0</v>
      </c>
      <c r="N66" s="240">
        <f t="shared" si="6"/>
        <v>0</v>
      </c>
      <c r="O66" s="240">
        <f t="shared" si="6"/>
        <v>0</v>
      </c>
      <c r="P66" s="241">
        <f>SUM(D66:O66)</f>
        <v>0.14915013045837683</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+D57+D59</f>
        <v>1.3057262238978242E-2</v>
      </c>
      <c r="E68" s="237">
        <f t="shared" ref="E68:O68" si="7">+E57+E59</f>
        <v>1.3057262238978242E-2</v>
      </c>
      <c r="F68" s="237">
        <f t="shared" si="7"/>
        <v>1.2705201030226359E-2</v>
      </c>
      <c r="G68" s="237">
        <f t="shared" si="7"/>
        <v>1.2705201030226359E-2</v>
      </c>
      <c r="H68" s="237">
        <f t="shared" si="7"/>
        <v>1.2705201030226359E-2</v>
      </c>
      <c r="I68" s="237">
        <f t="shared" si="7"/>
        <v>1.2705201030226359E-2</v>
      </c>
      <c r="J68" s="237">
        <f t="shared" si="7"/>
        <v>1.2705201030226359E-2</v>
      </c>
      <c r="K68" s="237">
        <f t="shared" si="7"/>
        <v>1.2705201030226359E-2</v>
      </c>
      <c r="L68" s="237">
        <f t="shared" si="7"/>
        <v>1.2705201030226359E-2</v>
      </c>
      <c r="M68" s="237">
        <f t="shared" si="7"/>
        <v>1.2705201030226359E-2</v>
      </c>
      <c r="N68" s="237">
        <f t="shared" si="7"/>
        <v>1.2705201030226359E-2</v>
      </c>
      <c r="O68" s="237">
        <f t="shared" si="7"/>
        <v>9.5386662500063016E-3</v>
      </c>
      <c r="P68" s="237">
        <f>+P57+P59+P61</f>
        <v>0.15000000000000005</v>
      </c>
      <c r="Q68" s="221"/>
      <c r="R68" s="221"/>
      <c r="S68" s="216"/>
      <c r="T68" s="216"/>
      <c r="U68" s="216"/>
      <c r="V68" s="216"/>
      <c r="W68" s="216"/>
      <c r="X68" s="216"/>
      <c r="Y68" s="216"/>
      <c r="Z68" s="216"/>
      <c r="AA68" s="216"/>
      <c r="AB68" s="216"/>
      <c r="AC68" s="216"/>
      <c r="AD68" s="216"/>
    </row>
    <row r="69" spans="1:30" x14ac:dyDescent="0.25">
      <c r="A69" s="221"/>
      <c r="B69" s="108"/>
      <c r="C69" s="239" t="s">
        <v>64</v>
      </c>
      <c r="D69" s="240">
        <f>D68*$W$17/$B$34</f>
        <v>2.1762103731630403E-2</v>
      </c>
      <c r="E69" s="240">
        <f t="shared" ref="E69:O69" si="8">E68*$W$17/$B$34</f>
        <v>2.1762103731630403E-2</v>
      </c>
      <c r="F69" s="240">
        <f t="shared" si="8"/>
        <v>2.1175335050377265E-2</v>
      </c>
      <c r="G69" s="240">
        <f t="shared" si="8"/>
        <v>2.1175335050377265E-2</v>
      </c>
      <c r="H69" s="240">
        <f t="shared" si="8"/>
        <v>2.1175335050377265E-2</v>
      </c>
      <c r="I69" s="240">
        <f t="shared" si="8"/>
        <v>2.1175335050377265E-2</v>
      </c>
      <c r="J69" s="240">
        <f t="shared" si="8"/>
        <v>2.1175335050377265E-2</v>
      </c>
      <c r="K69" s="240">
        <f t="shared" si="8"/>
        <v>2.1175335050377265E-2</v>
      </c>
      <c r="L69" s="240">
        <f t="shared" si="8"/>
        <v>2.1175335050377265E-2</v>
      </c>
      <c r="M69" s="240">
        <f t="shared" si="8"/>
        <v>2.1175335050377265E-2</v>
      </c>
      <c r="N69" s="240">
        <f t="shared" si="8"/>
        <v>2.1175335050377265E-2</v>
      </c>
      <c r="O69" s="240">
        <f t="shared" si="8"/>
        <v>1.5897777083343837E-2</v>
      </c>
      <c r="P69" s="241">
        <f>SUM(D69:O69)</f>
        <v>0.25000000000000011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sheetData>
  <mergeCells count="86">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0:C30"/>
    <mergeCell ref="Q30:AD30"/>
    <mergeCell ref="A31:AD31"/>
    <mergeCell ref="A32:A33"/>
    <mergeCell ref="B32:B33"/>
    <mergeCell ref="C32:C33"/>
    <mergeCell ref="D32:P32"/>
    <mergeCell ref="A24:B24"/>
    <mergeCell ref="A25:B25"/>
    <mergeCell ref="A27:AD27"/>
    <mergeCell ref="A28:A29"/>
    <mergeCell ref="B28:C29"/>
    <mergeCell ref="D28:O28"/>
    <mergeCell ref="P28:P29"/>
    <mergeCell ref="Q28:AD29"/>
    <mergeCell ref="A34:A35"/>
    <mergeCell ref="Q32:AD32"/>
    <mergeCell ref="Q33:S33"/>
    <mergeCell ref="T33:V33"/>
    <mergeCell ref="W33:Z33"/>
    <mergeCell ref="AA33:AD33"/>
    <mergeCell ref="B34:B35"/>
    <mergeCell ref="AF22:AM2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s>
  <dataValidations count="3">
    <dataValidation type="list" allowBlank="1" showInputMessage="1" showErrorMessage="1" sqref="C7:C9" xr:uid="{A52D79BD-5086-45AA-90CC-116E5AA48D7E}">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Props1.xml><?xml version="1.0" encoding="utf-8"?>
<ds:datastoreItem xmlns:ds="http://schemas.openxmlformats.org/officeDocument/2006/customXml" ds:itemID="{AF6991B8-9C6A-4EB0-A4DB-EBDF77F91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4.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5</vt:lpstr>
      <vt:lpstr>Meta 6</vt:lpstr>
      <vt:lpstr>Meta 1</vt:lpstr>
      <vt:lpstr>Meta 2</vt:lpstr>
      <vt:lpstr>Meta 3</vt:lpstr>
      <vt:lpstr>Meta 4</vt:lpstr>
      <vt:lpstr>Meta 5.</vt:lpstr>
      <vt:lpstr>Meta 6.</vt:lpstr>
      <vt:lpstr>Meta 7</vt:lpstr>
      <vt:lpstr>Meta 1..n</vt:lpstr>
      <vt:lpstr>Indicadores PA</vt:lpstr>
      <vt:lpstr>Territorialización PA</vt:lpstr>
      <vt:lpstr>Generalidades</vt:lpstr>
      <vt:lpstr>Instructivo</vt:lpstr>
      <vt:lpstr>Hoja13</vt:lpstr>
      <vt:lpstr>Hoja1</vt:lpstr>
      <vt:lpstr>'Meta 1'!Área_de_impresión</vt:lpstr>
      <vt:lpstr>'Meta 2'!Área_de_impresión</vt:lpstr>
      <vt:lpstr>'Meta 3'!Área_de_impresión</vt:lpstr>
      <vt:lpstr>'Meta 4'!Área_de_impresión</vt:lpstr>
      <vt:lpstr>'Meta 5'!Área_de_impresión</vt:lpstr>
      <vt:lpstr>'Meta 5.'!Área_de_impresión</vt:lpstr>
      <vt:lpstr>'Meta 6'!Área_de_impresión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2023-08-17T15:52:41Z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