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673/PLAN DE ACCIÓN/"/>
    </mc:Choice>
  </mc:AlternateContent>
  <xr:revisionPtr revIDLastSave="14" documentId="13_ncr:1_{E771EA89-AD1D-44EE-9729-38FAFF2A839A}" xr6:coauthVersionLast="47" xr6:coauthVersionMax="47" xr10:uidLastSave="{18C034EC-7FCA-4146-A5B8-5391CECF911B}"/>
  <bookViews>
    <workbookView xWindow="-120" yWindow="-120" windowWidth="20730" windowHeight="11160" tabRatio="853" activeTab="1" xr2:uid="{00000000-000D-0000-FFFF-FFFF00000000}"/>
  </bookViews>
  <sheets>
    <sheet name="Meta 1" sheetId="43" r:id="rId1"/>
    <sheet name="Meta 2" sheetId="41" r:id="rId2"/>
    <sheet name="Meta 3" sheetId="42" r:id="rId3"/>
    <sheet name="Meta 4" sheetId="40" r:id="rId4"/>
    <sheet name="Meta 1..n" sheetId="1" state="hidden" r:id="rId5"/>
    <sheet name="Territorialización PA" sheetId="53" r:id="rId6"/>
    <sheet name="Indicadores PA" sheetId="36" r:id="rId7"/>
    <sheet name="Prog.Pptal" sheetId="46" r:id="rId8"/>
    <sheet name="Reserva" sheetId="54" r:id="rId9"/>
    <sheet name="Vigencia" sheetId="47" r:id="rId10"/>
    <sheet name="Avance PDD" sheetId="50" r:id="rId11"/>
    <sheet name="Instructivo" sheetId="39" r:id="rId12"/>
    <sheet name="Generalidades" sheetId="38" r:id="rId13"/>
    <sheet name="Hoja2" sheetId="51" r:id="rId14"/>
    <sheet name="Hoja13" sheetId="32" state="hidden" r:id="rId15"/>
    <sheet name="Hoja1" sheetId="20" state="hidden" r:id="rId16"/>
  </sheets>
  <externalReferences>
    <externalReference r:id="rId17"/>
  </externalReferences>
  <definedNames>
    <definedName name="_xlnm._FilterDatabase" localSheetId="6" hidden="1">'Indicadores PA'!$A$12:$AX$12</definedName>
    <definedName name="_xlnm._FilterDatabase" localSheetId="9"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Area" localSheetId="5">'Territorialización PA'!$A$1:$CH$61</definedName>
    <definedName name="_xlnm.Print_Titles" localSheetId="6">'Indicadores PA'!$1:$12</definedName>
    <definedName name="_xlnm.Print_Titles" localSheetId="5">'Territorialización PA'!$1:$4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4" i="36" l="1"/>
  <c r="AU24" i="36" s="1"/>
  <c r="AP14" i="36"/>
  <c r="AO14" i="36"/>
  <c r="W5" i="50"/>
  <c r="AT13" i="36"/>
  <c r="AU13" i="36" s="1"/>
  <c r="BU40" i="53"/>
  <c r="C142" i="53"/>
  <c r="BV40" i="53"/>
  <c r="BL40" i="53"/>
  <c r="BJ40" i="53"/>
  <c r="BM32" i="53"/>
  <c r="BM12" i="53"/>
  <c r="BM13" i="53"/>
  <c r="BM14" i="53"/>
  <c r="BM15" i="53"/>
  <c r="BM16" i="53"/>
  <c r="BM17" i="53"/>
  <c r="BM18" i="53"/>
  <c r="BM19" i="53"/>
  <c r="BM20" i="53"/>
  <c r="BM21" i="53"/>
  <c r="BM22" i="53"/>
  <c r="BM23" i="53"/>
  <c r="BM24" i="53"/>
  <c r="BM25" i="53"/>
  <c r="BM26" i="53"/>
  <c r="BM27" i="53"/>
  <c r="BM28" i="53"/>
  <c r="BM29" i="53"/>
  <c r="BM30" i="53"/>
  <c r="BM31" i="53"/>
  <c r="BM11" i="53"/>
  <c r="BU31" i="53"/>
  <c r="BF31" i="53"/>
  <c r="BG31" i="53" s="1"/>
  <c r="AZ31" i="53"/>
  <c r="AY31" i="53"/>
  <c r="AD31" i="53"/>
  <c r="AC31" i="53"/>
  <c r="AE31" i="53" s="1"/>
  <c r="V31" i="53"/>
  <c r="O31" i="53"/>
  <c r="H31" i="53"/>
  <c r="G31" i="53"/>
  <c r="N31" i="53" s="1"/>
  <c r="U31" i="53" s="1"/>
  <c r="AB31" i="53" s="1"/>
  <c r="BU30" i="53"/>
  <c r="BF30" i="53"/>
  <c r="BG30" i="53" s="1"/>
  <c r="AZ30" i="53"/>
  <c r="AY30" i="53"/>
  <c r="AD30" i="53"/>
  <c r="AC30" i="53"/>
  <c r="AE30" i="53" s="1"/>
  <c r="V30" i="53"/>
  <c r="O30" i="53"/>
  <c r="H30" i="53"/>
  <c r="G30" i="53"/>
  <c r="N30" i="53" s="1"/>
  <c r="U30" i="53" s="1"/>
  <c r="AB30" i="53" s="1"/>
  <c r="BU29" i="53"/>
  <c r="BF29" i="53"/>
  <c r="BG29" i="53" s="1"/>
  <c r="AZ29" i="53"/>
  <c r="AY29" i="53"/>
  <c r="AD29" i="53"/>
  <c r="AC29" i="53"/>
  <c r="AE29" i="53" s="1"/>
  <c r="V29" i="53"/>
  <c r="O29" i="53"/>
  <c r="H29" i="53"/>
  <c r="G29" i="53"/>
  <c r="N29" i="53" s="1"/>
  <c r="U29" i="53" s="1"/>
  <c r="AB29" i="53" s="1"/>
  <c r="BU28" i="53"/>
  <c r="BF28" i="53"/>
  <c r="BG28" i="53" s="1"/>
  <c r="AZ28" i="53"/>
  <c r="AY28" i="53"/>
  <c r="AD28" i="53"/>
  <c r="AC28" i="53"/>
  <c r="AE28" i="53" s="1"/>
  <c r="V28" i="53"/>
  <c r="O28" i="53"/>
  <c r="H28" i="53"/>
  <c r="G28" i="53"/>
  <c r="N28" i="53" s="1"/>
  <c r="U28" i="53" s="1"/>
  <c r="AB28" i="53" s="1"/>
  <c r="BU27" i="53"/>
  <c r="BF27" i="53"/>
  <c r="BG27" i="53" s="1"/>
  <c r="AZ27" i="53"/>
  <c r="AY27" i="53"/>
  <c r="AD27" i="53"/>
  <c r="AC27" i="53"/>
  <c r="AE27" i="53" s="1"/>
  <c r="V27" i="53"/>
  <c r="O27" i="53"/>
  <c r="H27" i="53"/>
  <c r="G27" i="53"/>
  <c r="N27" i="53" s="1"/>
  <c r="U27" i="53" s="1"/>
  <c r="AB27" i="53" s="1"/>
  <c r="BU26" i="53"/>
  <c r="BF26" i="53"/>
  <c r="BG26" i="53" s="1"/>
  <c r="AZ26" i="53"/>
  <c r="AY26" i="53"/>
  <c r="AD26" i="53"/>
  <c r="AC26" i="53"/>
  <c r="AE26" i="53" s="1"/>
  <c r="V26" i="53"/>
  <c r="O26" i="53"/>
  <c r="H26" i="53"/>
  <c r="G26" i="53"/>
  <c r="N26" i="53" s="1"/>
  <c r="U26" i="53" s="1"/>
  <c r="AB26" i="53" s="1"/>
  <c r="BU25" i="53"/>
  <c r="BF25" i="53"/>
  <c r="BG25" i="53" s="1"/>
  <c r="AZ25" i="53"/>
  <c r="AY25" i="53"/>
  <c r="AD25" i="53"/>
  <c r="AC25" i="53"/>
  <c r="AE25" i="53" s="1"/>
  <c r="V25" i="53"/>
  <c r="O25" i="53"/>
  <c r="H25" i="53"/>
  <c r="G25" i="53"/>
  <c r="N25" i="53" s="1"/>
  <c r="U25" i="53" s="1"/>
  <c r="AB25" i="53" s="1"/>
  <c r="BU24" i="53"/>
  <c r="BF24" i="53"/>
  <c r="BG24" i="53" s="1"/>
  <c r="AZ24" i="53"/>
  <c r="AY24" i="53"/>
  <c r="AD24" i="53"/>
  <c r="AC24" i="53"/>
  <c r="AE24" i="53" s="1"/>
  <c r="V24" i="53"/>
  <c r="O24" i="53"/>
  <c r="H24" i="53"/>
  <c r="G24" i="53"/>
  <c r="N24" i="53" s="1"/>
  <c r="U24" i="53" s="1"/>
  <c r="AB24" i="53" s="1"/>
  <c r="BU23" i="53"/>
  <c r="BF23" i="53"/>
  <c r="BG23" i="53" s="1"/>
  <c r="AZ23" i="53"/>
  <c r="AY23" i="53"/>
  <c r="AD23" i="53"/>
  <c r="AC23" i="53"/>
  <c r="AE23" i="53" s="1"/>
  <c r="V23" i="53"/>
  <c r="O23" i="53"/>
  <c r="H23" i="53"/>
  <c r="G23" i="53"/>
  <c r="N23" i="53" s="1"/>
  <c r="U23" i="53" s="1"/>
  <c r="AB23" i="53" s="1"/>
  <c r="BU22" i="53"/>
  <c r="BF22" i="53"/>
  <c r="BG22" i="53" s="1"/>
  <c r="AZ22" i="53"/>
  <c r="AY22" i="53"/>
  <c r="AD22" i="53"/>
  <c r="AC22" i="53"/>
  <c r="AE22" i="53" s="1"/>
  <c r="V22" i="53"/>
  <c r="O22" i="53"/>
  <c r="H22" i="53"/>
  <c r="G22" i="53"/>
  <c r="N22" i="53" s="1"/>
  <c r="U22" i="53" s="1"/>
  <c r="AB22" i="53" s="1"/>
  <c r="BU21" i="53"/>
  <c r="BF21" i="53"/>
  <c r="BG21" i="53" s="1"/>
  <c r="AZ21" i="53"/>
  <c r="AY21" i="53"/>
  <c r="AD21" i="53"/>
  <c r="AC21" i="53"/>
  <c r="AE21" i="53" s="1"/>
  <c r="V21" i="53"/>
  <c r="O21" i="53"/>
  <c r="H21" i="53"/>
  <c r="G21" i="53"/>
  <c r="N21" i="53" s="1"/>
  <c r="U21" i="53" s="1"/>
  <c r="AB21" i="53" s="1"/>
  <c r="BU20" i="53"/>
  <c r="BF20" i="53"/>
  <c r="BG20" i="53" s="1"/>
  <c r="AZ20" i="53"/>
  <c r="AY20" i="53"/>
  <c r="AD20" i="53"/>
  <c r="AC20" i="53"/>
  <c r="AE20" i="53" s="1"/>
  <c r="V20" i="53"/>
  <c r="O20" i="53"/>
  <c r="H20" i="53"/>
  <c r="G20" i="53"/>
  <c r="N20" i="53" s="1"/>
  <c r="U20" i="53" s="1"/>
  <c r="AB20" i="53" s="1"/>
  <c r="BU19" i="53"/>
  <c r="BF19" i="53"/>
  <c r="BG19" i="53" s="1"/>
  <c r="AZ19" i="53"/>
  <c r="AY19" i="53"/>
  <c r="AD19" i="53"/>
  <c r="AC19" i="53"/>
  <c r="AE19" i="53" s="1"/>
  <c r="V19" i="53"/>
  <c r="O19" i="53"/>
  <c r="H19" i="53"/>
  <c r="G19" i="53"/>
  <c r="N19" i="53" s="1"/>
  <c r="U19" i="53" s="1"/>
  <c r="AB19" i="53" s="1"/>
  <c r="BU18" i="53"/>
  <c r="BF18" i="53"/>
  <c r="BG18" i="53" s="1"/>
  <c r="AZ18" i="53"/>
  <c r="AY18" i="53"/>
  <c r="AD18" i="53"/>
  <c r="AC18" i="53"/>
  <c r="AE18" i="53" s="1"/>
  <c r="V18" i="53"/>
  <c r="O18" i="53"/>
  <c r="H18" i="53"/>
  <c r="G18" i="53"/>
  <c r="N18" i="53" s="1"/>
  <c r="U18" i="53" s="1"/>
  <c r="AB18" i="53" s="1"/>
  <c r="BU17" i="53"/>
  <c r="BF17" i="53"/>
  <c r="BG17" i="53" s="1"/>
  <c r="AZ17" i="53"/>
  <c r="AY17" i="53"/>
  <c r="AD17" i="53"/>
  <c r="AC17" i="53"/>
  <c r="AE17" i="53" s="1"/>
  <c r="V17" i="53"/>
  <c r="O17" i="53"/>
  <c r="H17" i="53"/>
  <c r="G17" i="53"/>
  <c r="N17" i="53" s="1"/>
  <c r="U17" i="53" s="1"/>
  <c r="AB17" i="53" s="1"/>
  <c r="BU16" i="53"/>
  <c r="BF16" i="53"/>
  <c r="BG16" i="53" s="1"/>
  <c r="AZ16" i="53"/>
  <c r="AY16" i="53"/>
  <c r="AD16" i="53"/>
  <c r="AC16" i="53"/>
  <c r="AE16" i="53" s="1"/>
  <c r="V16" i="53"/>
  <c r="O16" i="53"/>
  <c r="H16" i="53"/>
  <c r="G16" i="53"/>
  <c r="N16" i="53" s="1"/>
  <c r="U16" i="53" s="1"/>
  <c r="AB16" i="53" s="1"/>
  <c r="BU15" i="53"/>
  <c r="BF15" i="53"/>
  <c r="BG15" i="53" s="1"/>
  <c r="AZ15" i="53"/>
  <c r="AY15" i="53"/>
  <c r="AD15" i="53"/>
  <c r="AC15" i="53"/>
  <c r="AE15" i="53" s="1"/>
  <c r="V15" i="53"/>
  <c r="O15" i="53"/>
  <c r="H15" i="53"/>
  <c r="G15" i="53"/>
  <c r="N15" i="53" s="1"/>
  <c r="U15" i="53" s="1"/>
  <c r="AB15" i="53" s="1"/>
  <c r="BU14" i="53"/>
  <c r="BF14" i="53"/>
  <c r="BG14" i="53" s="1"/>
  <c r="AZ14" i="53"/>
  <c r="AY14" i="53"/>
  <c r="AD14" i="53"/>
  <c r="AC14" i="53"/>
  <c r="AE14" i="53" s="1"/>
  <c r="V14" i="53"/>
  <c r="O14" i="53"/>
  <c r="H14" i="53"/>
  <c r="G14" i="53"/>
  <c r="N14" i="53" s="1"/>
  <c r="U14" i="53" s="1"/>
  <c r="AB14" i="53" s="1"/>
  <c r="BU13" i="53"/>
  <c r="BF13" i="53"/>
  <c r="BG13" i="53" s="1"/>
  <c r="AZ13" i="53"/>
  <c r="AY13" i="53"/>
  <c r="AD13" i="53"/>
  <c r="AC13" i="53"/>
  <c r="AE13" i="53" s="1"/>
  <c r="V13" i="53"/>
  <c r="O13" i="53"/>
  <c r="H13" i="53"/>
  <c r="G13" i="53"/>
  <c r="N13" i="53" s="1"/>
  <c r="U13" i="53" s="1"/>
  <c r="AB13" i="53" s="1"/>
  <c r="BU12" i="53"/>
  <c r="BF12" i="53"/>
  <c r="BG12" i="53" s="1"/>
  <c r="AZ12" i="53"/>
  <c r="AY12" i="53"/>
  <c r="AD12" i="53"/>
  <c r="AC12" i="53"/>
  <c r="AE12" i="53" s="1"/>
  <c r="V12" i="53"/>
  <c r="O12" i="53"/>
  <c r="H12" i="53"/>
  <c r="H11" i="53" s="1"/>
  <c r="G12" i="53"/>
  <c r="N12" i="53" s="1"/>
  <c r="U12" i="53" s="1"/>
  <c r="AB12" i="53" s="1"/>
  <c r="BU11" i="53"/>
  <c r="BF11" i="53"/>
  <c r="AZ11" i="53"/>
  <c r="BV11" i="53" s="1"/>
  <c r="AY11" i="53"/>
  <c r="AD11" i="53"/>
  <c r="V11" i="53"/>
  <c r="O11" i="53"/>
  <c r="G11" i="53"/>
  <c r="N11" i="53" s="1"/>
  <c r="U11" i="53" s="1"/>
  <c r="AB11" i="53" s="1"/>
  <c r="Y23" i="43"/>
  <c r="O25" i="43"/>
  <c r="P45" i="43"/>
  <c r="P44" i="43"/>
  <c r="P43" i="43"/>
  <c r="P42" i="43"/>
  <c r="P41" i="43"/>
  <c r="P40" i="43"/>
  <c r="P39" i="43"/>
  <c r="P38" i="43"/>
  <c r="P35" i="43"/>
  <c r="P49" i="43"/>
  <c r="P48" i="43"/>
  <c r="P47" i="43"/>
  <c r="P46" i="43"/>
  <c r="P34" i="43"/>
  <c r="B34" i="43"/>
  <c r="A34" i="43"/>
  <c r="BM40" i="53" l="1"/>
  <c r="AC11" i="53"/>
  <c r="AE11" i="53" s="1"/>
  <c r="BV12" i="53"/>
  <c r="BV14" i="53"/>
  <c r="BV16" i="53"/>
  <c r="BV18" i="53"/>
  <c r="BV20" i="53"/>
  <c r="BV22" i="53"/>
  <c r="BV24" i="53"/>
  <c r="BV26" i="53"/>
  <c r="BV28" i="53"/>
  <c r="BV30" i="53"/>
  <c r="BV13" i="53"/>
  <c r="BV15" i="53"/>
  <c r="BV17" i="53"/>
  <c r="BV19" i="53"/>
  <c r="BV21" i="53"/>
  <c r="BV23" i="53"/>
  <c r="BV25" i="53"/>
  <c r="BV27" i="53"/>
  <c r="BV29" i="53"/>
  <c r="BV31" i="53"/>
  <c r="AH27" i="43" l="1"/>
  <c r="K25" i="42"/>
  <c r="K25" i="43"/>
  <c r="AM5" i="54"/>
  <c r="AH26" i="43"/>
  <c r="BI6" i="54"/>
  <c r="BI5" i="54"/>
  <c r="A30" i="42"/>
  <c r="L43" i="40"/>
  <c r="K43" i="40"/>
  <c r="U40" i="53"/>
  <c r="N40" i="53"/>
  <c r="J25" i="42"/>
  <c r="J25" i="43"/>
  <c r="AR35" i="40"/>
  <c r="AR61" i="42"/>
  <c r="AR57" i="42"/>
  <c r="AR53" i="42"/>
  <c r="AR48" i="42"/>
  <c r="AR45" i="42"/>
  <c r="AR35" i="42"/>
  <c r="AM35" i="41"/>
  <c r="AP35" i="43"/>
  <c r="P43" i="40"/>
  <c r="C132" i="53"/>
  <c r="F6" i="46"/>
  <c r="F5" i="46"/>
  <c r="F4" i="46"/>
  <c r="F3" i="46"/>
  <c r="AT23" i="36" l="1"/>
  <c r="AU23" i="36" s="1"/>
  <c r="AQ35" i="40"/>
  <c r="AO35" i="43"/>
  <c r="I25" i="43"/>
  <c r="I25" i="42"/>
  <c r="BI37" i="54"/>
  <c r="BI36" i="54"/>
  <c r="AM36" i="54"/>
  <c r="BA41" i="54"/>
  <c r="AM41" i="54"/>
  <c r="AK47" i="54"/>
  <c r="AJ47" i="54"/>
  <c r="AI47" i="54"/>
  <c r="AM47" i="54"/>
  <c r="AL47" i="54"/>
  <c r="BA36" i="54"/>
  <c r="BA34" i="54"/>
  <c r="AN36" i="54"/>
  <c r="AT26" i="36"/>
  <c r="J44" i="40"/>
  <c r="J42" i="40"/>
  <c r="AQ45" i="42"/>
  <c r="AP45" i="42"/>
  <c r="AQ57" i="42"/>
  <c r="AQ61" i="42"/>
  <c r="AQ53" i="42"/>
  <c r="AQ48" i="42"/>
  <c r="AQ35" i="42"/>
  <c r="P47" i="42"/>
  <c r="P46" i="42"/>
  <c r="P45" i="42"/>
  <c r="P44" i="42"/>
  <c r="P43" i="42"/>
  <c r="P42" i="42"/>
  <c r="P41" i="42"/>
  <c r="P40" i="42"/>
  <c r="P39" i="42"/>
  <c r="P38" i="42"/>
  <c r="AB24" i="42"/>
  <c r="W22" i="43"/>
  <c r="AB24" i="41"/>
  <c r="AA24" i="41"/>
  <c r="Y24" i="41"/>
  <c r="W22" i="41"/>
  <c r="AB24" i="43"/>
  <c r="AL35" i="41"/>
  <c r="C122" i="53"/>
  <c r="BT32" i="53"/>
  <c r="BS32" i="53"/>
  <c r="BR32" i="53"/>
  <c r="BQ32" i="53"/>
  <c r="BP32" i="53"/>
  <c r="BO32" i="53"/>
  <c r="BN32" i="53"/>
  <c r="BL32" i="53"/>
  <c r="BK32" i="53"/>
  <c r="BJ32" i="53"/>
  <c r="BI32" i="53"/>
  <c r="BH32" i="53"/>
  <c r="BE32" i="53"/>
  <c r="BD32" i="53"/>
  <c r="BC32" i="53"/>
  <c r="BB32" i="53"/>
  <c r="BA32" i="53"/>
  <c r="AX32" i="53"/>
  <c r="AV32" i="53"/>
  <c r="AU32" i="53"/>
  <c r="AT32" i="53"/>
  <c r="AQ32" i="53"/>
  <c r="AP32" i="53"/>
  <c r="AO32" i="53"/>
  <c r="AN32" i="53"/>
  <c r="AM32" i="53"/>
  <c r="AL32" i="53"/>
  <c r="AK32" i="53"/>
  <c r="AJ32" i="53"/>
  <c r="AI32" i="53"/>
  <c r="AH32" i="53"/>
  <c r="AG32" i="53"/>
  <c r="AF32" i="53"/>
  <c r="AA32" i="53"/>
  <c r="Z32" i="53"/>
  <c r="Y32" i="53"/>
  <c r="X32" i="53"/>
  <c r="W32" i="53"/>
  <c r="T32" i="53"/>
  <c r="S32" i="53"/>
  <c r="R32" i="53"/>
  <c r="Q32" i="53"/>
  <c r="P32" i="53"/>
  <c r="M32" i="53"/>
  <c r="L32" i="53"/>
  <c r="K32" i="53"/>
  <c r="J32" i="53"/>
  <c r="I32" i="53"/>
  <c r="F32" i="53"/>
  <c r="E32" i="53"/>
  <c r="D32" i="53"/>
  <c r="C32" i="53"/>
  <c r="B32" i="53"/>
  <c r="V32" i="53"/>
  <c r="O32" i="53"/>
  <c r="H32" i="53"/>
  <c r="BU32" i="53"/>
  <c r="BF32" i="53"/>
  <c r="AY32" i="53"/>
  <c r="AD32" i="53"/>
  <c r="B59" i="40"/>
  <c r="A59" i="40"/>
  <c r="B57" i="40"/>
  <c r="A57" i="40"/>
  <c r="B55" i="40"/>
  <c r="A55" i="40"/>
  <c r="B53" i="40"/>
  <c r="A53" i="40"/>
  <c r="P45" i="40"/>
  <c r="N44" i="40"/>
  <c r="M44" i="40"/>
  <c r="L44" i="40"/>
  <c r="K44" i="40"/>
  <c r="I44" i="40"/>
  <c r="H44" i="40"/>
  <c r="G44" i="40"/>
  <c r="F44" i="40"/>
  <c r="L42" i="40"/>
  <c r="K42" i="40"/>
  <c r="I42" i="40"/>
  <c r="H42" i="40"/>
  <c r="G42" i="40"/>
  <c r="F42" i="40"/>
  <c r="P41" i="40"/>
  <c r="G40" i="40"/>
  <c r="F40" i="40"/>
  <c r="P39" i="40"/>
  <c r="G38" i="40"/>
  <c r="P38" i="40" s="1"/>
  <c r="O54" i="40" s="1"/>
  <c r="F38" i="40"/>
  <c r="AP35" i="40"/>
  <c r="AO35" i="40"/>
  <c r="AN35" i="40"/>
  <c r="AM35" i="40"/>
  <c r="AL35" i="40"/>
  <c r="B34" i="40"/>
  <c r="P30" i="40"/>
  <c r="A30" i="40"/>
  <c r="AC25" i="40"/>
  <c r="O25" i="40"/>
  <c r="AB24" i="40"/>
  <c r="AC24" i="40" s="1"/>
  <c r="O24" i="40"/>
  <c r="AC23" i="40"/>
  <c r="O23" i="40"/>
  <c r="P23" i="40" s="1"/>
  <c r="AC22" i="40"/>
  <c r="O22" i="40"/>
  <c r="AM17" i="36"/>
  <c r="C113" i="53"/>
  <c r="E107" i="47"/>
  <c r="E106" i="47"/>
  <c r="E108" i="47"/>
  <c r="E109" i="47"/>
  <c r="H25" i="42"/>
  <c r="H25" i="43"/>
  <c r="AM18" i="54"/>
  <c r="AO18" i="54" s="1"/>
  <c r="AM3" i="54"/>
  <c r="BB47" i="54"/>
  <c r="AW47" i="54"/>
  <c r="BD46" i="54"/>
  <c r="BF46" i="54" s="1"/>
  <c r="BD45" i="54"/>
  <c r="BF45" i="54"/>
  <c r="AV45" i="54"/>
  <c r="AY45" i="54" s="1"/>
  <c r="AN45" i="54"/>
  <c r="B45" i="54"/>
  <c r="BA44" i="54"/>
  <c r="BD44" i="54"/>
  <c r="BF44" i="54" s="1"/>
  <c r="AV44" i="54"/>
  <c r="AY44" i="54" s="1"/>
  <c r="AN44" i="54"/>
  <c r="B44" i="54"/>
  <c r="BD43" i="54"/>
  <c r="BF43" i="54" s="1"/>
  <c r="AV43" i="54"/>
  <c r="AY43" i="54"/>
  <c r="AN43" i="54"/>
  <c r="B43" i="54"/>
  <c r="BD42" i="54"/>
  <c r="BF42" i="54"/>
  <c r="AV42" i="54"/>
  <c r="AY42" i="54" s="1"/>
  <c r="AN42" i="54"/>
  <c r="B42" i="54"/>
  <c r="BD41" i="54"/>
  <c r="BF41" i="54" s="1"/>
  <c r="AV41" i="54"/>
  <c r="AY41" i="54"/>
  <c r="AN41" i="54"/>
  <c r="B41" i="54"/>
  <c r="BD40" i="54"/>
  <c r="BF40" i="54"/>
  <c r="AV40" i="54"/>
  <c r="AY40" i="54" s="1"/>
  <c r="AN40" i="54"/>
  <c r="B40" i="54"/>
  <c r="BD39" i="54"/>
  <c r="BF39" i="54" s="1"/>
  <c r="AW39" i="54"/>
  <c r="AY39" i="54"/>
  <c r="AN39" i="54"/>
  <c r="B39" i="54"/>
  <c r="BD38" i="54"/>
  <c r="BF38" i="54"/>
  <c r="AY38" i="54"/>
  <c r="AN38" i="54"/>
  <c r="B38" i="54"/>
  <c r="BD37" i="54"/>
  <c r="BF37" i="54" s="1"/>
  <c r="AY37" i="54"/>
  <c r="AN37" i="54"/>
  <c r="B37" i="54"/>
  <c r="BC36" i="54"/>
  <c r="BD36" i="54" s="1"/>
  <c r="BF36" i="54" s="1"/>
  <c r="AX36" i="54"/>
  <c r="AV36" i="54"/>
  <c r="B36" i="54"/>
  <c r="BC35" i="54"/>
  <c r="AY35" i="54"/>
  <c r="AN35" i="54"/>
  <c r="B35" i="54"/>
  <c r="BD34" i="54"/>
  <c r="BF34" i="54"/>
  <c r="AV34" i="54"/>
  <c r="B34" i="54"/>
  <c r="BN16" i="54"/>
  <c r="BL16" i="54"/>
  <c r="BJ16" i="54"/>
  <c r="BE16" i="54"/>
  <c r="AK15" i="54"/>
  <c r="AJ15" i="54"/>
  <c r="AI15" i="54"/>
  <c r="BD14" i="54"/>
  <c r="BF14" i="54" s="1"/>
  <c r="AN14" i="54"/>
  <c r="AL14" i="54"/>
  <c r="AV14" i="54" s="1"/>
  <c r="AY14" i="54" s="1"/>
  <c r="BA13" i="54"/>
  <c r="BD13" i="54" s="1"/>
  <c r="BF13" i="54" s="1"/>
  <c r="AV13" i="54"/>
  <c r="AY13" i="54" s="1"/>
  <c r="AN13" i="54"/>
  <c r="BD12" i="54"/>
  <c r="BF12" i="54" s="1"/>
  <c r="AN12" i="54"/>
  <c r="AL12" i="54"/>
  <c r="BD11" i="54"/>
  <c r="BF11" i="54"/>
  <c r="AY11" i="54"/>
  <c r="AV11" i="54"/>
  <c r="AN11" i="54"/>
  <c r="BD10" i="54"/>
  <c r="BA10" i="54"/>
  <c r="AV10" i="54"/>
  <c r="AY10" i="54"/>
  <c r="AN10" i="54"/>
  <c r="AM10" i="54"/>
  <c r="BD9" i="54"/>
  <c r="BF9" i="54"/>
  <c r="AY9" i="54"/>
  <c r="AV9" i="54"/>
  <c r="AN9" i="54"/>
  <c r="BD8" i="54"/>
  <c r="BF8" i="54" s="1"/>
  <c r="BB8" i="54"/>
  <c r="BB16" i="54"/>
  <c r="AW8" i="54"/>
  <c r="AW16" i="54"/>
  <c r="BB18" i="54" s="1"/>
  <c r="AN8" i="54"/>
  <c r="BD7" i="54"/>
  <c r="BF7" i="54" s="1"/>
  <c r="AY7" i="54"/>
  <c r="AN7" i="54"/>
  <c r="BD6" i="54"/>
  <c r="BF6" i="54" s="1"/>
  <c r="AY6" i="54"/>
  <c r="AN6" i="54"/>
  <c r="BM5" i="54"/>
  <c r="BM16" i="54"/>
  <c r="AY5" i="54"/>
  <c r="AX5" i="54"/>
  <c r="AX16" i="54" s="1"/>
  <c r="AV5" i="54"/>
  <c r="AN5" i="54"/>
  <c r="BC4" i="54"/>
  <c r="BD4" i="54" s="1"/>
  <c r="BF4" i="54" s="1"/>
  <c r="AY4" i="54"/>
  <c r="AN4" i="54"/>
  <c r="AV3" i="54"/>
  <c r="AY3" i="54" s="1"/>
  <c r="BF10" i="54"/>
  <c r="AM15" i="54"/>
  <c r="BA5" i="54"/>
  <c r="AY8" i="54"/>
  <c r="BC5" i="54"/>
  <c r="BC16" i="54"/>
  <c r="BA47" i="54"/>
  <c r="AO19" i="54"/>
  <c r="AP61" i="42"/>
  <c r="AP57" i="42"/>
  <c r="AP53" i="42"/>
  <c r="AP48" i="42"/>
  <c r="AP35" i="42"/>
  <c r="AO61" i="42"/>
  <c r="AN61" i="42"/>
  <c r="AM61" i="42"/>
  <c r="AL61" i="42"/>
  <c r="AO57" i="42"/>
  <c r="AN57" i="42"/>
  <c r="AM57" i="42"/>
  <c r="AL57" i="42"/>
  <c r="AO53" i="42"/>
  <c r="AN53" i="42"/>
  <c r="AM53" i="42"/>
  <c r="AL53" i="42"/>
  <c r="AO48" i="42"/>
  <c r="AN48" i="42"/>
  <c r="AM48" i="42"/>
  <c r="AL48" i="42"/>
  <c r="AK48" i="42"/>
  <c r="AO45" i="42"/>
  <c r="AN45" i="42"/>
  <c r="AM45" i="42"/>
  <c r="AL45" i="42"/>
  <c r="AK45" i="42"/>
  <c r="AO35" i="42"/>
  <c r="AN35" i="42"/>
  <c r="AM35" i="42"/>
  <c r="AL35" i="42"/>
  <c r="AK35" i="42"/>
  <c r="AK35" i="41"/>
  <c r="AJ35" i="41"/>
  <c r="AI35" i="41"/>
  <c r="AH35" i="41"/>
  <c r="AG35" i="41"/>
  <c r="AF35" i="41"/>
  <c r="AN35" i="43"/>
  <c r="AM35" i="43"/>
  <c r="AL35" i="43"/>
  <c r="AK35" i="43"/>
  <c r="AJ35" i="43"/>
  <c r="AI35" i="43"/>
  <c r="C106" i="53"/>
  <c r="C100" i="53"/>
  <c r="C93" i="53"/>
  <c r="C95" i="53" s="1"/>
  <c r="A91" i="53"/>
  <c r="AS68" i="53"/>
  <c r="CH61" i="53"/>
  <c r="CG61" i="53"/>
  <c r="CF61" i="53"/>
  <c r="CE61" i="53"/>
  <c r="CD61" i="53"/>
  <c r="CC61" i="53"/>
  <c r="CB61" i="53"/>
  <c r="CA61" i="53"/>
  <c r="BZ61" i="53"/>
  <c r="BY61" i="53"/>
  <c r="BX61" i="53"/>
  <c r="BW61" i="53"/>
  <c r="BT61" i="53"/>
  <c r="BS61" i="53"/>
  <c r="BR61" i="53"/>
  <c r="BQ61" i="53"/>
  <c r="BP61" i="53"/>
  <c r="BO61" i="53"/>
  <c r="BN61" i="53"/>
  <c r="BL61" i="53"/>
  <c r="BK61" i="53"/>
  <c r="BJ61" i="53"/>
  <c r="BI61" i="53"/>
  <c r="BG61" i="53"/>
  <c r="BD61" i="53"/>
  <c r="BB61" i="53"/>
  <c r="AZ61" i="53"/>
  <c r="AW61" i="53"/>
  <c r="AU61" i="53"/>
  <c r="AQ61" i="53"/>
  <c r="AP61" i="53"/>
  <c r="AO61" i="53"/>
  <c r="AN61" i="53"/>
  <c r="AM61" i="53"/>
  <c r="AL61" i="53"/>
  <c r="AK61" i="53"/>
  <c r="AJ61" i="53"/>
  <c r="AI61" i="53"/>
  <c r="AH61" i="53"/>
  <c r="AG61" i="53"/>
  <c r="AF61" i="53"/>
  <c r="AC61" i="53"/>
  <c r="AA61" i="53"/>
  <c r="Z61" i="53"/>
  <c r="Y61" i="53"/>
  <c r="X61" i="53"/>
  <c r="W61" i="53"/>
  <c r="V61" i="53"/>
  <c r="T61" i="53"/>
  <c r="S61" i="53"/>
  <c r="R61" i="53"/>
  <c r="Q61" i="53"/>
  <c r="P61" i="53"/>
  <c r="O61" i="53"/>
  <c r="M61" i="53"/>
  <c r="L61" i="53"/>
  <c r="K61" i="53"/>
  <c r="J61" i="53"/>
  <c r="I61" i="53"/>
  <c r="H61" i="53"/>
  <c r="F61" i="53"/>
  <c r="E61" i="53"/>
  <c r="D61" i="53"/>
  <c r="C61" i="53"/>
  <c r="B61" i="53"/>
  <c r="BV60" i="53"/>
  <c r="BU60" i="53"/>
  <c r="AE60" i="53"/>
  <c r="AD60" i="53"/>
  <c r="BV59" i="53"/>
  <c r="BU59" i="53"/>
  <c r="AE59" i="53"/>
  <c r="AD59" i="53"/>
  <c r="BV58" i="53"/>
  <c r="BU58" i="53"/>
  <c r="AE58" i="53"/>
  <c r="AD58" i="53"/>
  <c r="BV57" i="53"/>
  <c r="BU57" i="53"/>
  <c r="AE57" i="53"/>
  <c r="AD57" i="53"/>
  <c r="BV56" i="53"/>
  <c r="BU56" i="53"/>
  <c r="AE56" i="53"/>
  <c r="AD56" i="53"/>
  <c r="BV55" i="53"/>
  <c r="BU55" i="53"/>
  <c r="AE55" i="53"/>
  <c r="AD55" i="53"/>
  <c r="BV54" i="53"/>
  <c r="BU54" i="53"/>
  <c r="AE54" i="53"/>
  <c r="AD54" i="53"/>
  <c r="BV53" i="53"/>
  <c r="BU53" i="53"/>
  <c r="AE53" i="53"/>
  <c r="AD53" i="53"/>
  <c r="BV52" i="53"/>
  <c r="BU52" i="53"/>
  <c r="AE52" i="53"/>
  <c r="AD52" i="53"/>
  <c r="BV51" i="53"/>
  <c r="BU51" i="53"/>
  <c r="AE51" i="53"/>
  <c r="AD51" i="53"/>
  <c r="BV50" i="53"/>
  <c r="BU50" i="53"/>
  <c r="AE50" i="53"/>
  <c r="AD50" i="53"/>
  <c r="BV49" i="53"/>
  <c r="BU49" i="53"/>
  <c r="AE49" i="53"/>
  <c r="AD49" i="53"/>
  <c r="BV48" i="53"/>
  <c r="BU48" i="53"/>
  <c r="AE48" i="53"/>
  <c r="AD48" i="53"/>
  <c r="BV47" i="53"/>
  <c r="BU47" i="53"/>
  <c r="AE47" i="53"/>
  <c r="AD47" i="53"/>
  <c r="BV46" i="53"/>
  <c r="BU46" i="53"/>
  <c r="AE46" i="53"/>
  <c r="AD46" i="53"/>
  <c r="BV45" i="53"/>
  <c r="BU45" i="53"/>
  <c r="AE45" i="53"/>
  <c r="AD45" i="53"/>
  <c r="BV44" i="53"/>
  <c r="BU44" i="53"/>
  <c r="AE44" i="53"/>
  <c r="AD44" i="53"/>
  <c r="BV43" i="53"/>
  <c r="BU43" i="53"/>
  <c r="AE43" i="53"/>
  <c r="AD43" i="53"/>
  <c r="BV42" i="53"/>
  <c r="BU42" i="53"/>
  <c r="AE42" i="53"/>
  <c r="AD42" i="53"/>
  <c r="BV41" i="53"/>
  <c r="BU41" i="53"/>
  <c r="AE41" i="53"/>
  <c r="AD41" i="53"/>
  <c r="BV61" i="53"/>
  <c r="AE40" i="53"/>
  <c r="AE61" i="53"/>
  <c r="AD40" i="53"/>
  <c r="AD61" i="53" s="1"/>
  <c r="G40" i="53"/>
  <c r="CH32" i="53"/>
  <c r="CG32" i="53"/>
  <c r="CF32" i="53"/>
  <c r="CE32" i="53"/>
  <c r="CD32" i="53"/>
  <c r="CC32" i="53"/>
  <c r="CB32" i="53"/>
  <c r="CA32" i="53"/>
  <c r="BZ32" i="53"/>
  <c r="BY32" i="53"/>
  <c r="BX32" i="53"/>
  <c r="BW32" i="53"/>
  <c r="P30" i="43"/>
  <c r="A30" i="43"/>
  <c r="AC25" i="43"/>
  <c r="G25" i="43"/>
  <c r="F25" i="43"/>
  <c r="AC24" i="43"/>
  <c r="B108" i="47"/>
  <c r="F24" i="43"/>
  <c r="O24" i="43"/>
  <c r="AC23" i="43"/>
  <c r="B107" i="47" s="1"/>
  <c r="O23" i="43"/>
  <c r="P23" i="43" s="1"/>
  <c r="V22" i="43"/>
  <c r="U22" i="43"/>
  <c r="T22" i="43"/>
  <c r="AC22" i="43" s="1"/>
  <c r="O22" i="43"/>
  <c r="B109" i="47"/>
  <c r="P25" i="43"/>
  <c r="AD25" i="43"/>
  <c r="AE38" i="43"/>
  <c r="AE48" i="43"/>
  <c r="AE46" i="43"/>
  <c r="AE44" i="43"/>
  <c r="AE42" i="43"/>
  <c r="AE40" i="43"/>
  <c r="D19" i="51"/>
  <c r="C19" i="51"/>
  <c r="B19" i="51"/>
  <c r="E17" i="51"/>
  <c r="E16" i="51"/>
  <c r="E15" i="51"/>
  <c r="E14" i="51"/>
  <c r="E13" i="51"/>
  <c r="E12" i="51"/>
  <c r="E11" i="51"/>
  <c r="E10" i="51"/>
  <c r="E9" i="51"/>
  <c r="E8" i="51"/>
  <c r="E7" i="51"/>
  <c r="E6" i="51"/>
  <c r="E5" i="51"/>
  <c r="E4" i="51"/>
  <c r="E3" i="51"/>
  <c r="P3" i="50"/>
  <c r="J2" i="50"/>
  <c r="AC23" i="42"/>
  <c r="D107" i="47" s="1"/>
  <c r="L3" i="50"/>
  <c r="K3" i="50"/>
  <c r="M3" i="50" s="1"/>
  <c r="J3" i="50"/>
  <c r="AT25" i="36"/>
  <c r="AU25" i="36" s="1"/>
  <c r="AT22" i="36"/>
  <c r="AU22" i="36" s="1"/>
  <c r="AT21" i="36"/>
  <c r="AU21" i="36" s="1"/>
  <c r="AT20" i="36"/>
  <c r="AU20" i="36" s="1"/>
  <c r="AT19" i="36"/>
  <c r="AU19" i="36" s="1"/>
  <c r="AT18" i="36"/>
  <c r="AU18" i="36" s="1"/>
  <c r="AT17" i="36"/>
  <c r="AU17" i="36" s="1"/>
  <c r="AT16" i="36"/>
  <c r="AU16" i="36" s="1"/>
  <c r="AT15" i="36"/>
  <c r="AU15" i="36" s="1"/>
  <c r="I3" i="50"/>
  <c r="I2" i="50"/>
  <c r="AC25" i="42"/>
  <c r="D109" i="47" s="1"/>
  <c r="D24" i="42"/>
  <c r="P39" i="41"/>
  <c r="P38" i="41"/>
  <c r="P35" i="41"/>
  <c r="P34" i="41"/>
  <c r="B34" i="41"/>
  <c r="A34" i="41"/>
  <c r="Q3" i="50"/>
  <c r="R3" i="50"/>
  <c r="S3" i="50"/>
  <c r="T3" i="50"/>
  <c r="U3" i="50"/>
  <c r="V3" i="50"/>
  <c r="W3" i="50"/>
  <c r="X3" i="50"/>
  <c r="Y3" i="50"/>
  <c r="Z3" i="50"/>
  <c r="O3" i="50"/>
  <c r="P2" i="50"/>
  <c r="Q2" i="50"/>
  <c r="R2" i="50"/>
  <c r="S2" i="50"/>
  <c r="T2" i="50"/>
  <c r="U2" i="50"/>
  <c r="V2" i="50"/>
  <c r="W2" i="50"/>
  <c r="X2" i="50"/>
  <c r="Y2" i="50"/>
  <c r="Z2" i="50"/>
  <c r="O2" i="50"/>
  <c r="AA2" i="50" s="1"/>
  <c r="G6" i="50"/>
  <c r="F5" i="50"/>
  <c r="E5" i="50"/>
  <c r="D5" i="50"/>
  <c r="C5" i="50"/>
  <c r="B5" i="50"/>
  <c r="G4" i="50"/>
  <c r="G3" i="50"/>
  <c r="G2" i="50"/>
  <c r="M2" i="50"/>
  <c r="B34" i="42"/>
  <c r="AK83" i="47"/>
  <c r="AL83" i="47"/>
  <c r="AM83" i="47"/>
  <c r="AN83" i="47"/>
  <c r="AO83" i="47"/>
  <c r="AP83" i="47"/>
  <c r="AQ83" i="47"/>
  <c r="AR83" i="47"/>
  <c r="AS83" i="47"/>
  <c r="O23" i="41"/>
  <c r="O22" i="41"/>
  <c r="T22" i="42"/>
  <c r="AA75" i="47"/>
  <c r="U22" i="42"/>
  <c r="AA67" i="47"/>
  <c r="AV67" i="47" s="1"/>
  <c r="V22" i="42"/>
  <c r="AA65" i="47"/>
  <c r="AA61" i="47"/>
  <c r="AA59" i="47"/>
  <c r="AA78" i="47" s="1"/>
  <c r="AA57" i="47"/>
  <c r="F7" i="46"/>
  <c r="J3" i="46" s="1"/>
  <c r="B62" i="42"/>
  <c r="A62" i="42"/>
  <c r="A60" i="42"/>
  <c r="A58" i="42"/>
  <c r="B54" i="42"/>
  <c r="A54" i="42"/>
  <c r="B60" i="42"/>
  <c r="B58" i="42"/>
  <c r="B56" i="42"/>
  <c r="AA81" i="47"/>
  <c r="AT68" i="47"/>
  <c r="AT67" i="47"/>
  <c r="AS81" i="47"/>
  <c r="AQ81" i="47"/>
  <c r="AO81" i="47"/>
  <c r="AN81" i="47"/>
  <c r="AM81" i="47"/>
  <c r="AL81" i="47"/>
  <c r="AU81" i="47" s="1"/>
  <c r="AW81" i="47" s="1"/>
  <c r="AK81" i="47"/>
  <c r="AJ81" i="47"/>
  <c r="AI81" i="47"/>
  <c r="AU77" i="47"/>
  <c r="AX77" i="47" s="1"/>
  <c r="BB77" i="47" s="1"/>
  <c r="AT55" i="47"/>
  <c r="AT81" i="47"/>
  <c r="AR55" i="47"/>
  <c r="AP55" i="47"/>
  <c r="AP81" i="47"/>
  <c r="AR81" i="47"/>
  <c r="A34" i="42"/>
  <c r="K7" i="46"/>
  <c r="M59" i="42"/>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U76" i="47" s="1"/>
  <c r="AZ76" i="47" s="1"/>
  <c r="AN75" i="47"/>
  <c r="AS68" i="47"/>
  <c r="AS67" i="47"/>
  <c r="AR68" i="47"/>
  <c r="AR67" i="47"/>
  <c r="AQ68" i="47"/>
  <c r="AQ67" i="47"/>
  <c r="AP68" i="47"/>
  <c r="AP67" i="47"/>
  <c r="AO68" i="47"/>
  <c r="AO67" i="47"/>
  <c r="AN68" i="47"/>
  <c r="AU68" i="47" s="1"/>
  <c r="AN67" i="47"/>
  <c r="AM68" i="47"/>
  <c r="AM67" i="47"/>
  <c r="AB68" i="47"/>
  <c r="AB67" i="47"/>
  <c r="AT62" i="47"/>
  <c r="AS62" i="47"/>
  <c r="AR62" i="47"/>
  <c r="AR82" i="47" s="1"/>
  <c r="AQ62" i="47"/>
  <c r="AP62" i="47"/>
  <c r="AO62" i="47"/>
  <c r="AN62" i="47"/>
  <c r="AM62" i="47"/>
  <c r="AL62" i="47"/>
  <c r="AK62" i="47"/>
  <c r="AK82" i="47"/>
  <c r="AJ62" i="47"/>
  <c r="AI62" i="47"/>
  <c r="AT61" i="47"/>
  <c r="AS61" i="47"/>
  <c r="AR61" i="47"/>
  <c r="AQ61" i="47"/>
  <c r="AP61" i="47"/>
  <c r="AO61" i="47"/>
  <c r="AN61" i="47"/>
  <c r="AM61" i="47"/>
  <c r="AL61" i="47"/>
  <c r="AK61" i="47"/>
  <c r="AJ61" i="47"/>
  <c r="AI61" i="47"/>
  <c r="AB62" i="47"/>
  <c r="AB61" i="47"/>
  <c r="AT60" i="47"/>
  <c r="AT59" i="47"/>
  <c r="AN58" i="47"/>
  <c r="AN57" i="47"/>
  <c r="AN80" i="47" s="1"/>
  <c r="AT58" i="47"/>
  <c r="AT57" i="47"/>
  <c r="AS58" i="47"/>
  <c r="AS57" i="47"/>
  <c r="AR58" i="47"/>
  <c r="AR57" i="47"/>
  <c r="AQ58" i="47"/>
  <c r="AQ57" i="47"/>
  <c r="AP58" i="47"/>
  <c r="AP57" i="47"/>
  <c r="AO58" i="47"/>
  <c r="AO57" i="47"/>
  <c r="AO78" i="47" s="1"/>
  <c r="AB60" i="47"/>
  <c r="AB59" i="47"/>
  <c r="AA60" i="47"/>
  <c r="AB58" i="47"/>
  <c r="AA58" i="47"/>
  <c r="AB57" i="47"/>
  <c r="AT66" i="47"/>
  <c r="AT65" i="47"/>
  <c r="AS66" i="47"/>
  <c r="AS65" i="47"/>
  <c r="AR66" i="47"/>
  <c r="AR65" i="47"/>
  <c r="AR80" i="47" s="1"/>
  <c r="AQ66" i="47"/>
  <c r="AQ65" i="47"/>
  <c r="AP66" i="47"/>
  <c r="AP65" i="47"/>
  <c r="AP78" i="47" s="1"/>
  <c r="AO66" i="47"/>
  <c r="AO65" i="47"/>
  <c r="AN66" i="47"/>
  <c r="AN65" i="47"/>
  <c r="AM66" i="47"/>
  <c r="AM65" i="47"/>
  <c r="AL66" i="47"/>
  <c r="AL65" i="47"/>
  <c r="AL78" i="47" s="1"/>
  <c r="AK66" i="47"/>
  <c r="AK65" i="47"/>
  <c r="AJ66" i="47"/>
  <c r="AJ65" i="47"/>
  <c r="AI66" i="47"/>
  <c r="AI65" i="47"/>
  <c r="AB66" i="47"/>
  <c r="AB65" i="47"/>
  <c r="AA76" i="47"/>
  <c r="AA68" i="47"/>
  <c r="AA66" i="47"/>
  <c r="AA62" i="47"/>
  <c r="AT76" i="47"/>
  <c r="AJ76" i="47"/>
  <c r="AI76" i="47"/>
  <c r="AU60" i="47"/>
  <c r="AO82" i="47"/>
  <c r="AQ82" i="47"/>
  <c r="AS82" i="47"/>
  <c r="AL80" i="47"/>
  <c r="AL82" i="47"/>
  <c r="AM78" i="47"/>
  <c r="AM80" i="47"/>
  <c r="AM82" i="47"/>
  <c r="AP82" i="47"/>
  <c r="AU55" i="47"/>
  <c r="AV55" i="47" s="1"/>
  <c r="AX76" i="47"/>
  <c r="BB76" i="47" s="1"/>
  <c r="AU58" i="47"/>
  <c r="AZ58" i="47" s="1"/>
  <c r="AU66" i="47"/>
  <c r="AZ66" i="47"/>
  <c r="AT69" i="47"/>
  <c r="AS69" i="47"/>
  <c r="AR69" i="47"/>
  <c r="AR78" i="47"/>
  <c r="AQ69" i="47"/>
  <c r="AP69" i="47"/>
  <c r="AP80" i="47"/>
  <c r="AO69" i="47"/>
  <c r="O24" i="42"/>
  <c r="AV68" i="47"/>
  <c r="AO80" i="47"/>
  <c r="AX58" i="47"/>
  <c r="BB58" i="47" s="1"/>
  <c r="AV66" i="47"/>
  <c r="AV76" i="47"/>
  <c r="AV58" i="47"/>
  <c r="AX66" i="47"/>
  <c r="AU53" i="47"/>
  <c r="AV53" i="47" s="1"/>
  <c r="AT6" i="47"/>
  <c r="AT3" i="47"/>
  <c r="AT4" i="47"/>
  <c r="AT5" i="47"/>
  <c r="AT8" i="47"/>
  <c r="AT9" i="47"/>
  <c r="AT10" i="47"/>
  <c r="AT11" i="47"/>
  <c r="AT12" i="47"/>
  <c r="AT13" i="47"/>
  <c r="AU13" i="47" s="1"/>
  <c r="AT14" i="47"/>
  <c r="AT15" i="47"/>
  <c r="AT16" i="47"/>
  <c r="AT17" i="47"/>
  <c r="AT18" i="47"/>
  <c r="AT19" i="47"/>
  <c r="AT20" i="47"/>
  <c r="AT21" i="47"/>
  <c r="AT22" i="47"/>
  <c r="AT23" i="47"/>
  <c r="AT24" i="47"/>
  <c r="AT25" i="47"/>
  <c r="AT26" i="47"/>
  <c r="AT27" i="47"/>
  <c r="AT28" i="47"/>
  <c r="AT29" i="47"/>
  <c r="AT30" i="47"/>
  <c r="AT31" i="47"/>
  <c r="AT32" i="47"/>
  <c r="AT33" i="47"/>
  <c r="AT82" i="47" s="1"/>
  <c r="AT34" i="47"/>
  <c r="AT35" i="47"/>
  <c r="AT36" i="47"/>
  <c r="AT37" i="47"/>
  <c r="AT38" i="47"/>
  <c r="AT39" i="47"/>
  <c r="AT40" i="47"/>
  <c r="AT41" i="47"/>
  <c r="AT42" i="47"/>
  <c r="AT43" i="47"/>
  <c r="AT44" i="47"/>
  <c r="AT45" i="47"/>
  <c r="AU45" i="47" s="1"/>
  <c r="AT46" i="47"/>
  <c r="AT47" i="47"/>
  <c r="AT48" i="47"/>
  <c r="AT49" i="47"/>
  <c r="AT50" i="47"/>
  <c r="AT51" i="47"/>
  <c r="AT52" i="47"/>
  <c r="AU54" i="47"/>
  <c r="AU59" i="47"/>
  <c r="AZ59" i="47" s="1"/>
  <c r="AU71" i="47"/>
  <c r="AT73" i="47"/>
  <c r="AT74" i="47"/>
  <c r="AT83" i="47" s="1"/>
  <c r="AT75" i="47"/>
  <c r="AT2" i="47"/>
  <c r="AU56" i="47"/>
  <c r="AV56" i="47" s="1"/>
  <c r="AU63" i="47"/>
  <c r="AV63" i="47" s="1"/>
  <c r="AU64" i="47"/>
  <c r="AV64" i="47" s="1"/>
  <c r="AU67" i="47"/>
  <c r="AU69" i="47"/>
  <c r="AV69" i="47" s="1"/>
  <c r="AU70" i="47"/>
  <c r="AZ70" i="47" s="1"/>
  <c r="BB70" i="47" s="1"/>
  <c r="AJ3" i="47"/>
  <c r="AJ4" i="47"/>
  <c r="AJ5" i="47"/>
  <c r="AU5" i="47" s="1"/>
  <c r="AX5" i="47" s="1"/>
  <c r="BB5" i="47" s="1"/>
  <c r="AJ6" i="47"/>
  <c r="AU6" i="47" s="1"/>
  <c r="AJ7" i="47"/>
  <c r="AU7" i="47" s="1"/>
  <c r="AX7" i="47" s="1"/>
  <c r="BB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83" i="47" s="1"/>
  <c r="AJ74" i="47"/>
  <c r="AU74" i="47" s="1"/>
  <c r="AV74" i="47" s="1"/>
  <c r="AJ75" i="47"/>
  <c r="AJ2" i="47"/>
  <c r="AI3" i="47"/>
  <c r="AI4" i="47"/>
  <c r="AU4" i="47" s="1"/>
  <c r="AV4" i="47" s="1"/>
  <c r="AI5" i="47"/>
  <c r="AI8" i="47"/>
  <c r="AU8" i="47" s="1"/>
  <c r="AX8" i="47" s="1"/>
  <c r="AI9" i="47"/>
  <c r="AI10" i="47"/>
  <c r="AU10" i="47" s="1"/>
  <c r="AX10" i="47" s="1"/>
  <c r="BB10" i="47" s="1"/>
  <c r="AI11" i="47"/>
  <c r="AI12" i="47"/>
  <c r="AI13" i="47"/>
  <c r="AI14" i="47"/>
  <c r="AI15" i="47"/>
  <c r="AI16" i="47"/>
  <c r="AU16" i="47" s="1"/>
  <c r="AI17" i="47"/>
  <c r="AI18" i="47"/>
  <c r="AI19" i="47"/>
  <c r="AI20" i="47"/>
  <c r="AU20" i="47" s="1"/>
  <c r="AV20" i="47" s="1"/>
  <c r="AI21" i="47"/>
  <c r="AI22" i="47"/>
  <c r="AI23" i="47"/>
  <c r="AI24" i="47"/>
  <c r="AI25" i="47"/>
  <c r="AU25" i="47" s="1"/>
  <c r="AI26" i="47"/>
  <c r="AU26" i="47" s="1"/>
  <c r="AX26" i="47" s="1"/>
  <c r="BB26" i="47" s="1"/>
  <c r="AI27" i="47"/>
  <c r="AI28" i="47"/>
  <c r="AU28" i="47" s="1"/>
  <c r="AX28" i="47" s="1"/>
  <c r="AI29" i="47"/>
  <c r="AU29" i="47" s="1"/>
  <c r="AI30" i="47"/>
  <c r="AI31" i="47"/>
  <c r="AI32" i="47"/>
  <c r="AI33" i="47"/>
  <c r="AI34" i="47"/>
  <c r="AI35" i="47"/>
  <c r="AI36" i="47"/>
  <c r="AI37" i="47"/>
  <c r="AI38" i="47"/>
  <c r="AI39" i="47"/>
  <c r="AI40" i="47"/>
  <c r="AU40" i="47" s="1"/>
  <c r="AI41" i="47"/>
  <c r="AI42" i="47"/>
  <c r="AU42" i="47" s="1"/>
  <c r="AV42" i="47" s="1"/>
  <c r="AI43" i="47"/>
  <c r="AI44" i="47"/>
  <c r="AI45" i="47"/>
  <c r="AI46" i="47"/>
  <c r="AI47" i="47"/>
  <c r="AI48" i="47"/>
  <c r="AI49" i="47"/>
  <c r="AI50" i="47"/>
  <c r="AI51" i="47"/>
  <c r="AI52" i="47"/>
  <c r="AU52" i="47" s="1"/>
  <c r="AZ52" i="47" s="1"/>
  <c r="AU72" i="47"/>
  <c r="AV72" i="47" s="1"/>
  <c r="AI73" i="47"/>
  <c r="AI83" i="47" s="1"/>
  <c r="AI74" i="47"/>
  <c r="AI75" i="47"/>
  <c r="AI2" i="47"/>
  <c r="AI80" i="47" s="1"/>
  <c r="A56" i="42"/>
  <c r="AC24" i="41"/>
  <c r="C108" i="47" s="1"/>
  <c r="A30" i="41"/>
  <c r="B51" i="43"/>
  <c r="P30" i="42"/>
  <c r="O25" i="42"/>
  <c r="P25" i="42" s="1"/>
  <c r="AC24" i="42"/>
  <c r="AD25" i="42" s="1"/>
  <c r="O23" i="42"/>
  <c r="P23" i="42"/>
  <c r="AC22" i="42"/>
  <c r="O22" i="42"/>
  <c r="P30" i="41"/>
  <c r="AC25" i="41"/>
  <c r="AD25" i="41" s="1"/>
  <c r="O25" i="41"/>
  <c r="P25" i="41" s="1"/>
  <c r="O24" i="41"/>
  <c r="AC23" i="41"/>
  <c r="P23" i="41"/>
  <c r="AC22" i="41"/>
  <c r="P28" i="1"/>
  <c r="P24" i="1"/>
  <c r="P29" i="1"/>
  <c r="P32" i="1"/>
  <c r="P34" i="1"/>
  <c r="P35" i="1"/>
  <c r="P36" i="1"/>
  <c r="P37" i="1"/>
  <c r="P38" i="1"/>
  <c r="P39" i="1"/>
  <c r="N4" i="20"/>
  <c r="N3" i="20"/>
  <c r="F8" i="20"/>
  <c r="F7" i="20"/>
  <c r="J7" i="20"/>
  <c r="J6" i="20"/>
  <c r="J5" i="20"/>
  <c r="J4" i="20"/>
  <c r="J3" i="20"/>
  <c r="F6" i="20"/>
  <c r="F5" i="20"/>
  <c r="F4" i="20"/>
  <c r="F3" i="20"/>
  <c r="P33" i="1"/>
  <c r="D108" i="47"/>
  <c r="F108" i="47"/>
  <c r="C106" i="47"/>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O67" i="42" s="1"/>
  <c r="K55" i="42"/>
  <c r="D54" i="42"/>
  <c r="J55" i="42"/>
  <c r="N55" i="42"/>
  <c r="F55" i="42"/>
  <c r="I54" i="42"/>
  <c r="E55" i="42"/>
  <c r="H54" i="42"/>
  <c r="L55" i="42"/>
  <c r="G54" i="42"/>
  <c r="F54" i="42"/>
  <c r="M54" i="42"/>
  <c r="M67" i="42" s="1"/>
  <c r="E54" i="42"/>
  <c r="K57" i="42"/>
  <c r="N56" i="42"/>
  <c r="N67" i="42" s="1"/>
  <c r="N68" i="42" s="1"/>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P62" i="42" s="1"/>
  <c r="M63" i="42"/>
  <c r="E63" i="42"/>
  <c r="H62" i="42"/>
  <c r="O62" i="42"/>
  <c r="K63" i="42"/>
  <c r="F62" i="42"/>
  <c r="O63" i="42"/>
  <c r="G63" i="42"/>
  <c r="J62" i="42"/>
  <c r="G62" i="42"/>
  <c r="E62" i="42"/>
  <c r="N63" i="42"/>
  <c r="F63" i="42"/>
  <c r="I62" i="42"/>
  <c r="L63" i="42"/>
  <c r="N62" i="42"/>
  <c r="J63" i="42"/>
  <c r="AU51" i="47"/>
  <c r="AV51" i="47" s="1"/>
  <c r="AZ51" i="47"/>
  <c r="BB51" i="47" s="1"/>
  <c r="AU47" i="47"/>
  <c r="AZ47" i="47"/>
  <c r="BB47" i="47"/>
  <c r="AU43" i="47"/>
  <c r="AZ43" i="47" s="1"/>
  <c r="BB43" i="47" s="1"/>
  <c r="AU39" i="47"/>
  <c r="AU35" i="47"/>
  <c r="AZ35" i="47"/>
  <c r="BB35" i="47" s="1"/>
  <c r="AU31" i="47"/>
  <c r="AX31" i="47" s="1"/>
  <c r="BB31" i="47"/>
  <c r="AU27" i="47"/>
  <c r="AX27" i="47" s="1"/>
  <c r="BB27" i="47" s="1"/>
  <c r="AU23" i="47"/>
  <c r="AX23" i="47" s="1"/>
  <c r="BB23" i="47" s="1"/>
  <c r="AU19" i="47"/>
  <c r="AX19" i="47" s="1"/>
  <c r="BB19" i="47"/>
  <c r="AU15" i="47"/>
  <c r="AU11" i="47"/>
  <c r="AX11" i="47"/>
  <c r="BB11" i="47" s="1"/>
  <c r="AX4" i="47"/>
  <c r="BB4" i="47" s="1"/>
  <c r="AU41" i="47"/>
  <c r="AV41" i="47" s="1"/>
  <c r="AU9" i="47"/>
  <c r="AX9" i="47" s="1"/>
  <c r="BB9" i="47" s="1"/>
  <c r="BB52" i="47"/>
  <c r="AU48" i="47"/>
  <c r="AU44" i="47"/>
  <c r="AV44" i="47"/>
  <c r="AU36" i="47"/>
  <c r="AV36" i="47" s="1"/>
  <c r="BB28" i="47"/>
  <c r="AU24" i="47"/>
  <c r="AX20" i="47"/>
  <c r="BB20" i="47"/>
  <c r="AU12" i="47"/>
  <c r="AV8" i="47"/>
  <c r="AU73" i="47"/>
  <c r="BA74" i="47"/>
  <c r="BB74" i="47" s="1"/>
  <c r="AV7" i="47"/>
  <c r="AV70" i="47"/>
  <c r="AX69" i="47"/>
  <c r="BB69" i="47"/>
  <c r="AV71" i="47"/>
  <c r="AX71" i="47"/>
  <c r="BB71" i="47" s="1"/>
  <c r="AX63" i="47"/>
  <c r="BB63" i="47" s="1"/>
  <c r="AX53" i="47"/>
  <c r="BB53" i="47" s="1"/>
  <c r="AX67" i="47"/>
  <c r="AZ67" i="47"/>
  <c r="AU75" i="47"/>
  <c r="AZ75" i="47" s="1"/>
  <c r="AV59" i="47"/>
  <c r="AX59" i="47"/>
  <c r="BB59" i="47" s="1"/>
  <c r="AU50" i="47"/>
  <c r="AU46" i="47"/>
  <c r="AV46" i="47" s="1"/>
  <c r="AU38" i="47"/>
  <c r="AV38" i="47" s="1"/>
  <c r="AU34" i="47"/>
  <c r="AZ34" i="47" s="1"/>
  <c r="BB34" i="47" s="1"/>
  <c r="AU30" i="47"/>
  <c r="AU22" i="47"/>
  <c r="AU18" i="47"/>
  <c r="AX18" i="47" s="1"/>
  <c r="BB18" i="47" s="1"/>
  <c r="AU14" i="47"/>
  <c r="AX14" i="47" s="1"/>
  <c r="BB14" i="47" s="1"/>
  <c r="AX64" i="47"/>
  <c r="BB64" i="47"/>
  <c r="AU65" i="47"/>
  <c r="E67" i="42"/>
  <c r="E68" i="42" s="1"/>
  <c r="E34" i="42" s="1"/>
  <c r="M68" i="42"/>
  <c r="M34" i="42" s="1"/>
  <c r="N64" i="42"/>
  <c r="N65" i="42" s="1"/>
  <c r="N35" i="42" s="1"/>
  <c r="Y4" i="50" s="1"/>
  <c r="Y5" i="50" s="1"/>
  <c r="O68" i="42"/>
  <c r="O34" i="42" s="1"/>
  <c r="N34" i="42"/>
  <c r="L67" i="42"/>
  <c r="L68" i="42" s="1"/>
  <c r="L34" i="42" s="1"/>
  <c r="F67" i="42"/>
  <c r="F68" i="42" s="1"/>
  <c r="F34" i="42" s="1"/>
  <c r="J67" i="42"/>
  <c r="J68" i="42" s="1"/>
  <c r="J34" i="42" s="1"/>
  <c r="M64" i="42"/>
  <c r="M65" i="42" s="1"/>
  <c r="M35" i="42" s="1"/>
  <c r="I67" i="42"/>
  <c r="I68" i="42" s="1"/>
  <c r="I34" i="42" s="1"/>
  <c r="D67" i="42"/>
  <c r="D68" i="42" s="1"/>
  <c r="K67" i="42"/>
  <c r="K68" i="42" s="1"/>
  <c r="K34" i="42" s="1"/>
  <c r="P63" i="42"/>
  <c r="H64" i="42"/>
  <c r="H65" i="42" s="1"/>
  <c r="I64" i="42"/>
  <c r="I65" i="42" s="1"/>
  <c r="G64" i="42"/>
  <c r="G65" i="42" s="1"/>
  <c r="G35" i="42" s="1"/>
  <c r="F64" i="42"/>
  <c r="F65" i="42"/>
  <c r="F35" i="42" s="1"/>
  <c r="AX40" i="53" s="1"/>
  <c r="AX61" i="53" s="1"/>
  <c r="O64" i="42"/>
  <c r="O65" i="42" s="1"/>
  <c r="P60" i="42"/>
  <c r="P59" i="42"/>
  <c r="P58" i="42"/>
  <c r="P61" i="42"/>
  <c r="P56" i="42"/>
  <c r="AV27" i="47"/>
  <c r="AV11" i="47"/>
  <c r="AV35" i="47"/>
  <c r="BB8" i="47"/>
  <c r="AV31" i="47"/>
  <c r="AV43" i="47"/>
  <c r="AV47" i="47"/>
  <c r="AZ44" i="47"/>
  <c r="BB44" i="47"/>
  <c r="AV28" i="47"/>
  <c r="AV9" i="47"/>
  <c r="AV52" i="47"/>
  <c r="AV75" i="47"/>
  <c r="AV18" i="47"/>
  <c r="AZ50" i="47"/>
  <c r="BB50" i="47" s="1"/>
  <c r="AV50" i="47"/>
  <c r="AX75" i="47"/>
  <c r="BB75" i="47" s="1"/>
  <c r="AX22" i="47"/>
  <c r="BB22" i="47" s="1"/>
  <c r="AV22" i="47"/>
  <c r="AZ38" i="47"/>
  <c r="BB38" i="47" s="1"/>
  <c r="AV26" i="47"/>
  <c r="AV65" i="47"/>
  <c r="AZ65" i="47"/>
  <c r="BB65" i="47" s="1"/>
  <c r="AX65" i="47"/>
  <c r="AV14" i="47"/>
  <c r="AX30" i="47"/>
  <c r="BB30" i="47" s="1"/>
  <c r="AV30" i="47"/>
  <c r="AZ46" i="47"/>
  <c r="BB46" i="47"/>
  <c r="P54" i="42"/>
  <c r="O35" i="42"/>
  <c r="Z4" i="50" s="1"/>
  <c r="Z5" i="50" s="1"/>
  <c r="I35" i="42"/>
  <c r="BE40" i="53" s="1"/>
  <c r="BE61" i="53" s="1"/>
  <c r="H35" i="42"/>
  <c r="BC40" i="53" s="1"/>
  <c r="BC61" i="53" s="1"/>
  <c r="Q4" i="50"/>
  <c r="T4" i="50"/>
  <c r="T5" i="50" s="1"/>
  <c r="AM14" i="36"/>
  <c r="Q5" i="50"/>
  <c r="AJ14" i="36" s="1"/>
  <c r="AD25" i="40" l="1"/>
  <c r="AA3" i="50"/>
  <c r="C109" i="47"/>
  <c r="F109" i="47" s="1"/>
  <c r="G109" i="47" s="1"/>
  <c r="L64" i="42"/>
  <c r="L65" i="42" s="1"/>
  <c r="L35" i="42" s="1"/>
  <c r="W4" i="50" s="1"/>
  <c r="P57" i="42"/>
  <c r="K64" i="42"/>
  <c r="K65" i="42" s="1"/>
  <c r="K35" i="42" s="1"/>
  <c r="V4" i="50" s="1"/>
  <c r="V5" i="50" s="1"/>
  <c r="BD5" i="54"/>
  <c r="BF5" i="54" s="1"/>
  <c r="BK5" i="54" s="1"/>
  <c r="BK16" i="54" s="1"/>
  <c r="BC18" i="54"/>
  <c r="J5" i="46"/>
  <c r="J6" i="46"/>
  <c r="J4" i="46"/>
  <c r="J7" i="46" s="1"/>
  <c r="AX13" i="47"/>
  <c r="BB13" i="47" s="1"/>
  <c r="AV13" i="47"/>
  <c r="L4" i="50"/>
  <c r="L5" i="50" s="1"/>
  <c r="X4" i="50"/>
  <c r="X5" i="50" s="1"/>
  <c r="AX29" i="47"/>
  <c r="BB29" i="47" s="1"/>
  <c r="AV29" i="47"/>
  <c r="AX25" i="47"/>
  <c r="BB25" i="47" s="1"/>
  <c r="AV25" i="47"/>
  <c r="J4" i="50"/>
  <c r="J5" i="50" s="1"/>
  <c r="BA40" i="53"/>
  <c r="BF40" i="53" s="1"/>
  <c r="R4" i="50"/>
  <c r="R5" i="50" s="1"/>
  <c r="AK14" i="36" s="1"/>
  <c r="AX6" i="47"/>
  <c r="BB6" i="47" s="1"/>
  <c r="AV6" i="47"/>
  <c r="AZ45" i="47"/>
  <c r="BB45" i="47" s="1"/>
  <c r="AV45" i="47"/>
  <c r="D34" i="42"/>
  <c r="AD23" i="43"/>
  <c r="B106" i="47"/>
  <c r="AY36" i="54"/>
  <c r="AX47" i="54"/>
  <c r="AT80" i="47"/>
  <c r="S4" i="50"/>
  <c r="S5" i="50" s="1"/>
  <c r="AL14" i="36" s="1"/>
  <c r="AY55" i="47"/>
  <c r="BB55" i="47" s="1"/>
  <c r="BB67" i="47"/>
  <c r="AV73" i="47"/>
  <c r="BA73" i="47"/>
  <c r="BB73" i="47" s="1"/>
  <c r="AT78" i="47"/>
  <c r="AU49" i="47"/>
  <c r="AU33" i="47"/>
  <c r="AU17" i="47"/>
  <c r="AU3" i="47"/>
  <c r="AV10" i="47"/>
  <c r="AV34" i="47"/>
  <c r="AV5" i="47"/>
  <c r="BA72" i="47"/>
  <c r="BB72" i="47" s="1"/>
  <c r="AV23" i="47"/>
  <c r="AV39" i="47"/>
  <c r="AZ39" i="47"/>
  <c r="BB39" i="47" s="1"/>
  <c r="E64" i="42"/>
  <c r="E65" i="42" s="1"/>
  <c r="E35" i="42" s="1"/>
  <c r="J64" i="42"/>
  <c r="J65" i="42" s="1"/>
  <c r="J35" i="42" s="1"/>
  <c r="AD23" i="42"/>
  <c r="D106" i="47"/>
  <c r="AZ40" i="47"/>
  <c r="BB40" i="47" s="1"/>
  <c r="AV40" i="47"/>
  <c r="AI82" i="47"/>
  <c r="AX16" i="47"/>
  <c r="BB16" i="47" s="1"/>
  <c r="AV16" i="47"/>
  <c r="AJ80" i="47"/>
  <c r="AU80" i="47" s="1"/>
  <c r="AW80" i="47" s="1"/>
  <c r="AJ82" i="47"/>
  <c r="C107" i="47"/>
  <c r="F107" i="47" s="1"/>
  <c r="AD23" i="41"/>
  <c r="AU83" i="47"/>
  <c r="AW83" i="47" s="1"/>
  <c r="AV54" i="47"/>
  <c r="AX54" i="47"/>
  <c r="BB54" i="47" s="1"/>
  <c r="M53" i="40"/>
  <c r="K54" i="40"/>
  <c r="D53" i="40"/>
  <c r="J54" i="40"/>
  <c r="M54" i="40"/>
  <c r="H54" i="40"/>
  <c r="E53" i="40"/>
  <c r="L53" i="40"/>
  <c r="N53" i="40"/>
  <c r="O53" i="40"/>
  <c r="J53" i="40"/>
  <c r="L54" i="40"/>
  <c r="G54" i="40"/>
  <c r="F54" i="40"/>
  <c r="D54" i="40"/>
  <c r="H53" i="40"/>
  <c r="K53" i="40"/>
  <c r="I53" i="40"/>
  <c r="I54" i="40"/>
  <c r="E54" i="40"/>
  <c r="N54" i="40"/>
  <c r="G53" i="40"/>
  <c r="F53" i="40"/>
  <c r="AI78" i="47"/>
  <c r="AU2" i="47"/>
  <c r="AU37" i="47"/>
  <c r="AU21" i="47"/>
  <c r="AZ42" i="47"/>
  <c r="BB42" i="47" s="1"/>
  <c r="AV12" i="47"/>
  <c r="AX12" i="47"/>
  <c r="BB12" i="47" s="1"/>
  <c r="AV24" i="47"/>
  <c r="AX24" i="47"/>
  <c r="BB24" i="47" s="1"/>
  <c r="AZ36" i="47"/>
  <c r="BB36" i="47" s="1"/>
  <c r="AZ48" i="47"/>
  <c r="BB48" i="47" s="1"/>
  <c r="AV48" i="47"/>
  <c r="AZ41" i="47"/>
  <c r="BB41" i="47" s="1"/>
  <c r="AX15" i="47"/>
  <c r="BB15" i="47" s="1"/>
  <c r="AV15" i="47"/>
  <c r="G67" i="42"/>
  <c r="G68" i="42" s="1"/>
  <c r="G34" i="42" s="1"/>
  <c r="P55" i="42"/>
  <c r="P64" i="42" s="1"/>
  <c r="D64" i="42"/>
  <c r="D65" i="42" s="1"/>
  <c r="H67" i="42"/>
  <c r="H68" i="42" s="1"/>
  <c r="H34" i="42" s="1"/>
  <c r="AM21" i="54"/>
  <c r="BD35" i="54"/>
  <c r="BF35" i="54" s="1"/>
  <c r="BC47" i="54"/>
  <c r="BD47" i="54" s="1"/>
  <c r="AN3" i="54"/>
  <c r="AN15" i="54" s="1"/>
  <c r="BA3" i="54"/>
  <c r="N32" i="53"/>
  <c r="K57" i="40"/>
  <c r="AV19" i="47"/>
  <c r="AX56" i="47"/>
  <c r="BB56" i="47" s="1"/>
  <c r="AU32" i="47"/>
  <c r="AJ78" i="47"/>
  <c r="BB66" i="47"/>
  <c r="G5" i="50"/>
  <c r="AV12" i="54"/>
  <c r="AL15" i="54"/>
  <c r="AZ60" i="47"/>
  <c r="AV60" i="47"/>
  <c r="AX60" i="47"/>
  <c r="AQ80" i="47"/>
  <c r="AQ78" i="47"/>
  <c r="AS78" i="47"/>
  <c r="AS80" i="47"/>
  <c r="AU57" i="47"/>
  <c r="AN78" i="47"/>
  <c r="AK80" i="47"/>
  <c r="AK78" i="47"/>
  <c r="AU61" i="47"/>
  <c r="AU62" i="47"/>
  <c r="AN82" i="47"/>
  <c r="AX68" i="47"/>
  <c r="AZ68" i="47"/>
  <c r="AY34" i="54"/>
  <c r="AV47" i="54"/>
  <c r="AN47" i="54"/>
  <c r="BG32" i="53"/>
  <c r="G55" i="40"/>
  <c r="G57" i="40"/>
  <c r="AD23" i="40"/>
  <c r="AC32" i="53"/>
  <c r="AE32" i="53"/>
  <c r="P40" i="40"/>
  <c r="P42" i="40"/>
  <c r="G32" i="53"/>
  <c r="P44" i="40"/>
  <c r="H108" i="47" l="1"/>
  <c r="I59" i="40"/>
  <c r="D60" i="40"/>
  <c r="O60" i="40"/>
  <c r="I60" i="40"/>
  <c r="F60" i="40"/>
  <c r="L60" i="40"/>
  <c r="M60" i="40"/>
  <c r="G60" i="40"/>
  <c r="N60" i="40"/>
  <c r="E60" i="40"/>
  <c r="L59" i="40"/>
  <c r="K60" i="40"/>
  <c r="O59" i="40"/>
  <c r="M59" i="40"/>
  <c r="H60" i="40"/>
  <c r="D59" i="40"/>
  <c r="F59" i="40"/>
  <c r="E59" i="40"/>
  <c r="J59" i="40"/>
  <c r="N59" i="40"/>
  <c r="J60" i="40"/>
  <c r="AV62" i="47"/>
  <c r="AZ62" i="47"/>
  <c r="AX62" i="47"/>
  <c r="BB62" i="47" s="1"/>
  <c r="BD3" i="54"/>
  <c r="BA16" i="54"/>
  <c r="AU78" i="47"/>
  <c r="M64" i="40"/>
  <c r="M65" i="40" s="1"/>
  <c r="M34" i="40" s="1"/>
  <c r="P4" i="50"/>
  <c r="P5" i="50" s="1"/>
  <c r="AV40" i="53"/>
  <c r="AV61" i="53" s="1"/>
  <c r="AV3" i="47"/>
  <c r="AX3" i="47"/>
  <c r="BB3" i="47" s="1"/>
  <c r="H59" i="40"/>
  <c r="G59" i="40"/>
  <c r="AZ61" i="47"/>
  <c r="AV61" i="47"/>
  <c r="AX61" i="47"/>
  <c r="BB61" i="47" s="1"/>
  <c r="AV57" i="47"/>
  <c r="AZ57" i="47"/>
  <c r="AX57" i="47"/>
  <c r="BB57" i="47" s="1"/>
  <c r="AX21" i="47"/>
  <c r="BB21" i="47" s="1"/>
  <c r="AV21" i="47"/>
  <c r="K59" i="40"/>
  <c r="P67" i="42"/>
  <c r="P34" i="42"/>
  <c r="BF61" i="53"/>
  <c r="BA61" i="53"/>
  <c r="AY47" i="54"/>
  <c r="BB60" i="47"/>
  <c r="AY12" i="54"/>
  <c r="AY16" i="54" s="1"/>
  <c r="AV16" i="54"/>
  <c r="AV32" i="47"/>
  <c r="AZ32" i="47"/>
  <c r="BB32" i="47" s="1"/>
  <c r="AB32" i="53"/>
  <c r="U32" i="53"/>
  <c r="AV37" i="47"/>
  <c r="AZ37" i="47"/>
  <c r="BB37" i="47" s="1"/>
  <c r="P54" i="40"/>
  <c r="P53" i="40"/>
  <c r="AU82" i="47"/>
  <c r="AW82" i="47" s="1"/>
  <c r="AV33" i="47"/>
  <c r="AZ33" i="47"/>
  <c r="BB33" i="47" s="1"/>
  <c r="P68" i="42"/>
  <c r="H64" i="40"/>
  <c r="H65" i="40" s="1"/>
  <c r="H34" i="40" s="1"/>
  <c r="AX17" i="47"/>
  <c r="BB17" i="47" s="1"/>
  <c r="AV17" i="47"/>
  <c r="L58" i="40"/>
  <c r="E57" i="40"/>
  <c r="D57" i="40"/>
  <c r="N58" i="40"/>
  <c r="N57" i="40"/>
  <c r="F57" i="40"/>
  <c r="D58" i="40"/>
  <c r="K58" i="40"/>
  <c r="I58" i="40"/>
  <c r="F58" i="40"/>
  <c r="H58" i="40"/>
  <c r="M58" i="40"/>
  <c r="J57" i="40"/>
  <c r="J64" i="40" s="1"/>
  <c r="J65" i="40" s="1"/>
  <c r="J34" i="40" s="1"/>
  <c r="I57" i="40"/>
  <c r="M57" i="40"/>
  <c r="E58" i="40"/>
  <c r="O58" i="40"/>
  <c r="J58" i="40"/>
  <c r="H57" i="40"/>
  <c r="G58" i="40"/>
  <c r="O57" i="40"/>
  <c r="L57" i="40"/>
  <c r="BB68" i="47"/>
  <c r="BV32" i="53"/>
  <c r="AZ32" i="53"/>
  <c r="L56" i="40"/>
  <c r="I55" i="40"/>
  <c r="G56" i="40"/>
  <c r="G61" i="40" s="1"/>
  <c r="G62" i="40" s="1"/>
  <c r="G35" i="40" s="1"/>
  <c r="N56" i="40"/>
  <c r="N61" i="40" s="1"/>
  <c r="N62" i="40" s="1"/>
  <c r="N35" i="40" s="1"/>
  <c r="K55" i="40"/>
  <c r="K64" i="40" s="1"/>
  <c r="K65" i="40" s="1"/>
  <c r="K34" i="40" s="1"/>
  <c r="N55" i="40"/>
  <c r="N64" i="40" s="1"/>
  <c r="N65" i="40" s="1"/>
  <c r="N34" i="40" s="1"/>
  <c r="D56" i="40"/>
  <c r="O56" i="40"/>
  <c r="O61" i="40" s="1"/>
  <c r="O62" i="40" s="1"/>
  <c r="O35" i="40" s="1"/>
  <c r="H55" i="40"/>
  <c r="F56" i="40"/>
  <c r="I56" i="40"/>
  <c r="I61" i="40" s="1"/>
  <c r="I62" i="40" s="1"/>
  <c r="I35" i="40" s="1"/>
  <c r="F55" i="40"/>
  <c r="F64" i="40" s="1"/>
  <c r="F65" i="40" s="1"/>
  <c r="F34" i="40" s="1"/>
  <c r="E55" i="40"/>
  <c r="E64" i="40" s="1"/>
  <c r="E65" i="40" s="1"/>
  <c r="E34" i="40" s="1"/>
  <c r="J56" i="40"/>
  <c r="J55" i="40"/>
  <c r="K56" i="40"/>
  <c r="O55" i="40"/>
  <c r="O64" i="40" s="1"/>
  <c r="O65" i="40" s="1"/>
  <c r="O34" i="40" s="1"/>
  <c r="H56" i="40"/>
  <c r="L55" i="40"/>
  <c r="L64" i="40" s="1"/>
  <c r="L65" i="40" s="1"/>
  <c r="L34" i="40" s="1"/>
  <c r="M56" i="40"/>
  <c r="M61" i="40" s="1"/>
  <c r="M62" i="40" s="1"/>
  <c r="M35" i="40" s="1"/>
  <c r="E56" i="40"/>
  <c r="E61" i="40" s="1"/>
  <c r="E62" i="40" s="1"/>
  <c r="E35" i="40" s="1"/>
  <c r="M55" i="40"/>
  <c r="D55" i="40"/>
  <c r="P65" i="42"/>
  <c r="D35" i="42"/>
  <c r="AX2" i="47"/>
  <c r="BB2" i="47" s="1"/>
  <c r="AV2" i="47"/>
  <c r="G64" i="40"/>
  <c r="G65" i="40" s="1"/>
  <c r="G34" i="40" s="1"/>
  <c r="I64" i="40"/>
  <c r="I65" i="40" s="1"/>
  <c r="I34" i="40" s="1"/>
  <c r="F61" i="40"/>
  <c r="F62" i="40" s="1"/>
  <c r="F35" i="40" s="1"/>
  <c r="H61" i="40"/>
  <c r="H62" i="40" s="1"/>
  <c r="H35" i="40" s="1"/>
  <c r="BH40" i="53"/>
  <c r="BH61" i="53" s="1"/>
  <c r="K4" i="50"/>
  <c r="K5" i="50" s="1"/>
  <c r="U4" i="50"/>
  <c r="U5" i="50" s="1"/>
  <c r="AN14" i="36" s="1"/>
  <c r="AZ49" i="47"/>
  <c r="BB49" i="47" s="1"/>
  <c r="AV49" i="47"/>
  <c r="F106" i="47"/>
  <c r="G107" i="47" s="1"/>
  <c r="L61" i="40" l="1"/>
  <c r="L62" i="40" s="1"/>
  <c r="L35" i="40" s="1"/>
  <c r="K61" i="40"/>
  <c r="K62" i="40" s="1"/>
  <c r="K35" i="40" s="1"/>
  <c r="J61" i="40"/>
  <c r="J62" i="40" s="1"/>
  <c r="J35" i="40" s="1"/>
  <c r="P60" i="40"/>
  <c r="P55" i="40"/>
  <c r="P56" i="40"/>
  <c r="D64" i="40"/>
  <c r="BF3" i="54"/>
  <c r="BF16" i="54" s="1"/>
  <c r="BD16" i="54"/>
  <c r="BB78" i="47"/>
  <c r="P58" i="40"/>
  <c r="P57" i="40"/>
  <c r="P61" i="40" s="1"/>
  <c r="D61" i="40"/>
  <c r="D62" i="40" s="1"/>
  <c r="P59" i="40"/>
  <c r="AT40" i="53"/>
  <c r="AY40" i="53" s="1"/>
  <c r="I4" i="50"/>
  <c r="P35" i="42"/>
  <c r="O4" i="50"/>
  <c r="BA18" i="54"/>
  <c r="BD18" i="54" s="1"/>
  <c r="AI14" i="36"/>
  <c r="P6" i="50"/>
  <c r="O5" i="50" l="1"/>
  <c r="AA4" i="50"/>
  <c r="D65" i="40"/>
  <c r="P64" i="40"/>
  <c r="D35" i="40"/>
  <c r="P35" i="40" s="1"/>
  <c r="P62" i="40"/>
  <c r="BU61" i="53"/>
  <c r="AT61" i="53"/>
  <c r="M4" i="50"/>
  <c r="M5" i="50" s="1"/>
  <c r="I5" i="50"/>
  <c r="D34" i="40" l="1"/>
  <c r="P34" i="40" s="1"/>
  <c r="P65" i="40"/>
  <c r="AA5" i="50"/>
  <c r="AH14" i="36"/>
  <c r="AT14" i="36" l="1"/>
  <c r="AU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tc={99670F4B-7746-4724-AE5E-73E371D851EF}</author>
    <author>tc={07433EE9-1D20-4C9C-A105-D7DE781EA1AA}</author>
    <author>tc={388F3DCC-A166-4ED4-A18D-503E5E909C66}</author>
    <author>Ángela Adriana Ávila Ospina</author>
    <author>Microsoft Office User</author>
    <author/>
    <author>Angela Marcela Forero Ruiz</author>
    <author>ANGELA MARCELA FORERO RUIZ</author>
  </authors>
  <commentList>
    <comment ref="W22" authorId="0" shapeId="0" xr:uid="{99670F4B-7746-4724-AE5E-73E371D851E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$67.649.873, lo anterior teniendo en cuenta el ajuste en el valor de la meta de $2.401.870.787 a $2.334.220.914 realizado en el mes de julio de 2022.</t>
      </text>
    </comment>
    <comment ref="Y23" authorId="1" shapeId="0" xr:uid="{07433EE9-1D20-4C9C-A105-D7DE781EA1AA}">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septiembre se comprometen recursos por $420.718.101, y se liberan $1.442..000 contra segundo pago asociados al CPS 948 de 2022 (comprometido en julio)</t>
      </text>
    </comment>
    <comment ref="O24" authorId="2" shapeId="0" xr:uid="{388F3DCC-A166-4ED4-A18D-503E5E909C66}">
      <text>
        <t>[Comentario encadenado]
Su versión de Excel le permite leer este comentario encadenado; sin embargo, las ediciones que se apliquen se quitarán si el archivo se abre en una versión más reciente de Excel. Más información: https://go.microsoft.com/fwlink/?linkid=870924
Comentario:
    En junio no se presentan liberaciones
En mayo se restan $4,167,765 asociados a la liberación del contrato 163-2020 con ETB.
En abril se restan $4.759.996, asociados a la liberación del contrato con PANAMERICANA.</t>
      </text>
    </comment>
    <comment ref="AB24" authorId="3" shapeId="0" xr:uid="{59E48185-A648-4959-BE22-D2CD51850E29}">
      <text>
        <r>
          <rPr>
            <b/>
            <sz val="9"/>
            <color indexed="81"/>
            <rFont val="Tahoma"/>
            <family val="2"/>
          </rPr>
          <t>Ángela Adriana Ávila Ospina:</t>
        </r>
        <r>
          <rPr>
            <sz val="9"/>
            <color indexed="81"/>
            <rFont val="Tahoma"/>
            <family val="2"/>
          </rPr>
          <t xml:space="preserve">
Mod.Presupuestal - se disminuye el valor programado en giros en $67.649.873, lo anterior teniendo en cuenta el ajuste en el valor de la meta de $2.401.870.787 a $2.334.220.914 realizado en el mes de julio de 2022.</t>
        </r>
      </text>
    </comment>
    <comment ref="Q30" authorId="3" shapeId="0" xr:uid="{88E50870-C92C-4789-B4DE-3B5C7433FD95}">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9DB9CC22-00C4-40C2-ACFD-AFBE607E5CF8}">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6796A145-448C-48E2-ADDB-7040F023638C}">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93D82F4F-6D2A-4E62-95C7-20ABA9EA79BC}">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W34" authorId="6" shapeId="0" xr:uid="{76905CC7-A5D0-4B7D-AC1C-2527558E9089}">
      <text>
        <r>
          <rPr>
            <b/>
            <sz val="10"/>
            <color rgb="FF000000"/>
            <rFont val="Tahoma"/>
            <family val="2"/>
          </rPr>
          <t>Angela Marcela Forero Ruiz:</t>
        </r>
        <r>
          <rPr>
            <sz val="10"/>
            <color rgb="FF000000"/>
            <rFont val="Tahoma"/>
            <family val="2"/>
          </rPr>
          <t xml:space="preserve">
</t>
        </r>
        <r>
          <rPr>
            <sz val="12"/>
            <color rgb="FF000000"/>
            <rFont val="Tahoma"/>
            <family val="2"/>
          </rPr>
          <t>Actualizar los retrasos con la información a julio</t>
        </r>
      </text>
    </comment>
    <comment ref="Q40" authorId="7" shapeId="0" xr:uid="{54AAD260-25C6-452D-836D-F3FBC9FB3FAE}">
      <text>
        <r>
          <rPr>
            <b/>
            <sz val="10"/>
            <color rgb="FF000000"/>
            <rFont val="Tahoma"/>
            <family val="2"/>
          </rPr>
          <t>ANGELA MARCELA FORERO RUIZ:</t>
        </r>
        <r>
          <rPr>
            <sz val="10"/>
            <color rgb="FF000000"/>
            <rFont val="Tahoma"/>
            <family val="2"/>
          </rPr>
          <t xml:space="preserve">
</t>
        </r>
        <r>
          <rPr>
            <sz val="10"/>
            <color rgb="FF000000"/>
            <rFont val="Tahoma"/>
            <family val="2"/>
          </rPr>
          <t>Ajustar redacción que incluya el mes de mayo en la frase resaltada, dado que abajo en la letra b se menciona el avance de mayo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Ángela Adriana Ávila Ospina</author>
    <author>Microsoft Office User</author>
    <author/>
  </authors>
  <commentList>
    <comment ref="AC22" authorId="0" shapeId="0" xr:uid="{3FB1583D-D073-48BE-AD44-9A9D7B51A4A1}">
      <text>
        <r>
          <rPr>
            <b/>
            <sz val="9"/>
            <color indexed="81"/>
            <rFont val="Tahoma"/>
            <family val="2"/>
          </rPr>
          <t>Ángela Adriana Ávila Ospina:</t>
        </r>
        <r>
          <rPr>
            <sz val="9"/>
            <color indexed="81"/>
            <rFont val="Tahoma"/>
            <family val="2"/>
          </rPr>
          <t xml:space="preserve">
Mod.Presupuestal  julio de 2022 - se aumenta el valor programado en la meta  $67.649.873, lo anterior teniendo en cuenta el ajuste en el valor de la meta de $184.761.500  a $280.463.582.</t>
        </r>
      </text>
    </comment>
    <comment ref="AC24" authorId="0" shapeId="0" xr:uid="{DB008E28-76DA-450C-A0B9-A18A367C7359}">
      <text>
        <r>
          <rPr>
            <b/>
            <sz val="9"/>
            <color indexed="81"/>
            <rFont val="Tahoma"/>
            <family val="2"/>
          </rPr>
          <t>Ángela Adriana Ávila Ospina:</t>
        </r>
        <r>
          <rPr>
            <sz val="9"/>
            <color indexed="81"/>
            <rFont val="Tahoma"/>
            <family val="2"/>
          </rPr>
          <t xml:space="preserve">
Mod.Presupuestal  julio de 2022 - se aumenta el valor programado en giros de  la meta  $95.702.082, lo anterior teniendo en cuenta el ajuste en el valor de la meta de $184.761.500  a $280.463.582.</t>
        </r>
      </text>
    </comment>
    <comment ref="C32" authorId="1"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tc={6FEB5E4C-DB18-413F-9D43-D0B9CAFACD5D}</author>
    <author>tc={E3BC3753-A808-42C8-8CE5-3F084592B09F}</author>
    <author>Ángela Adriana Ávila Ospina</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W22" authorId="1" shapeId="0" xr:uid="{6FEB5E4C-DB18-413F-9D43-D0B9CAFACD5D}">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$28.052.082, lo anterior teniendo en cuenta el ajuste en el valor de la meta de $1.608.626.713 a $1.580.574.504 realizado en el mes de julio de 2022.</t>
      </text>
    </comment>
    <comment ref="AB24" authorId="2" shapeId="0" xr:uid="{E3BC3753-A808-42C8-8CE5-3F084592B09F}">
      <text>
        <t>[Comentario encadenado]
Su versión de Excel le permite leer este comentario encadenado; sin embargo, las ediciones que se apliquen se quitarán si el archivo se abre en una versión más reciente de Excel. Más información: https://go.microsoft.com/fwlink/?linkid=870924
Comentario:
    Mod.Presupuestal - se disminuye el valor programado en giros $28.052.082, lo anterior teniendo en cuenta el ajuste en el valor de la meta de $1.608.626.713 a $1.580.574.504 realizado en el mes de julio de 2022.</t>
      </text>
    </comment>
    <comment ref="Q30" authorId="3" shapeId="0" xr:uid="{C7E72F58-FC77-4B0F-8566-9885108C77AD}">
      <text>
        <r>
          <rPr>
            <b/>
            <sz val="9"/>
            <color indexed="81"/>
            <rFont val="Tahoma"/>
            <family val="2"/>
          </rPr>
          <t>Ángela Adriana Ávila Ospina:</t>
        </r>
        <r>
          <rPr>
            <sz val="9"/>
            <color indexed="81"/>
            <rFont val="Tahoma"/>
            <family val="2"/>
          </rPr>
          <t xml:space="preserve">
Dada la restricción de caracteres se incluye la información de segundo semestre. 
</t>
        </r>
      </text>
    </comment>
    <comment ref="C32" authorId="4"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5"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4"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AA34" authorId="0" shapeId="0" xr:uid="{ACE183F3-46D7-4A0F-84C4-85DF5834C775}">
      <text>
        <r>
          <rPr>
            <b/>
            <sz val="9"/>
            <color indexed="81"/>
            <rFont val="Tahoma"/>
            <family val="2"/>
          </rPr>
          <t>ANGELA MARCELA FORERO RUIZ:</t>
        </r>
        <r>
          <rPr>
            <sz val="9"/>
            <color indexed="81"/>
            <rFont val="Tahoma"/>
            <family val="2"/>
          </rPr>
          <t xml:space="preserve">
</t>
        </r>
      </text>
    </comment>
    <comment ref="Q40" authorId="0" shapeId="0" xr:uid="{AE04A910-64CE-47B2-8F24-68A4DBD13DB1}">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ANGELA MARCELA FORERO RUIZ</author>
  </authors>
  <commentList>
    <comment ref="C32" authorId="0" shapeId="0" xr:uid="{0700521F-2C5B-4B1E-98D3-93A04D2A5EDA}">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EBE48F8F-5275-46B2-860C-DE73BC9B7D25}">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Q34" authorId="2" shapeId="0" xr:uid="{312A913C-3B8A-499F-8E58-63534802A35E}">
      <text>
        <r>
          <rPr>
            <b/>
            <sz val="9"/>
            <color indexed="81"/>
            <rFont val="Tahoma"/>
            <family val="2"/>
          </rPr>
          <t>Angela Marcela Forero Ruiz:</t>
        </r>
        <r>
          <rPr>
            <sz val="9"/>
            <color indexed="81"/>
            <rFont val="Tahoma"/>
            <family val="2"/>
          </rPr>
          <t xml:space="preserve">
Incluir no solo la gestión del mes sino el acumulado del año a septiembre, recordra que se debe reportar segplan acumulado al III TRIM</t>
        </r>
      </text>
    </comment>
    <comment ref="W34" authorId="2" shapeId="0" xr:uid="{4A9CF4AC-0327-41CB-AD64-7E47E07E4B4D}">
      <text>
        <r>
          <rPr>
            <b/>
            <sz val="9"/>
            <color indexed="81"/>
            <rFont val="Tahoma"/>
            <family val="2"/>
          </rPr>
          <t>Angela Marcela Forero Ruiz:</t>
        </r>
        <r>
          <rPr>
            <sz val="9"/>
            <color indexed="81"/>
            <rFont val="Tahoma"/>
            <family val="2"/>
          </rPr>
          <t xml:space="preserve">
Actualizar los retrsos y alternativas solo con lo actual, lo que se tiene atrasado a septiembre</t>
        </r>
      </text>
    </comment>
    <comment ref="Q38" authorId="3" shapeId="0" xr:uid="{B664C3AC-06C6-493C-B4B7-E4FA153A1F08}">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aunque no se tenían actividades programadas para el mes de enero, se pudo avanzar en actividades de alistamiento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Ángela Adriana Ávila Ospina</author>
  </authors>
  <commentList>
    <comment ref="B7" authorId="0" shapeId="0" xr:uid="{D6541161-B684-4018-A31F-D6E2DC8FE9B8}">
      <text>
        <r>
          <rPr>
            <b/>
            <sz val="9"/>
            <color indexed="81"/>
            <rFont val="Tahoma"/>
            <family val="2"/>
          </rPr>
          <t>ANGELA MARCELA FORERO RUIZ:</t>
        </r>
        <r>
          <rPr>
            <sz val="9"/>
            <color indexed="81"/>
            <rFont val="Tahoma"/>
            <family val="2"/>
          </rPr>
          <t xml:space="preserve">
Se diligencia el nombre de la meta</t>
        </r>
      </text>
    </comment>
    <comment ref="AW10" authorId="0" shapeId="0" xr:uid="{F19CF617-AAB2-42AA-B412-7564993163F8}">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 ref="BN11" authorId="1" shapeId="0" xr:uid="{63520B5C-A1DC-4088-B5EC-5C626A7340F0}">
      <text>
        <r>
          <rPr>
            <b/>
            <sz val="9"/>
            <color indexed="81"/>
            <rFont val="Tahoma"/>
            <family val="2"/>
          </rPr>
          <t>Ángela Adriana Ávila Ospina:</t>
        </r>
        <r>
          <rPr>
            <sz val="9"/>
            <color indexed="81"/>
            <rFont val="Tahoma"/>
            <family val="2"/>
          </rPr>
          <t xml:space="preserve">
En revisión, apenas tengamos el definitivo, actualizamos información.</t>
        </r>
      </text>
    </comment>
    <comment ref="BD40" authorId="1" shapeId="0" xr:uid="{F3ED4D8C-0980-4CD2-B509-9D843B80E4F1}">
      <text>
        <r>
          <rPr>
            <b/>
            <sz val="9"/>
            <color indexed="81"/>
            <rFont val="Tahoma"/>
            <family val="2"/>
          </rPr>
          <t>Ángela Adriana Ávila Ospina:</t>
        </r>
        <r>
          <rPr>
            <sz val="9"/>
            <color indexed="81"/>
            <rFont val="Tahoma"/>
            <family val="2"/>
          </rPr>
          <t xml:space="preserve">
Suspensión de contrato de la gestora Yuliana Karolina González.</t>
        </r>
      </text>
    </comment>
    <comment ref="BG40" authorId="1" shapeId="0" xr:uid="{0F041012-1928-41B3-9887-D934ACA8F8B7}">
      <text>
        <r>
          <rPr>
            <b/>
            <sz val="9"/>
            <color indexed="81"/>
            <rFont val="Tahoma"/>
            <family val="2"/>
          </rPr>
          <t>Ángela Adriana Ávila Ospina:</t>
        </r>
        <r>
          <rPr>
            <sz val="9"/>
            <color indexed="81"/>
            <rFont val="Tahoma"/>
            <family val="2"/>
          </rPr>
          <t xml:space="preserve">
Suspensión de contrato de la gestora Yuliana Karolina González.</t>
        </r>
      </text>
    </comment>
    <comment ref="BI40" authorId="1" shapeId="0" xr:uid="{56084E0C-4651-42C0-A1F4-3CBB99EFE394}">
      <text>
        <r>
          <rPr>
            <b/>
            <sz val="9"/>
            <color indexed="81"/>
            <rFont val="Tahoma"/>
            <family val="2"/>
          </rPr>
          <t>Ángela Adriana Ávila Ospina:</t>
        </r>
        <r>
          <rPr>
            <sz val="9"/>
            <color indexed="81"/>
            <rFont val="Tahoma"/>
            <family val="2"/>
          </rPr>
          <t xml:space="preserve">
Suspensión de contrato de la gestora Yuliana Karolina González.</t>
        </r>
      </text>
    </comment>
    <comment ref="BK40" authorId="1" shapeId="0" xr:uid="{A1B045B9-00B1-4192-845B-FFF3349FF4D7}">
      <text>
        <r>
          <rPr>
            <b/>
            <sz val="9"/>
            <color indexed="81"/>
            <rFont val="Tahoma"/>
            <family val="2"/>
          </rPr>
          <t>Ángela Adriana Ávila Ospina:</t>
        </r>
        <r>
          <rPr>
            <sz val="9"/>
            <color indexed="81"/>
            <rFont val="Tahoma"/>
            <family val="2"/>
          </rPr>
          <t xml:space="preserve">
Suspensión de contrato de la gestora Yuliana Karolina González.</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A13" authorId="1" shapeId="0" xr:uid="{BC361BD9-3B88-4767-B75D-ABD89244EAFE}">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D13" authorId="1" shapeId="0" xr:uid="{2BD6AF2E-B0C8-48F3-A589-33AECA2EF6EE}">
      <text>
        <r>
          <rPr>
            <b/>
            <sz val="9"/>
            <color indexed="81"/>
            <rFont val="Tahoma"/>
            <family val="2"/>
          </rPr>
          <t>ANGELA MARCELA FORERO RUIZ:</t>
        </r>
        <r>
          <rPr>
            <sz val="9"/>
            <color indexed="81"/>
            <rFont val="Tahoma"/>
            <family val="2"/>
          </rPr>
          <t xml:space="preserve">
Como este indicador PMR también es meta PDD se incluye el numero de la meta al igual que en la celda del pmr con el numero del indicador pmr</t>
        </r>
      </text>
    </comment>
    <comment ref="G13" authorId="1" shapeId="0" xr:uid="{A78ABA1F-4E4F-439C-B809-02E5709FDB37}">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AW14" authorId="2" shapeId="0" xr:uid="{D7B9C9C5-C2CE-4B66-AEAF-4FAFE3299F4F}">
      <text>
        <r>
          <rPr>
            <b/>
            <sz val="9"/>
            <color indexed="81"/>
            <rFont val="Tahoma"/>
            <family val="2"/>
          </rPr>
          <t>Angela Marcela Forero Ruiz:</t>
        </r>
        <r>
          <rPr>
            <sz val="9"/>
            <color indexed="81"/>
            <rFont val="Tahoma"/>
            <family val="2"/>
          </rPr>
          <t xml:space="preserve">
Mencionar el retraso de los cursos</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D45FFC29-5FB7-4AE0-AAE1-5820DEE40FEA}">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BFDBE818-15E1-4EA1-AD61-91CCBADF94B6}">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informes ponerle nombre … tal vez numero de informes de cumplimiento al decreto 332 de 2020 por parte de entidades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 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sugiere dejarlo como suma y poner 1 informe cada trimestre para un total de cuatro, en ese orden la unidad de medida es Número</t>
        </r>
      </text>
    </comment>
    <comment ref="Q20" authorId="1" shapeId="0" xr:uid="{C3F2BFF8-D37A-41A3-9D19-12355923F571}">
      <text>
        <r>
          <rPr>
            <b/>
            <sz val="9"/>
            <color indexed="81"/>
            <rFont val="Tahoma"/>
            <family val="2"/>
          </rPr>
          <t>ANGELA MARCELA FORERO RUIZ:</t>
        </r>
        <r>
          <rPr>
            <sz val="9"/>
            <color indexed="81"/>
            <rFont val="Tahoma"/>
            <family val="2"/>
          </rPr>
          <t xml:space="preserve">
Se sugiere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 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trimestral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entonces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F574CC68-0028-4A62-A7D0-DD4B68429357}">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3E52845B-B979-48CD-8D3B-8C6AEC4865AC}">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52F5C589-A0EC-487A-9485-31990DDA73CC}">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AEAC948C-F685-4000-8E6B-0C503F057CD7}">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1ECEBD24-7EEA-4841-9C0E-CB4FBB985FF4}">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AFEE0574-AA0F-444B-8C71-A161008AC4A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sharedStrings.xml><?xml version="1.0" encoding="utf-8"?>
<sst xmlns="http://schemas.openxmlformats.org/spreadsheetml/2006/main" count="4501" uniqueCount="1287">
  <si>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</si>
  <si>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</si>
  <si>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</si>
  <si>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</si>
  <si>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</si>
  <si>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</si>
  <si>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</si>
  <si>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</si>
  <si>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AGO</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</si>
  <si>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</si>
  <si>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</si>
  <si>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</si>
  <si>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</si>
  <si>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</si>
  <si>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</si>
  <si>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</si>
  <si>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</si>
  <si>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</si>
  <si>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</si>
  <si>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</si>
  <si>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</si>
  <si>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</si>
  <si>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</si>
  <si>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</si>
  <si>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</si>
  <si>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</si>
  <si>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</si>
  <si>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</si>
  <si>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</si>
  <si>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</si>
  <si>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</si>
  <si>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</si>
  <si>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</si>
  <si>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</si>
  <si>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</si>
  <si>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</si>
  <si>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</si>
  <si>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</si>
  <si>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</si>
  <si>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</si>
  <si>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</si>
  <si>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</si>
  <si>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</si>
  <si>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</si>
  <si>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</si>
  <si>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</si>
  <si>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</si>
  <si>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</si>
  <si>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</si>
  <si>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</si>
  <si>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</si>
  <si>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</si>
  <si>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</si>
  <si>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Junio ($29.328.193 giros). Del contrato 265 de 2021 suscrito con Yina Robayo se giraron $1,750,000.  Del contrato 671-2021 suscrito con la EMPRESA DE TELECOMUNICACIONES DE BOGOTÁ S.A. E.S.P. - ETB S.A. ESP para comunicaciones convergentes se giraron $31.088.503de los cuales van con cargo a la meta 1 el 94% $27.578.192,82 y un saldo del 6% con cargo a la meta 3 por $1.760.310,18
Mayo ($64.085.880,60 giros, $4,167,765 anulaciones). Del contrato 163-2020 se anularon $4,167,765. Del contrato 265 de 2021 suscrito con Yina Robayo se giraron $3,500,000. Del contrato 944 de 2021 suscrito con COMERCIALIZADORA ELECTROCON SAS se giraron $2,496,700.  Del contrato 671-2021 suscrito con la EMPRESA DE TELECOMUNICACIONES DE BOGOTÁ S.A. E.S.P. - ETB S.A. ESP para comunicaciones convergentes se giraron $57,070,608, de los cuales van con cargo a la meta 1 el 94% $53,646,371.52, y un salgo del 6% con cargo a la meta 3 por $3.424.236,48
Abril ($31.500.000 giros; $4.759.996 anulaciones): Del contrato 78092-2021 con PANAMERICANA se anularon $4.759.996. Del contrato 963 de 2021 suscrito con la empresa MINDIT se giraron $31.500.000
Marzo ($180.802.209):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Febrero ($9.406.243):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($26.967.057):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</si>
  <si>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</si>
  <si>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</si>
  <si>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</si>
  <si>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</si>
  <si>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</si>
  <si>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</si>
  <si>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</si>
  <si>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</si>
  <si>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</si>
  <si>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</si>
  <si>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</si>
  <si>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Abr</t>
  </si>
  <si>
    <t>May</t>
  </si>
  <si>
    <t>Jun</t>
  </si>
  <si>
    <t>Jul</t>
  </si>
  <si>
    <t>Ago</t>
  </si>
  <si>
    <t>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</si>
  <si>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</si>
  <si>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Febrero - 531 mujeres formadas en, Informática: Word, Excel e Internet: 24, Herramientas TIC: 1, Adobe Photoshop: 2, Socioemocionales. Moodle: 25, Edu.Fin: 83, Hab.Socioemocionales.CID: 237, Hab.Digitales: 148, Indicadores. Género: 4, Aplicación.ind.género: 3 mujeres. Derechos. Mujeres y TIC: 4.</t>
  </si>
  <si>
    <t>950 mujeres formadas en: Informática: Microsoft Word, Excel: 158. Fotografía digital: 2. Adobe Photoshop: 2. Hab.Socioemocionales: 24
Edu.Financiera: 41. Hab.Socioemocionales-CID: 341. Hab.digitales: 340. Int.Indicadores.género: 2. Derechos. Mujeres-TIC: 21. Prevención violencias digitales: 19.</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</si>
  <si>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</si>
  <si>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t xml:space="preserve">922 mujeres formadas: Informática: 125. Edu.Financiera Moodle: 2. Hab.Socioemocionales-CID: 364. Hab.digitales: 340. Int.Ind.Género: 3. Derechos de las mujeres-TIC: 28. Prevención violencias digitales: 22. Claves para ingresar al mundo laboral: 14. Manejo básico Microsoft Office 2016: Excel: 24. </t>
  </si>
  <si>
    <t>701 mujeres formadas en: Informática: 63. Hab.Socioemocionales-CID: 248. Hab.digitales: 242. Const y aplicación ind. de género en ideas de proyecto: 7. Der.de las mujeres y TIC: 73. Prevención violencias digitales:38. Claves ingreso al mundo laboral: 14. Básico Excel: 4. Intermedio Excel: 12.</t>
  </si>
  <si>
    <t>738 mujeres formadas en: Microsoft.Word.Excel.Internet:74. Edu.financiera-Moodle:105. Hab.Socioemocionales-CID:204. Hab.digitales:227. Der.mujeresyTIC: 30. Prev.Violencias.Dig:38. Claves.ing.mundo.lab: 30. Básico.Office:9. Intermedio.office: 8. Emp.Dig:13.</t>
  </si>
  <si>
    <t>729 mujeres formadas en:
Microsoft Word, Excel e Internet: 122. Hab.Socioemocionales-CID: 295. Hab.digitales: 240.  Int. indicadores género: 5. Der.Mujeres-TIC: 35. Prevención.violencias digitales: 7. Claves.ingresar.a.mundo laboral: 4. Intermedio Microsoft office Excel 2016: 1 . Inglés.Básico: 13.</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</si>
  <si>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</si>
  <si>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</si>
  <si>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</si>
  <si>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</si>
  <si>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</si>
  <si>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</si>
  <si>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</si>
  <si>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</si>
  <si>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</si>
  <si>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</si>
  <si>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</si>
  <si>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</si>
  <si>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</si>
  <si>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</si>
  <si>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</si>
  <si>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</si>
  <si>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</si>
  <si>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</si>
  <si>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</si>
  <si>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</si>
  <si>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</si>
  <si>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</si>
  <si>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</si>
  <si>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</si>
  <si>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tecnológica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</si>
  <si>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</si>
  <si>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</si>
  <si>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</si>
  <si>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</si>
  <si>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</si>
  <si>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</si>
  <si>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</si>
  <si>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Conforme a la programación no se avanza con la actividad</t>
  </si>
  <si>
    <t>El equipo E&amp;E elabora propuesta de contenidos misionales cursos 2022, con esta base se solicita a UNAL propuesta técnica y económica la cual se regresa para ajustes a la Universidad; de manera paralela inicia la versión preliminar de estudios previos.</t>
  </si>
  <si>
    <t>Se avanza con la elaboración de los estudios previos y envío a revisión por parte de Contratos y OAP, se realiza articulación con la Universidad Nacional y se realizan ajustes presupuestales al interior del proyecto. Con los ajustes y sugerencias se realiza modificación PAABS del proceso 415.</t>
  </si>
  <si>
    <t xml:space="preserve">Durante el mes de agosto, se dio continuidad a la etapa precontractual y se realizaron todos los ajustes y sugeridos por la Dirección de Contratación, el proceso fue aprobado en comité de contratación y se radicó versión final para aprobación y elaboración de minuta. </t>
  </si>
  <si>
    <t>7. Elaborar, desarrollar y virtualizar cuatro (4) contenidos para el desarrollo de capacidades socioemocionales, técnicas y digitales de las mujeres, en toda su diversidad</t>
  </si>
  <si>
    <t/>
  </si>
  <si>
    <t>Diseñar e implementar una (1) estrategia para el desarrollo de capacidades socioemocionales y técnicas de las mujeres en toda su diversidad para su emprendimiento y empleabilidad.</t>
  </si>
  <si>
    <t>Este valor incluye los recursos del proceso en curso 2021- SIMISIONAL 2,0 ($100.000.000)</t>
  </si>
  <si>
    <t>ENERO-JUNIO</t>
  </si>
  <si>
    <t>Junio ($1,760,310.18 giros). Del contrato 671-2021 suscrito con la EMPRESA DE TELECOMUNICACIONES DE BOGOTÁ S.A. E.S.P. - ETB S.A. ESP para comunicaciones convergentes se giraron $31.088.503de los cuales van con cargo a la meta 1 el 94% $27.578.192,82 y un saldo del 6% con cargo a la meta 3 por $1.760.310,18
Mayo ($3,424,236,48):  Del contrato 671-2021 suscrito con la EMPRESA DE TELECOMUNICACIONES DE BOGOTÁ S.A. E.S.P. - ETB S.A. ESP para comunicaciones convergentes se giraron $57,070,608, de los cuales van con cargo a la meta 1 el 94% $53,646,371.52, y un salgo del 6% con cargo a la meta 3 por $3.424.236,48
Abril ($0): No se giran ni se anulan reservas
Marzo ($10.231.325,92):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Febrero ($600.398,46):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($1.721.304,54):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</si>
  <si>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ENERO-MARZO</t>
  </si>
  <si>
    <t>ABRIL-JUNIO</t>
  </si>
  <si>
    <t>JUL-SEP</t>
  </si>
  <si>
    <t>OCT-DIC</t>
  </si>
  <si>
    <r>
      <rPr>
        <sz val="11"/>
        <color rgb="FF000000"/>
        <rFont val="Times New Roman"/>
        <family val="1"/>
      </rPr>
      <t>Durante el mes de septiembre se destacan los siguientes avances: i) 966 registros y 519 orientaciones de mujeres través de la Ruta de Divulgación y Orientación para Mujeres. Lo anterior, se llevó a cabo en 19 localidades, mediante la participación en 118 espacios de difusión.</t>
    </r>
    <r>
      <rPr>
        <sz val="11"/>
        <color rgb="FFFF0000"/>
        <rFont val="Times New Roman"/>
        <family val="1"/>
      </rPr>
      <t xml:space="preserve"> </t>
    </r>
    <r>
      <rPr>
        <sz val="11"/>
        <color rgb="FF000000"/>
        <rFont val="Times New Roman"/>
        <family val="1"/>
      </rPr>
      <t>ii) Se remitió oficio con radicado 1-2022-009998 de fecha 13 de septiembre de 2022 a la Secretaría Jurídica Distrital mediante el cual se envió el informe consolidado del reporte de cumplimiento del Decreto 332 de 2020. iii) Divulgación de los programas Distritales: Empleo Joven, Ruta de empleabilidad, Pago por resultados.</t>
    </r>
    <r>
      <rPr>
        <sz val="11"/>
        <color rgb="FFFF0000"/>
        <rFont val="Times New Roman"/>
        <family val="1"/>
      </rPr>
      <t xml:space="preserve"> </t>
    </r>
    <r>
      <rPr>
        <sz val="11"/>
        <color rgb="FF000000"/>
        <rFont val="Times New Roman"/>
        <family val="1"/>
      </rPr>
      <t>iv)</t>
    </r>
    <r>
      <rPr>
        <sz val="11"/>
        <color rgb="FFFF0000"/>
        <rFont val="Times New Roman"/>
        <family val="1"/>
      </rPr>
      <t xml:space="preserve"> </t>
    </r>
    <r>
      <rPr>
        <sz val="11"/>
        <color rgb="FF000000"/>
        <rFont val="Times New Roman"/>
        <family val="1"/>
      </rPr>
      <t>Se elaboró segunda versión del flujograma para la identificación de perfiles de beneficiarias y oferta pertinente según el perfil, en marco del modelo de intervención de oferta de generación de ingresos para el 2023 en las manzanas del cuidado</t>
    </r>
    <r>
      <rPr>
        <sz val="11"/>
        <color rgb="FFFF0000"/>
        <rFont val="Times New Roman"/>
        <family val="1"/>
      </rPr>
      <t xml:space="preserve">. </t>
    </r>
    <r>
      <rPr>
        <sz val="11"/>
        <color rgb="FF000000"/>
        <rFont val="Times New Roman"/>
        <family val="1"/>
      </rPr>
      <t xml:space="preserve">En ese orden de ideas, a septiembre de 2022, se han orientado un total de 3.040 mujeres, y 9.027 registros. </t>
    </r>
  </si>
  <si>
    <t>No se identifican retrasos a la fecha de reporte</t>
  </si>
  <si>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</si>
  <si>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r>
      <rPr>
        <sz val="11"/>
        <color rgb="FF000000"/>
        <rFont val="Times New Roman"/>
        <family val="1"/>
      </rPr>
      <t>Durante el primer trimestre del 202</t>
    </r>
    <r>
      <rPr>
        <b/>
        <sz val="11"/>
        <color rgb="FF000000"/>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t>
    </r>
  </si>
  <si>
    <t xml:space="preserve">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t>
  </si>
  <si>
    <t xml:space="preserve">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Durante el mes de agosto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En ese orden de ideas, a agosto de 2022, se han orientado un total de 2.521 mujeres, y 8.061 registros. 
Durante el mes de septiembre se destacan los siguientes avances: i) 966 registros y 519 orientaciones de mujeres través de la Ruta de Divulgación y Orientación para Mujeres. Lo anterior, se llevó a cabo en 19 localidades, mediante la participación en 118 espacios de difusión. ii) Se remitió oficio con radicado 1-2022-009998 de fecha 13 de septiembre de 2022 a la Secretaría Jurídica Distrital mediante el cual se envió el informe consolidado del reporte de cumplimiento del Decreto 332 de 2020. iii) Divulgación de los programas Distritales: Empleo Joven, Ruta de empleabilidad, Pago por resultados. iv) Se elaboró segunda versión del flujograma para la identificación de perfiles de beneficiarias y oferta pertinente según el perfil, en marco del modelo de intervención de oferta de generación de ingresos para el 2023 en las manzanas del cuidado. En ese orden de ideas, a septiembre de 2022, se han orientado un total de 3.040 mujeres, y 9.027 registros. </t>
  </si>
  <si>
    <t>Avance en ruta de divulgación: 5 ferias (Kennedy, Engativá) orientación a mujeres en programas de empleo y formación para el trabajo. Divulgación Decreto.332-2020 pautas inclusión laboral con enfoque. 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</si>
  <si>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</si>
  <si>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 Ingresos y formación.para.trabajo. 2 mesas de género EMRE inclusión programa de generación de ingresos. 29.167 mujeres contratadas en ramas económicas descritas en el Decreto 332-2020.</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</si>
  <si>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</si>
  <si>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</si>
  <si>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 xml:space="preserve">1.113 registros, 456 orientaciones a mujeres-Ruta Divulgación y Orientación para Mujeres (19 loc, 122 espacios difusión).  Divulgación convocatoria Decreto.332 - 10 sesiones. Divulgación: programa Distrital Empleo Joven, Ruta de empleabilidad. Propuesta brief: “Vecinas, sigamos trabajando juntas” </t>
  </si>
  <si>
    <t>1.272 registros, 374 orientaciones mujeres-Ruta-Divulgación.Orientación (19 loc, 109 espacios difusión. 2 sesiones.virtuales.cap.Decreto332-2020. Divulgación.Prog.Empleo Joven, Ruta empleabilidad, Impulso a Empleo. Propuesta: Intervención oferta de generación de ingresos 2023 en manzanas del cuidado</t>
  </si>
  <si>
    <t>1.277 registros, 484 orientaciones mujeres.Ruta-Divulgación.Orientación para Mujeres (19 loc, 90 espacios difusión). Capacitación Dec.332-2020: Alcaldía Loc Ciudad Bolívar. Divulgación prog: Empleo Joven, Ruta empleabilidad, Impulso Empleo. Identificación perfiles beneficiarias y oferta en manzanas.</t>
  </si>
  <si>
    <t>Reporte: enero a marzo</t>
  </si>
  <si>
    <t>Reporte: abril a junio</t>
  </si>
  <si>
    <t>8. Implementar la ruta de divulgación y orientación para la formación y oferta de empleo y emprendimiento de mujeres diseñada en el marco de la estrategia de emprendimiento y empleabilidad.</t>
  </si>
  <si>
    <t>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RAAD ARABIAN FOOD,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Anexo: 1. Orientación y caracterización ciudadanas Estrategia E&amp;E Septiembre.</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</si>
  <si>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y se realizaron 1172 registros. </t>
  </si>
  <si>
    <t xml:space="preserve">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456 orientaciones y 1113 registros. Anexos: 1. Orientación y caracterización ciudadanas Estrategia E&amp;E Mayo.Para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t>
  </si>
  <si>
    <t>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Anexo: 1. Orientación y caracterización ciudadanas Estrategia E&amp;E Julio.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y orientación y acompañamiento a mujeres. Anexo: 1. Orientación y caracterización ciudadanas Estrategia E&amp;E Agosto.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RAAD ARABIAN FOOD,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Anexo: 1. Orientación y caracterización ciudadanas Estrategia E&amp;E Septiembre.</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</si>
  <si>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</si>
  <si>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Durante el mes de septiembre se remitió oficio con radicado 1-2022-009998 de fecha 13 de septiembre de 2022 a la Secretaría Jurídica Distrital mediante el cual se envió el informe consolidado del reporte de cumplimiento del Decreto 332 de 2020 de acuerdo con lo suministrado por las entidades y organismos distritales (Evidencia 1. Oficio 1-2022-009998 - Informe Decreto 332 02-2022).
Se asistió a la sesión realizada por la JAL de Antonio Nariño respecto del cumplimiento del Decreto por parte de la Alcaldía Local, el día 20 de septiembre de 2022. (Evidencia 2. Invitación JAL Antonio Nariño - Pantallazo Facebook Live JAL Antonio Nariño - Respuesta invitación JAL)</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</si>
  <si>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</si>
  <si>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empresas.Durante el mes de mayo se lograron llevar a cabo diez (10) sesiones virtuales de divulgación del Decreto dirigidas a los sectores económicos de Construcción, transporte y almacenamiento, suministro de electricidad, gas y agua, actividades inmobiliarias, información y telecomunicaciones, industria manufacturera, comercio y reparación de vehículos, otras ramas económicas con la asistencia de 61 empresas y 82 personas. Anexos: Actas sesiones sector privado.Durante el mes de junio, se realizaron cinco (5) sesiones virtuales de capacitación del Decreto 332 de 2020 y de la aplicación y diligenciamiento de la herramienta de registro de información de cumplimiento del Decreto, con participación de 47 entidades y organismos del distrito y 106 funcionarios y/o contratistas. Anexos:. 1. Actas sesiones sector público)</t>
  </si>
  <si>
    <t>Durante el mes de julio, se realizó  una sesión virtual de capacitación del Decreto 332 de 2020 y de asistencia técnica a las Alcaldías Locales de Tunjuelito y Usaquén, y una sesión de acompañamiento y asistencia técnica a la Alcaldía Local de Kennedy, resolviendo inquietudes relacionadas con el reporte de información. (Anexos: 1. Acta sesión Alcaldías Locales Tunjuelito, Usaquén y Kennedy)
En el mes de agosto,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(Evidencias 1. Informe Decreto 332 02-2022 V6 30-08-22)
Adicionalmente, Se realizó sesión de acompañamiento y asistencia técnica a la Alcaldía Local de Ciudad Bolívar, resolviendo inquietudes relacionadas con la aplicación del Decreto, se contó con la participación de veinte (20) funcionarios (as) o contratistas. (Evidencia 2. Acta sesión Alcaldía Ciudad Bolívar 31-08-22)
En el mes de septiembre se remitió oficio con radicado 1-2022-009998 de fecha 13 de septiembre de 2022 a la Secretaría Jurídica Distrital mediante el cual se envió el informe consolidado del reporte de cumplimiento del Decreto 332 de 2020 de acuerdo con lo suministrado por las entidades y organismos distritales (Evidencia 1. Oficio 1-2022-009998 - Informe Decreto 332 02-2022).
Se asistió a la sesión realizada por la JAL de Antonio Nariño respecto del cumplimiento del Decreto por parte de la Alcaldía Local, el día 20 de septiembre de 2022. (Evidencia 2. Invitación JAL Antonio Nariño - Pantallazo Facebook Live JAL Antonio Nariño - Respuesta invitación JAL)</t>
  </si>
  <si>
    <t>10. Promover acciones que contribuyan a la generación de ingresos y empleo para las mujeres, conforme a la oferta de las diferentes entidades del distrito.</t>
  </si>
  <si>
    <t xml:space="preserve">Durante el mes de septiembre se divulgó la siguiente oferta de empleo del Distrito: i) Empleo Joven; Llamadas: 53; Mensajes WhatsApp:  99; Presencial:  236, ii) Pago por resultados; Correos Electrónicos: 3.303; Llamadas:  68; Mensajes WhatsApp:  63; Presencial:  176, iii) Ruta de empleabilidad; Correos Electrónicos: 1.021; Llamadas: 40; Mensajes WhatsApp: 49; Presencial: 614. De igual manera, se gestionó junto con la SDDE la asistencia de la Corporación Organización el Minuto de Dios a 8 espacios territoriales, con el fin de registrar a las mujeres asistentes al programa Pago por Resultados: Casa de Todas Los Mártires, Manzana del cuidado Los Mártires, CIOM Antonio Nariño, CIOM Bosa (2), Manzana del Cuidado Rafael Uribe Uribe, CIOM Usaquén, Casa de Igualdad Rafael Uribe Uribe. Anexo 1. Informe difusión de programas 092022. Anexo 2. Seguimiento Pago por Resultados 092022.
</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</si>
  <si>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 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</si>
  <si>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 Durante el mes de mayo se divulgo la siguiente oferta para empleo del Distrito: i) Empleo Joven; ii) Impulso al Empleo; iii) Ruta de empleabilidad. A través de los siguientes canales: Correo electrónicos enviados (2.441); Mensajes de WhatsApp (379); Espacios presenciales (886); Orientaciones telefónicas (568). De igual manera, Se gestiono junto con la SDDE la asistencia de las cajas de compensación familiar a los siguientes espacios en territorio, con el fin de registrar a las mujeres asistentes al programa Impulso al Empleo: CIOM SUBA: 10 de mayo; Manzana del Cuidado USME: 10 de mayo; CIOM Fontibón: 11 de mayo. Anexos: 1. Informe difusión programas EMRE; 2. Seguimiento impulso al Empleo. Durante el mes de junio se divulgo la siguiente oferta para empleo del Distrito:) Empleo Joven; ii) Impulso al Empleo; iii) Ruta de empleabilidad. Lo anterior, a través de mailings, mensajes de whatsapp, orientaciones telefónicas y participación en espacios presenciales. De igual manera, se gestionó junto con la SDDE la asistencia de las cajas de compensación familiar a los siguientes espacios en territorio, con el fin de registrar a las mujeres asistentes al programa Impulso al Empleo: Manzanas del Cuidado de Engativá, Usme, Kennedy; CIOM San Cristóbal, Antonio Nariño; Fontibón, así como la Feria de Empleo de Rafael Uribe. Adicionalmente, se realizó el taller de sensibilización para la transversalización del enfoque de género dirigido a la Agencia Pública de Empleo – Ruta de Empleabilidad, el día 21 de junio de 2022, con una participación de 45 personas. Anexos: 1. Informe difusión de programas; 2. Informe Impulso al Empleo; 3. Acta y listado talle de sensibilización.  Desde generación de ingresos se estructura un documento de recomendaciones para la inclusión del enfoque de género en la ruta de empleo de la Secretaría Distrital de Desarrollo Económico. Anexo 4. Documento recomendaciones para la inclusión del enfoque de género.</t>
  </si>
  <si>
    <t>Durante el mes de julio se divulgo la siguiente oferta para empleo del Distrito: i) Empleo Joven: correos electrónicos (25); llamadas (115); mensajes de whatsapp (102); participación en espacios presenciales (339). ii) Impulso al Empleo: llamadas (47); mensajes de whatsapp (65); participación en espacios presenciales (440). iii) Ruta de empleabilidad: correos electrónicos (905); llamadas (169); mensajes de whatsapp (115); participación en espacios presenciales (672). De igual manera, se gestionó junto con la SDDE la asistencia de las cajas de compensación familiar a los siguientes espacios en territorio, con el fin de registrar a las mujeres asistentes al programa Impulso al Empleo: Manzanas del Cuidado de Bosa; Casa de Igualdad de Oportunidades de Suba, Puente Aranda, Rafael Uribe, y Fontibón; Espacio Amigable de Fundación Plan en los Mártires; Feria Barrio Nutibara en Ciudad Bolívar y Colegio Distrital en la misma localidad. Anexos: 1. Informe difusión de programas; 2. Informe Impulso al Empleo.
Durante el mes de agosto se divulgó la siguiente oferta de empleo del Distrito: i) Empleo Joven: correos electrónicos (75); llamadas (98); mensajes de whatsapp (89); participación en espacios presenciales (260). ii) Impulso al Empleo: llamadas (174); mensajes de whatsapp (149); participación en espacios presenciales (374). iii) Ruta de empleabilidad: correos electrónicos (860); llamadas (156); mensajes de whatsapp (161); participación en espacios presenciales (291). De igual manera, se gestionó junto con la SDDE la asistencia de las cajas de compensación familiar a los siguientes espacios en territorio, con el fin de registrar a las mujeres asistentes al programa Impulso al Empleo: CIOM San Cristóbal, CIOM Antonio Nariño, CDC Lourdes-Santa Fe y CIOM Kennedy. Anexos: 1. Informe difusión de programas; 2. Informe Impulso al Empleo.
Durante el mes de septiembre se divulgó la siguiente oferta de empleo del Distrito: i) Empleo Joven; Llamadas: 53; Mensajes WhatsApp:  99; Presencial:  236, ii) Pago por resultados; Correos Electrónicos: 3.303; Llamadas:  68; Mensajes WhatsApp:  63; Presencial:  176, iii) Ruta de empleabilidad; Correos Electrónicos: 1.021; Llamadas: 40; Mensajes WhatsApp: 49; Presencial: 614. De igual manera, se gestionó junto con la SDDE la asistencia de la Corporación Organización el Minuto de Dios a 8 espacios territoriales, con el fin de registrar a las mujeres asistentes al programa Pago por Resultados: Casa de Todas Los Mártires, Manzana del cuidado Los Mártires, CIOM Antonio Nariño, CIOM Bosa (2), Manzana del Cuidado Rafael Uribe Uribe, CIOM Usaquén, Casa de Igualdad Rafael Uribe Uribe. Anexo 1. Informe difusión de programas 092022. Anexo 2. Seguimiento Pago por Resultados 092022.</t>
  </si>
  <si>
    <t>Ene (producto doc.lin.técnicos)</t>
  </si>
  <si>
    <t>Feb (producto doc.lin.técnicos)</t>
  </si>
  <si>
    <t>Mar (producto doc.lin.técnicos)</t>
  </si>
  <si>
    <t>Abr (producto doc.lin.técnicos)</t>
  </si>
  <si>
    <t>May (producto doc.lin.técnicos)</t>
  </si>
  <si>
    <t>Jun (producto doc.lin.técnicos)</t>
  </si>
  <si>
    <t>jul (producto doc.lin.técnicos)</t>
  </si>
  <si>
    <t>ago (producto doc.lin.técnicos)</t>
  </si>
  <si>
    <t>11. Diseñar dos (2) programas que promuevan la autonomía económica de mujeres, en especial cuidadoras.</t>
  </si>
  <si>
    <t>Para el mes de septiembre, se realiza en marco del nuevo modelo de intervención, una segunda versión (actualización) del flujograma de identificación de perfiles de beneficiarias y oferta pertinente según perfil de acuerdo con los hallazgos identificados en una mesa técnica interna de la SDMujer . Anexos: 1. Documento word segunda versión flujograma.</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</si>
  <si>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transversalización de enfoque de género en los programas. Anexo 1: PPT Emre Marzo 2022.</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</si>
  <si>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 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estrategia.Durante el mes de mayo se adelanta otra propuesta, la cual se encuentra en borrador,  de un programa de generación de ingresos para fortalecer capacidades de acceso a mercados a las beneficiarias de Vecinas Trabajemos Juntas pensando en una fase dos de la intervención. Esta propuesta sigue en construcción técnica y queda pendiente la revisión de la líder de la estrategia. Anexo: 1.Propuesta brief programa Vecinas, seguimos trabajando juntas. Durante el mes de junio, se elaboró una propuesta de generación de ingresos pensada en dejar una capacidad instalada en las manzanas del cuidado a partir de la experiencia del programa “Vecinas, Trabajemos Juntas” con el propósito de fortalecer capacidades asociativas, socioemocionales y productivas en organizaciones de mujeres cuidadoras a partir de tres fases. Una primera fase de promoción de la vocación asociativa, una segunda fase de fortalecimiento organizativo y una tercera fase de fortalecimiento en cuanto a acercamiento a mercados. Esta oferta se tiene pensada para las manzanas del cuidado mediante un equipo de triadas (psicológas, mentoras, formadoras).</t>
  </si>
  <si>
    <t>Durante el mes de julio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de Desarrollo Económico. Anexos: 1. Documento en word de la propuesta del modelo de intervención. 2. Documento en Excel con la propuesta presupuestal.
Para el mes de agosto, se realiza en el marco de la nueva propuesta del programa, un flujograma de  indificacación de perfiles de beneficiarias y oferta pertinente según perfil . Anexos: 1. Documento word flujograma.
Para el mes de septiembre, se realiza en marco del nuevo modelo de intervención, una segunda versión (actualización) del flujograma de identificación de perfiles de beneficiarias y oferta pertinente según perfil de acuerdo con los hallazgos identificados en una mesa técnica interna de la SDMujer . Anexos: 1. Documento word segunda versión flujograma.</t>
  </si>
  <si>
    <t>Se adelanta borrador de propuesta de un programa de generación de ingresos para fortalecer capacidades de acceso a mercados a las beneficiarias de Vecinas Trabajemos Juntas pensando en una fase dos de la intervención. Esta propuesta sigue en construcción técnica</t>
  </si>
  <si>
    <t>Propuesta de generación de ingresos orientada a dejar capacidad instalada en las manzanas del cuidado a partir de la experiencia del programa “Vecinas, Trabajemos 
Juntas” con el propósito de fortalecer capacidades asociativas, socioemocionales y productivas en organizaciones de mujeres cuidadoras</t>
  </si>
  <si>
    <t>En julio se elaboró propuesta de modelo de intervención de oferta de generación de ingresos 2023 en las manzanas del cuidado a partir de la conformación de unas duplas psicosociales de la SDMujer que trabajen de la mano con las gestoras empresariales de la Secretaría de Desarrollo Económico.</t>
  </si>
  <si>
    <t>Para el mes de agosto, se realiza en el marco de la nueva propuesta del programa, un flujograma de  indificacación de perfiles de beneficiarias y oferta pertinente según perfil . Anexos: 1. Documento word flujograma.</t>
  </si>
  <si>
    <t xml:space="preserve">12. Generar y desarrollar alianzas estratégicas que contribuyan a la implementación de la estrategia de emprendimiento y empleabilidad. </t>
  </si>
  <si>
    <t xml:space="preserve">En el mes de septiembre se realizaron las siguientes gestiones:
1.	Sodexo. i) Gestiones para la divulgación de vacantes Casa Libertad. (02.09.22) ii) Gestiones para la divulgación de vacantes. (02-15.09.22)
2.	Coca-Cola. Gestiones para la divulgación de vacantes. (02.09.22)
3.	Fundación Texmoda. i) Gestiones y reuniones articulación. (14, 19 y 28.09.22)
4.	Xuss. Gestiones divulgación vacantes. (16.09.22)
5.	El Empleo. Gestiones para la divulgación del link de vacantes (21.09.22)
6.	Cemex. Participación en la feria de empleo CIOM Usaquén. (22.09.22) 
7. La Cortesana.
8. Tapperware
9.Makaia-Tigo
10. Zenú
Anexos
1.	Correos electrónicos
2.	Correos electrónicos
3.	Correo electrónico, evidencia asistencia reuniones
4.	Correo electrónico
5.	Correos electrónicos, pieza de divulgación, publicación twitter
6.	Pieza de divulgación, evidencia fotográfica
7. Radicado 12022010910_00001
8. Radicado 12022010249_00001 
9. Radicado 12022010248_00001 
10. Radicado 12022010250_00001
</t>
  </si>
  <si>
    <t>Se incluye en soporte de Plan de acción el resumen trimestral</t>
  </si>
  <si>
    <t>Se incluye en soporte de Plan de acción el resumen trimestral alianzas</t>
  </si>
  <si>
    <t>Ene (ind.gestión)</t>
  </si>
  <si>
    <t>Feb (ind.gestión)</t>
  </si>
  <si>
    <t>Mar (ind.gestión)</t>
  </si>
  <si>
    <t>Abr (ind.gestión)</t>
  </si>
  <si>
    <t>May (ind.gestión)</t>
  </si>
  <si>
    <t>Jun (ind.gestión)</t>
  </si>
  <si>
    <t>jul (ind.gestión)</t>
  </si>
  <si>
    <t>ago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</si>
  <si>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</si>
  <si>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</si>
  <si>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</si>
  <si>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</si>
  <si>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t>Gestiones promoción alianzas que contribuyan a implementación de la estrategia de emprendimiento y empleabilidad: Unilever.  Xuss. Coca-Cola. Terpel. Estrategia E&amp;E, Alianzas Estratégicas. El Empleo. Sodexo. WOM. Adidas. Cemex</t>
  </si>
  <si>
    <t xml:space="preserve"> Gestiones promoción alianzas para la implementación estrategia de emprendimiento y empleabilidad: Cemex, pasantías, Gestiones firma Pacto de Ciudad por la Igualdad de Género. 
Sodexo. El Empleo. Alkosto. Estrategia privados: Sello de Género y E&amp;E. Xuss. Terpel. CCB. Metro línea. Alianza Francesa.</t>
  </si>
  <si>
    <t xml:space="preserve"> Gestiones promoción alianzas para la implementación estrategia de emprendimiento y empleabilidad: Adidas. El Empleo. Cemex. Alkosto. E&amp;E y Alianzas Estratégicas. Xuss. Sodexo.</t>
  </si>
  <si>
    <t xml:space="preserve"> Gestiones promoción alianzas para la implementación estrategia de emprendimiento y empleabilidad: 1)Adidas. 2)El Empleo. 3)Cemex. 4)Alkosto. 5)Sodexo. 6)Coca-Cola. 7)Xuss. 8)Tapperware. </t>
  </si>
  <si>
    <t>May (ind gestión)</t>
  </si>
  <si>
    <t>Jun (ind gestión)</t>
  </si>
  <si>
    <t>jul (ind gestión)</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</si>
  <si>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</si>
  <si>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</si>
  <si>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</si>
  <si>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 xml:space="preserve">
Durante el mes de abril se asistió a 57 espacios de difusión. Así mismo a través de la Ruta de Divulgación y Orientación para Mujeres se llevaron a cabo 869 registros y 279 orientaciones de mujeres.</t>
  </si>
  <si>
    <t xml:space="preserve">
Durante el mes de mayo se asistió a 122 espacios de difusión. Así mismo a través de la Ruta de Divulgación y Orientación para Mujeres se llevaron a cabo 1113 registros y 456 orientaciones de mujeres.</t>
  </si>
  <si>
    <t>Durante el mes de junio por medio de la ruta de divulgación de la Estrategia de E&amp;E se llevaron a cabo 393 orientaciones, a través de la Ruta de Divulgación y Orientación para 
Mujeres. Para un total de 1.663 de enero a junio</t>
  </si>
  <si>
    <t>Se asistió a 109 espacios en 19 localidades. Difusión Estrategia E&amp;E: programas activos de empleo, generación de ingresos, formación para el trabajo, orientación y acompañamiento a mujeres. Por medio de la Ruta de divulgación de la estrategia se orientaron 374 mujeres, en total 2.037 ene a jul.</t>
  </si>
  <si>
    <t xml:space="preserve">Durante el mes de agosto se asisitó a 90 espacios en 19 localidades. ivulgación de los programas Distritales: Empleo Joven, Ruta de empleabilidad, Impulso al Empleo. En ese orden de ideas, a agosto de 2022, se han orientado un total de 2.521 mujeres, y 8.061 registros. </t>
  </si>
  <si>
    <t>-</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</si>
  <si>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</si>
  <si>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</si>
  <si>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Durante el mes de abril no se presentan avances para esta actividad</t>
  </si>
  <si>
    <t>Conforme a la programación para el mes no se reportan avances para la actividad</t>
  </si>
  <si>
    <t xml:space="preserve">Diseñar e Implementar 1 programa piloto para promover la autonomía económica de las mujeres cuidadoras en el marco de la estrategia de emprendimiento y empleabilidad de la SDMujer </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</si>
  <si>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</si>
  <si>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ago</t>
  </si>
  <si>
    <t xml:space="preserve">Diseñar e implementar un (1) programa piloto para promover la autonomía económica de las mujeres cuidadoras en el marco de la estrategia de emprendimiento y empleabilidad de la SDMujer.  </t>
  </si>
  <si>
    <t>En septiembre, se avanza en la identificación de oportunidades de acceso a mercados y se gestiona para el mes el primer encuentro empresarial con empresas contactadas para el programa.</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</si>
  <si>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</si>
  <si>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t>
  </si>
  <si>
    <t>Durante el mes de abril se avanzó en identificar 362 organizaciones de mujeres cuidadoras asociadas en la plataforma de la convocatoria de las cuales 128 pasaron al primer filtro de verificación del programa por cumplir con los términos de referencia. En el mes de mayo, culmina el proceso de convocatoria y se seleccionan las 30 organizaciones que quedarán beneficiadas del programa de Vecinas, Trabajemos Juntas. Durante el mes de junio, se identificaron 289 mujeres cuidadoras beneficiarias del programa, con las cuales se logró de manera participatriva raalizar los diagnósticos de necesidades de las organizaciones y la formulación de los planes de fortalecimiento organizativo. Asimismo se realiza el levantamiento individual de la línea base de las mujeres beneficiarias de la intervención con el propósito de medir el impacto de la intervención con base en los indicadores definidos en el componente de seguimiento y monitoreo. De igual manera, por medio del ejercicio de diagnóstico se tiene un mapeo preliminar de las necesidades de la oferta, en cuanto a generación de ingresos de las organizaciones productivas beneficiarias del programa.</t>
  </si>
  <si>
    <t>Durante el mes de julio,  por medio del ejercicio de diagnóstico se tiene un mapeo preliminar de las necesidades de la oferta, en cuanto a generación de ingresos de las organizaciones productivas beneficiarias del programa.
Durante el mes de agosto, se avanza en mapear la oferta de las organizaciones y en las sesiones de fortalecimiento empresarial y psicosociales. Se estructuran los informes de línea base y diagnóstico de las organizaciones y en la formulación de los planes de inversión. Asimismo, se avanza en la identificación de oportunidades de acceso a mercados y se gestiona para el mes de septiembre el primer encuentro empresarial con empresas contactadas para el programa.
En septiembre, se avanza en la identificación de oportunidades de acceso a mercados y se gestiona para el mes el primer encuentro empresarial con empresas contactadas para el programa.</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</si>
  <si>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</si>
  <si>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Durante el mes de abril se avanzó en identificar 362 organizaciones de mujeres cuidadoras asociadas en la plataforma de la convocatoria de las cuales 128 pasaron al primer filtro de verificación del programa por cumplir con los términos de referencia.</t>
  </si>
  <si>
    <t>Concluye proceso de selección (organizaciones), de las 362 postulaciones 284 eran registros únicos de los cuales 90 pasaron el primer filtro de verificación de requisitos para evaluación de propuestas y necesidades de fortalecimiento. Publicación en página web (SDMujer) nota técnica con resultados.</t>
  </si>
  <si>
    <t>Identificación de 272 mujeres cuidadoras beneficiarias del programa, diagnósticos de necesidades de las organizaciones y formulación de planes de fortalecimiento organizativo. 
Levantamiento individual:línea base beneficiarias. Mapeo preliminar:necesidades de oferta, en cuanto a generación de ingreso</t>
  </si>
  <si>
    <t>Durante el mes de julio,  por medio del ejercicio de diagnóstico se tiene un mapeo preliminar de las necesidades de la oferta, en cuanto a generación de ingresos de las organizaciones productivas beneficiarias del programa.</t>
  </si>
  <si>
    <t>Mapeo de oferta en organizaciones y en sesiones de fortalecimiento empresarial y psicosociales. Informes: línea base, diagnóstico de organizaciones, formulación de planes de inversión. Identificación de oportunidades de acceso a mercados y gestiones para el primer encuentro empresarial con empresas.</t>
  </si>
  <si>
    <t xml:space="preserve">13. Estructurar los insumos técnicos del programa para el componente de seguimiento y monitoreo </t>
  </si>
  <si>
    <t>Actividad cumplida durante el primer trimestre del año.</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</si>
  <si>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</si>
  <si>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En abril se avanza en estructurar la linea base de entrada de las mujeres con base en el marco de resultados definido para el programa. (Anexo 1: línea base de entrada). Durante el mes de mayo, si bien no se tenían actividades programadas, se realizan aportes técnicos al paquete de contenidos formativos remitidos por parte del PNUD, se cierra el instrumento de diagnóstico de necesidades y el instrumento de línea base.</t>
  </si>
  <si>
    <t>14. Diseñar e implementar el proceso de convocatoria con el fin de alcanzar la meta poblacional propuesta en el piloto y levantar una línea base de organizaciones productiva de mujeres cuidadoras asociadas</t>
  </si>
  <si>
    <t>Actividad cumplida en el mes de mayo.</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</si>
  <si>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</si>
  <si>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</si>
  <si>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15. Realizar seguimiento al cumplimiento de las horas de formación y mentoría personalizada y las acciones definidas en los planes de fortalecimiento organizativo de las organizaciones productivas de mujeres cuidadoras asociadas beneficiarias del piloto.</t>
  </si>
  <si>
    <t>Durante el mes de septiembre se consolida el informe trimestral julio-septiembre que da cuenta de las horas de mentoría y asistencia de las mujeres al proceso de formación. Anexo 1. Informe trimestral de seguimiento técnico.</t>
  </si>
  <si>
    <t>Para el mes de enero, febrero, marzo  no se reportan actividades puesto que el seguimiento a las horas de formación y mentoría se corrió un mes, para la fase de implementación del programa.</t>
  </si>
  <si>
    <t>En abril se registran retrasos al plan de trabajo correspondientes al proceso de contratación del equipo implementaron del PNUD, contenidos formativos y selección de las organizaciones por lo cual se reportaran avances de esta actividad en el mes de mayo. Por lo tanto la evidencia se reportará para el próximo mes. Durante el mes de junio se evidencia que quedan formulados los planes de fortalecimiento organizativo cuyo seguimiento se realizará a partir del mes de julio.</t>
  </si>
  <si>
    <t>Durante el mes de julio queda pendiente la entrega por parte del cooperante, siendo implementador operativo del programa, de la información de seguimiento. Razón por la cual desde la supervisión de la SDMujer se realiza un llamado de atención con radicado número 1-2022-008147. Anexo: 1. Documento en pdf del llamado de atención enviado al cooperante. 
Durante el mes de agosto, se recibe el instrumento de seguimiento a las horas de mentoría a las OPS y el mecanismo de seguimiento a la asistencia de las mujeres. Se hace presente que por cuenta de los hallazgos encontrados en los perfiles de las organizaciones y de las beneficiarias, ha sido necesario bajar la intensidad de las horas de mentoría para respetar los tiempos de aprendizajes de las mujeres cuidadoras e incrementar las horas de fortalecimiento psicosocial, lo que ha implicado un retrazo en las actividades. Anexo 1 Verificación trabajo mentores;Anexo 2: Instrumento de seguimiento a las mujeres.
Durante el mes de septiembre se consolida el informe trimestral julio-septiembre que da cuenta de las horas de mentoría y asistencia de las mujeres al proceso de formación. Anexo 1. Informe trimestral de seguimiento técnico.</t>
  </si>
  <si>
    <t>16. Supervisar el cumplimiento de los objetivos propuestos en el piloto.</t>
  </si>
  <si>
    <t>En septiembre se realiza el trámite de prórroga del convenio hasta el 10 de diciembre debido a factores externos encontrados en las mujeres que requierieron mayor acompañamiento, asimismo se realiza el primer encuentro empresarial de acercamiento a mercados y se adelantan las mentorías para la formulación de los planes de inversión. Anexo 1. Solicitud de prórroga; Anexo 2. Listado de asistencia encuentro empresarial; Anexo 3. Informe de supervisión de septiembre.</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</si>
  <si>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</si>
  <si>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se avanza en la realización del comité del convenio y seguimiento al primer desembolso y se realiza el informe mensual de seguimiento (Anexo 1. Informe abril de seguimiento). Durante el mes de mayo y junio  se realizan los informes de seguimiento al convenio  y el informe de supervisión. Anexo 1: Se adjunta informe de supervisión y seguimiento.</t>
  </si>
  <si>
    <t>En julio se da cuenta del seguimiento del convenio por un total de ejecución del 41% frente al plan de trabajo, se avanza en la estructuración de la estrategia y manual de acercamiento a mercados, así como del instrumento de medición de habilidades socioemocionales, primer borrador de línea base y primer borrador de documento de diagnóstico de las organizaciones. Anexos 1: informe de supervisipon; Evidencia 2: borrador documento línea base; Evidencia 3: borrador documento diagnóstico de las organizaciones. 
En agosto se cerraron las actividades del plan de trabajo que no dependen de las dinámicas territoriales y organizativas encontradas durante la operación y se logra una ejecución del 70,1% del convenio, asimismo se realizan el informe de línea base, el informe de diagnóstico de las OPS, el mapeo de la oferta de las OPS  y se realiza un trabajo de verificación territorial consolidado en un documento de bitácoras. Anexo 1: Informe de supervisión agosto; Anexo 2. Informe línea base; Anexo 3. Informe diagnóstico OPS; Anexo 4. Informe bitácoras agosto.
En septiembre se realiza el trámite de prórroga del convenio hasta el 10 de diciembre debido a factores externos encontrados en las mujeres que requierieron mayor acompañamiento, asimismo se realiza el primer encuentro empresarial de acercamiento a mercados y se adelantan las mentorías para la formulación de los planes de inversión. Anexo 1. Solicitud de prórroga; Anexo 2. Listado de asistencia encuentro empresarial; Anexo 3. Informe de supervisión de septiembre.</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</si>
  <si>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</si>
  <si>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</si>
  <si>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</si>
  <si>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</si>
  <si>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</si>
  <si>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</si>
  <si>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</si>
  <si>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</si>
  <si>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</si>
  <si>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</si>
  <si>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</si>
  <si>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</si>
  <si>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</si>
  <si>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</si>
  <si>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</si>
  <si>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</si>
  <si>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</si>
  <si>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ANEXO - TERRITORIALIZACIÓN</t>
  </si>
  <si>
    <t>Página 3 de 3</t>
  </si>
  <si>
    <t xml:space="preserve">PROGRAMACIÓN </t>
  </si>
  <si>
    <t xml:space="preserve">SEGUIMIENTO </t>
  </si>
  <si>
    <t>PERIODO DE REPORTE:</t>
  </si>
  <si>
    <t>INDICADOR / META:</t>
  </si>
  <si>
    <t>LOCALIDAD</t>
  </si>
  <si>
    <t>TOTAL POR LOCALIDAD</t>
  </si>
  <si>
    <t xml:space="preserve">ENFOQUE DIFERENCIAL </t>
  </si>
  <si>
    <t>GRUPO ETARIO</t>
  </si>
  <si>
    <t>Magnitud</t>
  </si>
  <si>
    <t>Presupuesto</t>
  </si>
  <si>
    <t>ACUM I TRIM</t>
  </si>
  <si>
    <t>ACUM II TRIM</t>
  </si>
  <si>
    <t>ACUM III TRIM</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</si>
  <si>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</si>
  <si>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</si>
  <si>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</si>
  <si>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</si>
  <si>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</si>
  <si>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</si>
  <si>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</si>
  <si>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</si>
  <si>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</si>
  <si>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</si>
  <si>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</si>
  <si>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</si>
  <si>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</si>
  <si>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</si>
  <si>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</si>
  <si>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</si>
  <si>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</si>
  <si>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</si>
  <si>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</si>
  <si>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</si>
  <si>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</si>
  <si>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</si>
  <si>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</si>
  <si>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</si>
  <si>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</si>
  <si>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</si>
  <si>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</si>
  <si>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</si>
  <si>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</si>
  <si>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</si>
  <si>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</si>
  <si>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</si>
  <si>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</si>
  <si>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</si>
  <si>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NOTA</t>
  </si>
  <si>
    <t>El reporte de mujeres formadas se realizara de manera mensual, y los recursos presupuestales se realizará de manera trimestral acorde con el reporte SEGPLAN</t>
  </si>
  <si>
    <t>Número de mujeres orientadas a través de la Ruta de Divulgación y Orientación.</t>
  </si>
  <si>
    <t>ACUM IV TRIM</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</si>
  <si>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</si>
  <si>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</si>
  <si>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</si>
  <si>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</si>
  <si>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</si>
  <si>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</si>
  <si>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</si>
  <si>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</si>
  <si>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</si>
  <si>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</si>
  <si>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</si>
  <si>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</si>
  <si>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</si>
  <si>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</si>
  <si>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Valor girado a 31-mar</t>
  </si>
  <si>
    <t>Giros a 28-feb</t>
  </si>
  <si>
    <t>Giros a 31-mar</t>
  </si>
  <si>
    <t>Valor girado a 30-abr</t>
  </si>
  <si>
    <t>Giros a 30-abr</t>
  </si>
  <si>
    <t>Valor girado a 31-may</t>
  </si>
  <si>
    <t>Giros a 31-may</t>
  </si>
  <si>
    <t>Valor girado a 30-jun</t>
  </si>
  <si>
    <t>Giros a 30-jun</t>
  </si>
  <si>
    <t>Valor girado a 31-jul</t>
  </si>
  <si>
    <t>Giros a 31-jul</t>
  </si>
  <si>
    <t>Valor girado a 31-ago</t>
  </si>
  <si>
    <t>Giros a 31-ago</t>
  </si>
  <si>
    <t>FORMULACIÓN Y SEGUIMIENTO PLAN DE ACCIÓN</t>
  </si>
  <si>
    <t>Página 2 de 3</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</si>
  <si>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</si>
  <si>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</si>
  <si>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</si>
  <si>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</si>
  <si>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</si>
  <si>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</si>
  <si>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</si>
  <si>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</si>
  <si>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</si>
  <si>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</si>
  <si>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</si>
  <si>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</si>
  <si>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</si>
  <si>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</si>
  <si>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</si>
  <si>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</si>
  <si>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</si>
  <si>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</si>
  <si>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</si>
  <si>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</si>
  <si>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</si>
  <si>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</si>
  <si>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</si>
  <si>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</si>
  <si>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</si>
  <si>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</si>
  <si>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</si>
  <si>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</si>
  <si>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</si>
  <si>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</si>
  <si>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</si>
  <si>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</si>
  <si>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</si>
  <si>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</si>
  <si>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</si>
  <si>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</si>
  <si>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</si>
  <si>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No se presentan retrasos acorde con la programación</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</si>
  <si>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</si>
  <si>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</si>
  <si>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</si>
  <si>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</si>
  <si>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</si>
  <si>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 Para el cierre del primer trimestre, se han beneficiado 2.379 mujeres (689 orientaciones,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mayo se destacan los siguientes avances: i) 1.113 registros y 456 orientaciones de mujeres a través de la Ruta de Divulgación y Orientación para Mujeres. Lo anterior, se llevó a cabo en 19 localidades, mediante la participación en 122 espacios de difusión. ii) 10 sesiones de divulgación de la convocatoria del Decreto 332, a los a los sectores económicos de Construcción, transporte y almacenamiento, suministro de electricidad, gas y agua, actividades inmobiliarias, información y telecomunicaciones, industria manufacturera, comercio y reparación de vehículos. iii)Divulgación del programa Distrital Empleo Joven, Ruta de empleabilidad. iv) Propuesta brief de programa para la generación de ingresos “Vecinas, sigamos trabajando juntas” 
En ese orden de ideas, a mayo de 2022, se han orientado un total de 1.424 mujeres, y un acumulado de 3.672 registros. Durante el mes de junio se destacan los siguientes avances: i) 1.936 registros y 439 orientaciones de mujeres través de la Ruta de Divulgación y Orientación para Mujeres. Lo anterior, se llevó a cabo en 19 localidades, mediante la participación en 105 espacios de difusión. ii) Cinco (5) sesiones virtuales de capacitación del Decreto 332 de 2020 y de la aplicación y diligenciamiento de la herramienta de registro de información de cumplimiento del Decreto. iii) Divulgación del programa Distrital Empleo Joven, Ruta de empleabilidad, Impulso al Empleo. iv) Propuesta del programa nuevo ajustado, con el cual se tiene proyectado una intervención para fortalecer capacidades asociativas según el ciclo de vida de las organizaciones, con miras a dejar una capacidad instalada en las manzanas del cuidado.
En ese orden de ideas, a junio de 2022, se han orientado un total de 1.663 mujeres, y un acumulado de 5.512 registros.  Durante el mes de julio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destacan los siguientes avances: i) 1.272 registros y 374 orientaciones de mujeres través de la Ruta de Divulgación y Orientación para Mujeres. Lo anterior, se llevó a cabo en 19 localidades, mediante la participación en 109 espacios de difusión. ii) Dos (2) sesiones virtuales de capacitación del Decreto 332 de 2020, una de asistencia técnica a las Alcaldías Locales de Tunjuelito y Usaquén, y otra de acompañamiento y asistencia técnica a la Alcaldía Local de Kennedy. iii) Divulgación del programa Distrital Empleo Joven, Ruta de empleabilidad, Impulso al Empleo. iv) Se elaboró la propuesta de un modelo de intervención de oferta de generación de ingresos para el 2023 en las manzanas del cuidado, a partir de la conformación de unas duplas psicosociales de la SDMujer que trabajen de la mano con las gestoras empresariales de la Secretaría Distrital de Desarrollo Económico. En ese orden de ideas, a julio de 2022, se han orientado un total de 2.037 mujeres, y un acumulado de 6.784 registros.
En ese orden de ideas, a agosto de 2022 se destacan los siguientes avances: i) 1.277 registros y 484 orientaciones de mujeres través de la Ruta de Divulgación y Orientación para Mujeres. Lo anterior, se llevó a cabo en 19 localidades, mediante la participación en 90 espacios de difusión. ii) Una (1) sesión virtual de capacitación del Decreto 332 de 2020  de acompañamiento y asistencia técnica a la Alcaldía Local de Ciudad Bolívar. iii) Divulgación de los programas Distritales: Empleo Joven, Ruta de empleabilidad, Impulso al Empleo. iv) Se elaboró flujograma para la identificación de perfiles de beneficiarias y oferta pertinente según el perfil, en marco del modelo de intervención de oferta de generación de ingresos para el 2023 en las manzanas del cuidado. En ese orden de ideas, a agosto de 2022, se han orientado un total de 2.521 mujeres, y 8.061 registros. 
En ese orden de ideas, en el mes de septiembre se destacan los siguientes avances: i) 966 registros y 519 orientaciones de mujeres través de la Ruta de Divulgación y Orientación para Mujeres. Lo anterior, se llevó a cabo en 19 localidades, mediante la participación en 118 espacios de difusión. ii) Se remitió oficio con radicado 1-2022-009998 de fecha 13 de septiembre de 2022 a la Secretaría Jurídica Distrital mediante el cual se envió el informe consolidado del reporte de cumplimiento del Decreto 332 de 2020. iii) Divulgación de los programas Distritales: Empleo Joven, Ruta de empleabilidad, Pago por resultados. iv) Se elaboró segunda versión del flujograma para la identificación de perfiles de beneficiarias y oferta pertinente según el perfil, en marco del modelo de intervención de oferta de generación de ingresos para el 2023 en las manzanas del cuidado. En ese orden de ideas, a septiembre de 2022, se han orientado un total de 3.040 mujeres, y 9.027 registros.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</si>
  <si>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</si>
  <si>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</si>
  <si>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</si>
  <si>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</si>
  <si>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Durante el mes de septiembre se tiene programado dar inicio a la ejecución del contrato interadministrativo.</t>
  </si>
  <si>
    <t>Diseñar e implementar una (1) Estrategia para el Desarrollo De Capacidades Socioemocionales Y Técnicas de las Mujeres en toda su Diversidad para su Emprendimiento y Empleabilidad.</t>
  </si>
  <si>
    <t>Número de registros en la Ruta de  Divulgación y Orientación.</t>
  </si>
  <si>
    <t>N/A</t>
  </si>
  <si>
    <t>Registros</t>
  </si>
  <si>
    <t>Registros realizados</t>
  </si>
  <si>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1.172 registros,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Para el mes de mayo se asistió a 122 (ciento veintidós)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llevaron a  cabo 1113 registros..Para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llevaron a cabo 1113 registros.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llevaron a cabo 1.272 registros.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llevaron a cabo 1.277 registros.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Por medio de la ruta de divulgación de la etsrategia se llevaron a cabo 966 registros.
</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</si>
  <si>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</si>
  <si>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Las medidas que se están tomando para ponernos al día en los próximos meses son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entre otras.</t>
  </si>
  <si>
    <t>Mujeres orientadas</t>
  </si>
  <si>
    <t>Orientaciones realizadas</t>
  </si>
  <si>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 "entre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Para el mes de mayo se asistió a 122 (ciento veinte dos) espacios de difusión entre los que se encuentran ferias comunitarias, ferias de servicios, jornadas "Mujer Contigo en tu barrio", días de empleo &amp; emprendimiento en las manzanas del cuidado y CIOM, entre otras, en diecinueve (19). En estos espacios se llevó a cabo difusión de la Estrategia E&amp;E, servicios de la SDMujer, programas activos de empleo (Empleo Joven, Ruta de Empleabilidad, Programa Creo, Impulso al Empleo, Más Empleos del Sector Gastronómico, Vacantes Coca-Cola Femsa, Vacantes Cemex, Vacantes Xuss, Vacantes disponibles en sector industrial-Cemex, Somos Bogotá USME, Sodexo, Diamante, Hogarú, Ardanuy Ingeniería S.A, Efiservicios, Call Center - GNP, Auxiliar Enfermeras, Colombina, WOK, WOM, generación de ingresos (Viste Tu Casa Corona, Mujer Emprendedora &amp; Productiva), formación para el trabajo (Cursos en alianza con la UNAL, Fundación SODEXO, IBM) y orientación y acompañamiento a mujeres. Por medio de la Ruta de divulgación de la estrategia se llevo a cabo 456 orientaciones.Para el mes de junio el equipo territorial asistió a 105 (Ciento cinco) espacios de difusión entre los que se encuentran ferias comunitarias, ferias de servicios, jornadas "Mujer Contigo en tu barrio", días de empleo &amp; emprendimiento en las manzanas del cuidado y CIOM, talleres hoja de vida, entre otras, en (19) diecinueve localidades. En estos espacios se llevó a cabo difusión de la Estrategia E&amp;E, de los programas activos de empleo (Empleo Joven, Ruta de Empleabilidad, Impulso al Empleo, programa CREO, Más Empleos del Sector Gastronómico, Vacantes Coca-Cola Femsa, Vacantes Cemex, Vacantes Xuss, Somos Bogotá USME, Sodexo, Diamante, Hogaru, Ardanuy Ingenería S.A, Efiservicios, Call Center - GNP, Teleperformance, Enfermeras, Colombina, WOK, WOM), generación de ingresos (Viste Tu Casa Corona, NOVAVENTA, Mujer Emprendedora &amp; Productiva), formación para el trabajo (Cursos en alianza con la UNAL, Fundación Sodexo-SENA, curso para sector de bares y restaurantes Diageo, IBM) y orientación y acompañamiento a mujeres. Por medio de la Ruta de divulgación de la estrategia se orientaron 439 mujeres. Para el mes de julio el equipo territorial asistió a 109 (Ciento nueve) espacios de difusión entre los que se encuentran ferias comunitarias, ferias de servicios, jornadas "Mujer Contigo en tu barrio", días de empleo &amp; emprendimiento en las manzanas del cuidado y CIOM, talleres hoja de vida, entre otras, en  diecinueve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Cemex, Vacantes Xuss, Somos Bogotá USME, Sodexo, Diamante, Hogaru, Ardanuy Ingenería S.A, Efiservicios, Call Center - GNP, Teleperformance, Enfermeras, Colombina, WOK, WOM, Call Center Hoy Trabajas,Vacantes SECURITAS, OS ingeniería, POPSY, ENEL, EFICACIA, QUIROMAR, COTELCO, SERVIESPECIALES), generación de ingresos (Viste Tu Casa Corona, NOVAVENTA, Mujer Emprendedora &amp; Productiva), formación para el trabajo (Cursos en alianza con la UNAL, Fundación Sodexo-SENA, curso para sector de bares y restaurantes Diageo, formación técnica VANTI, IBM) y orientación y acompañamiento a mujeres. Por medio de la Ruta de divulgación de la estrategia se orientaron 374 mujeres.
Para el mes de agosto el equipo territorial asistió a 90 (Noventa) espacios de difusión entre los que se encuentran ferias comunitarias, ferias de servicios, jornadas "Mujer Contigo en tu barrio", días de empleo &amp; emprendimiento en las manzanas del cuidado y CIOM, talleres hoja de vida, entre otras, en las localidades de Usaquén, Mártires, Teusaquillo, Rafael Uribe Uribe, San Cristóbal, Ciudad Bolívar, Suba, Santa Fe, Chapinero, Engativá, Sumapaz, Kennedy, Usme, Bosa, Barrios Unidos, Candelaria, Antonio Nariño, Puente Aranda y Fontibón (19 localidades). En estos espacios se llevó a cabo difusión de la Estrategia E&amp;E, de los programas activos de empleo (Empleo Joven, Ruta de Empleabilidad, Impulso al Empleo, programa CREO, Elempleo.com, Más Empleos del Sector Gastronómico, Vacantes Coca-Cola Femsa, Vacantes sector industria, Vacantes Xuss, Vacantes Grouplic, Somos Bogotá USME, Sodexo, Diamante, Hogaru, Ardanuy Ingenería S.A, Efiservicios, Call Center - GNP, Teleperformance, Enfermeras, Colombina, WOK, WOM, Call Center Hoy Trabajas,Vacantes SECURITAS, OS ingeniería, POPSY, CNC, EFICACIA, QUIROMAR, COTELCO, SERVIESPECIALES, Maser Terpel, KANKA PERU, Calzado Barbarella, Transmilenio, Acodres), generación de ingresos (Bogotá Productiva Local, Viste Tu Casa Corona, NOVAVENTA), formación para el trabajo (Cursos en alianza con la UNAL, Fundación Sodexo-SENA, curso para sector de bares y restaurantes Diageo, formación técnica VANTI, IBM, Mujeres Eco-conductoras). Por medio de la ruta de divulgación de la estrategia se orientaron 484 mujeres.
En el mes de septiembre, el equipo territorial asistió a 118 (ciento dieciocho) espacios de difusión en las 19 localidades, en los cuales se socializó y orientó a las mujeres respecto a la oferta de empleo &amp; emprendimiento:  Empleo Joven, Ruta de Empleabilidad, Más Empleos del Sector Gastronómico, Vacantes Coca-Cola Femsa, Vacantes Sector Industrial; CREO Colsubsidio-Uniminuto, EFICACIA, Centro Nacional de Consultoría - CNC, Restaurante KANKA PERU; Vacantes XUSS; Somos Bogotá Usme; Ardanuy Ingeniería S.A., Diamante, WOK, SERVIESPECIALES, Colombina; WOM; Sodexo, Vacantes Call center - GNP, Vacantes Call center – Teleperformance, Vacantes Call center - Hoy Trabajas, Hogaru, Enfermeras un Compromiso, Elempleo.com; Securitas, POPSY; OS Ingeniería, Adidas, Cotelco, HOTEL OPERA, TRANSMILENIO, MASSER TERPEL, QUIROMAR, ACODRES, Archies, Calzado Barbarella, Pago por resultados y Starbucks. Así mismo se socializó la oferta de generación de ingresos: Viste tu casa Corona, Bogotá Productiva Local, Novaventa y Zenú. Respecto a los cursos de formación: Fundación Sodexo y SENA: Línea general de alimentos; Línea de dietas hospitalarias y línea de servicios generales, Charla 3M: Proyecto de vida, Cursos Universidad Nacional, Mujeres Eco- Conductoras, Curso Diageo: Curso en Bar y restaurante. Por medio de la ruta de divulgación de la etsrategia se orientaron 519 mujeres.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</si>
  <si>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 Durante el mes de julio hubo un rezago de 15 orientaciones por debajo de la meta, pese a los esfuerzos y la presencia constante del equipo territorial, no se alcanzó la asistencia esperada de las mujeres en algunos espacios territoriales.</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</si>
  <si>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 Como acciones de mejora para el mes de mayo, el equipo territorial estará en espacios territoriales de divulgación y orientaciones las 4 semanas completas del mes, por lo que se espera alcanzar las metas planeadas. Teniendo en cuenta que para la meta del semestre, tenemos retrasos de 142 por debajo, se proponen como acciones de mejora las siguientes: la articulación con más actores en territorio para llegar a más y nuevas mujeres, implementación de nuevas estrategias para aumentar la asistencia de mujeres en los días E&amp;E en manzanas del cuidado, el desarrollo de ferias con empresas aliadas que puedan registrar directamente a las mujeres a vacantes, así como la coordinación de eventos como la Macrorueda, en las cuales hay una gran acogida y convocatoria por parte de las mujeres en un solo espacio, lo cual permite optimizar el tiempo de trabajo. Teniendo en cuenta que hubo un retraso de 15 por debajo de la meta del mes de julio, se continuaran con los esfuerzos para lograr articulaciones con aliados que permitan que las mujeres participen en espacios presenciales, que queden cerca a sus hogares, como las manzanas del cuidado. </t>
  </si>
  <si>
    <t>Número de informes consolidados, elaborados a partir de los reportes enviados por las entidades y organismos Distrital en cumplimiento del Decreto 332/2020.</t>
  </si>
  <si>
    <t>Informes consolidados</t>
  </si>
  <si>
    <t>Sumatoria</t>
  </si>
  <si>
    <t>Semestral</t>
  </si>
  <si>
    <t>Reportes realizados</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</si>
  <si>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julio.
De acuerdo con lo programado para el mes de agosto, se realizó el informe consolidado, I semestre 2022, de los reportes remitidos por las entidades y organismos distritales frente al cumplimiento de las medidas contenidas en el Decreto 332 de 2020 para ser remitido a la Secretaría Jurídica Distrital en virtud de lo previsto por el Artículo 4 del Decreto.
Actividad no programada para el mes de septiembre.</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</si>
  <si>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</si>
  <si>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</si>
  <si>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</si>
  <si>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</si>
  <si>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Para la vigencia reportada, se elabora una propuesta de generación de ingresos pensada en dejar capacidad instalada en las manzanas del cuidado a partir de la experiencia de vecinas trabajemos juntas con el propósito de fortalecer capacidades asociativas, socioemocionales y productivas en organizaciones de mujeres cuidadoras a partir de tres fases. Una primera fase de promoción de la vocación asociatiava, una segunda fase de fortalecimiento organizativo y una tercera fase de fortalecimiento en cuanto a acercamiento a mercados. Esta oferta se tiene pensada para las manzanas del cuidado mediante un equipo de triadas (psicológas, mentoras, formadoras). Esta propuesta es avalada por la secretaria y se da inicio a la segunda fase de estructuración de un modelo operativo e generación de ingresos en las manzanas del ciudado basado en una articulación intersectorial con la Secretaría Distrital de Desarrollo Económico. Actividad no programada para el mes de julio.
Actividad no programada para el mes de agosto. 
Actividad no programada para el mes de septiembre.</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</si>
  <si>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</si>
  <si>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</si>
  <si>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</si>
  <si>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</si>
  <si>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Dado los retrasos identificados en el plan de trabajo se remite un llamado de atención al cooperante con radicado número 1-2022-008147. Estos se surten en agosto y por cuenta de factores externos identificados en la población se procede a tramitar una solicitud de prórroga hasta el 10 de diciembre.</t>
  </si>
  <si>
    <t>Mediante la ampliación del plan de trabajo por cuenta de factores externos, en donde se prórroga la intervención hasta el 10 de diciembre, se espera  culminar con éxito el proceso de formación y capitalización.</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</si>
  <si>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</si>
  <si>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</si>
  <si>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</si>
  <si>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</si>
  <si>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</si>
  <si>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comité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</si>
  <si>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Actividad no programada para el mes de agosto. 
De acuerdo a lo programado, en el mes de septiembre se cuenta con el paquete de documentos técnicos: i) guía operativa del programa, ii) bases de datos para la convocatoria, iii) términos de referencia de la convocatoria, iv) piezas de la convocatoria, v) Diseño y seguimiento al Plan de trabajo detallado correspondiente a la duración total del programa.</t>
  </si>
  <si>
    <t>Documento técnico fortalecimiento organizativo elaborado.</t>
  </si>
  <si>
    <t>Un documento que de cuenta de las herramientas de fortalecimiento organizativo, mentoría personalizada, de formación y acompañamiento pedagógico implementadas correspondiente al 100% del cumplimiento de los componentes 1 y 2 del programa</t>
  </si>
  <si>
    <t>Un documento de reporte al proceso de fortalecimiento organizativo, mentoría personalizada, formación y acompañamiento psicosocial</t>
  </si>
  <si>
    <t>En septiembre se entrega un avance del informe técnico trimestral que da cuenta de las herramientas de fortalecimiento organizativo, mentoría personalizada, de formación y acompañamiento pedagógico implementadas correspondiente al avance de cumplimiento de los componentes 1 y 2 del programa.</t>
  </si>
  <si>
    <t xml:space="preserve">Debido a los retrasos presentados a lo  largo de la ejecución del programa, se realizó una prórroga por lo que el documento final  se entregará en el mes de diciembre. </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</si>
  <si>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</si>
  <si>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</si>
  <si>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</si>
  <si>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registró, verificación de requisitos y selección.</t>
  </si>
  <si>
    <t>El retraso se debe a que la convocatorio se decidió lanzar el 8 de marzo, aprovechando la coyuntura, por lo tanto la convocatoria que estaba programada para un mes, cierra hasta el 8 de abril. Se hace entrega del documento de cierre del proceso de convocatoria.</t>
  </si>
  <si>
    <t>Desarrollo de Capacidades</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</si>
  <si>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</si>
  <si>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</si>
  <si>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</si>
  <si>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</si>
  <si>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</si>
  <si>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</si>
  <si>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</si>
  <si>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</si>
  <si>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</si>
  <si>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</si>
  <si>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</si>
  <si>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</si>
  <si>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</si>
  <si>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</si>
  <si>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Líder técnica y responsable de proceso)</t>
  </si>
  <si>
    <t>REVISÓ OFICINA ASESORA DE PLANEACIÓN</t>
  </si>
  <si>
    <t xml:space="preserve">VoBo. </t>
  </si>
  <si>
    <t>Nombre: M1-Rocio Duran Mahecha. M2-Ángela Adriana Ávila. M3.M4- Ana Daniela Pineda Tobasía</t>
  </si>
  <si>
    <t>Nombre: Angie Paola Mesa Rojas</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</si>
  <si>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</si>
  <si>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</si>
  <si>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</si>
  <si>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</si>
  <si>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</si>
  <si>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</si>
  <si>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</si>
  <si>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</si>
  <si>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</si>
  <si>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</si>
  <si>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</si>
  <si>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</si>
  <si>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</si>
  <si>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</si>
  <si>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</si>
  <si>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</si>
  <si>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</si>
  <si>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</si>
  <si>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</si>
  <si>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</si>
  <si>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</si>
  <si>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PROGRAMADO</t>
  </si>
  <si>
    <t>EJECUTADO</t>
  </si>
  <si>
    <t>LLAVE</t>
  </si>
  <si>
    <t>PROYECTO</t>
  </si>
  <si>
    <t>Ejercicio</t>
  </si>
  <si>
    <t>Período</t>
  </si>
  <si>
    <t>Fecha Inicial</t>
  </si>
  <si>
    <t>Fecha Final</t>
  </si>
  <si>
    <t>Centro gestor</t>
  </si>
  <si>
    <t>Fe.contabil.en control presupuestario</t>
  </si>
  <si>
    <t>g</t>
  </si>
  <si>
    <t>Compromiso</t>
  </si>
  <si>
    <t>No. Compromiso</t>
  </si>
  <si>
    <t>Plazo</t>
  </si>
  <si>
    <t>Forma Pago</t>
  </si>
  <si>
    <t>Descripción</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</si>
  <si>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</si>
  <si>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</si>
  <si>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</si>
  <si>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</si>
  <si>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</si>
  <si>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</si>
  <si>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</si>
  <si>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</si>
  <si>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</si>
  <si>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</si>
  <si>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</si>
  <si>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</si>
  <si>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</si>
  <si>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</si>
  <si>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</si>
  <si>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</si>
  <si>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</si>
  <si>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</si>
  <si>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</si>
  <si>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</si>
  <si>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</si>
  <si>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</si>
  <si>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</si>
  <si>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</si>
  <si>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</si>
  <si>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</si>
  <si>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</si>
  <si>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</si>
  <si>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M1</t>
  </si>
  <si>
    <t>M2</t>
  </si>
  <si>
    <t>M3</t>
  </si>
  <si>
    <t>feb</t>
  </si>
  <si>
    <t>mar</t>
  </si>
  <si>
    <t>abril</t>
  </si>
  <si>
    <t>mayo</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</si>
  <si>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</si>
  <si>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</si>
  <si>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</si>
  <si>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</si>
  <si>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</si>
  <si>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</si>
  <si>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</si>
  <si>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</si>
  <si>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</si>
  <si>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</si>
  <si>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</si>
  <si>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</si>
  <si>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</si>
  <si>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</si>
  <si>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</si>
  <si>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Desarrollo de capacidades para aumentar la autonomía y empoderamiento de las mujeres en toda su diversidad en Bogotá</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</si>
  <si>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</si>
  <si>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</si>
  <si>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</si>
  <si>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</si>
  <si>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</si>
  <si>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</si>
  <si>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</si>
  <si>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</si>
  <si>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</si>
  <si>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</si>
  <si>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</si>
  <si>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</si>
  <si>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</si>
  <si>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</si>
  <si>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</si>
  <si>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</si>
  <si>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</si>
  <si>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</si>
  <si>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</si>
  <si>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</si>
  <si>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</si>
  <si>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</si>
  <si>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</si>
  <si>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</si>
  <si>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</si>
  <si>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</si>
  <si>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</si>
  <si>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</si>
  <si>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</si>
  <si>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</si>
  <si>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</si>
  <si>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</si>
  <si>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</si>
  <si>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</si>
  <si>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</si>
  <si>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</si>
  <si>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</si>
  <si>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</si>
  <si>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Servicios prestados a las empresas y servicios de producción</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</si>
  <si>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</si>
  <si>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</si>
  <si>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</si>
  <si>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</si>
  <si>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</si>
  <si>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</si>
  <si>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</si>
  <si>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</si>
  <si>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</si>
  <si>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</si>
  <si>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</si>
  <si>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</si>
  <si>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</si>
  <si>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</si>
  <si>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</si>
  <si>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</si>
  <si>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</si>
  <si>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</si>
  <si>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</si>
  <si>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</si>
  <si>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</si>
  <si>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</si>
  <si>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</si>
  <si>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</si>
  <si>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</si>
  <si>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</si>
  <si>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</si>
  <si>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</si>
  <si>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</si>
  <si>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</si>
  <si>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</si>
  <si>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</si>
  <si>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</si>
  <si>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</si>
  <si>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</si>
  <si>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</si>
  <si>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</si>
  <si>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</si>
  <si>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</si>
  <si>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</si>
  <si>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</si>
  <si>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</si>
  <si>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</si>
  <si>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</si>
  <si>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</si>
  <si>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</si>
  <si>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</si>
  <si>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</si>
  <si>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</si>
  <si>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</si>
  <si>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</si>
  <si>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</si>
  <si>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</si>
  <si>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</si>
  <si>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</si>
  <si>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</si>
  <si>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</si>
  <si>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</si>
  <si>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</si>
  <si>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</si>
  <si>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</si>
  <si>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</si>
  <si>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</si>
  <si>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</si>
  <si>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</si>
  <si>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</si>
  <si>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</si>
  <si>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</si>
  <si>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</si>
  <si>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</si>
  <si>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</si>
  <si>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</si>
  <si>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</si>
  <si>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</si>
  <si>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7</t>
  </si>
  <si>
    <t>1488</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</si>
  <si>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</si>
  <si>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</si>
  <si>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</si>
  <si>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</si>
  <si>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</si>
  <si>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</si>
  <si>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</si>
  <si>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</si>
  <si>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</si>
  <si>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</si>
  <si>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</si>
  <si>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</si>
  <si>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</si>
  <si>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</si>
  <si>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</si>
  <si>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</si>
  <si>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</si>
  <si>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</si>
  <si>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</si>
  <si>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</si>
  <si>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</si>
  <si>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</si>
  <si>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</si>
  <si>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</si>
  <si>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</si>
  <si>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</si>
  <si>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</si>
  <si>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</si>
  <si>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</si>
  <si>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</si>
  <si>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</si>
  <si>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</si>
  <si>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</si>
  <si>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</si>
  <si>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</si>
  <si>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</si>
  <si>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</si>
  <si>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</si>
  <si>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</si>
  <si>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</si>
  <si>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</si>
  <si>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</si>
  <si>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Tipo de compromiso</t>
  </si>
  <si>
    <t>Giros reservas julio - etb</t>
  </si>
  <si>
    <t>963</t>
  </si>
  <si>
    <t>1634</t>
  </si>
  <si>
    <t>78092</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</si>
  <si>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</si>
  <si>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</si>
  <si>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</si>
  <si>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</si>
  <si>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</si>
  <si>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</si>
  <si>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</si>
  <si>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</si>
  <si>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</si>
  <si>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</si>
  <si>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</si>
  <si>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</si>
  <si>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</si>
  <si>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</si>
  <si>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</si>
  <si>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</si>
  <si>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</si>
  <si>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</si>
  <si>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</si>
  <si>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</si>
  <si>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</si>
  <si>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</si>
  <si>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</si>
  <si>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</si>
  <si>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</si>
  <si>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</si>
  <si>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</si>
  <si>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</si>
  <si>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</si>
  <si>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</si>
  <si>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Sep</t>
  </si>
  <si>
    <t>Oct</t>
  </si>
  <si>
    <t>Nov</t>
  </si>
  <si>
    <t>Dic</t>
  </si>
  <si>
    <t>Cta x pagar</t>
  </si>
  <si>
    <t>M4</t>
  </si>
  <si>
    <t>miércoles 25/08/2021 10:18 p. m.</t>
  </si>
  <si>
    <t>SI</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</si>
  <si>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</si>
  <si>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</si>
  <si>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</si>
  <si>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</si>
  <si>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</si>
  <si>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</si>
  <si>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</si>
  <si>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</si>
  <si>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</si>
  <si>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</si>
  <si>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</si>
  <si>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</si>
  <si>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</si>
  <si>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</si>
  <si>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</si>
  <si>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</si>
  <si>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</si>
  <si>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</si>
  <si>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</si>
  <si>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</si>
  <si>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</si>
  <si>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</si>
  <si>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</si>
  <si>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</si>
  <si>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</si>
  <si>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</si>
  <si>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</si>
  <si>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</si>
  <si>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</si>
  <si>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</si>
  <si>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</si>
  <si>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</si>
  <si>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</si>
  <si>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</si>
  <si>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</si>
  <si>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</si>
  <si>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</si>
  <si>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</si>
  <si>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</si>
  <si>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</si>
  <si>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</si>
  <si>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</si>
  <si>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</si>
  <si>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</si>
  <si>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</si>
  <si>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</si>
  <si>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</si>
  <si>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</si>
  <si>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</si>
  <si>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</si>
  <si>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</si>
  <si>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</si>
  <si>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</si>
  <si>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</si>
  <si>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</si>
  <si>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</si>
  <si>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</si>
  <si>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</si>
  <si>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</si>
  <si>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</si>
  <si>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</si>
  <si>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</si>
  <si>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</si>
  <si>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</si>
  <si>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</si>
  <si>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</si>
  <si>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</si>
  <si>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</si>
  <si>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</si>
  <si>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</si>
  <si>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</si>
  <si>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</si>
  <si>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</si>
  <si>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</si>
  <si>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</si>
  <si>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</si>
  <si>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</si>
  <si>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</si>
  <si>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</si>
  <si>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</si>
  <si>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</si>
  <si>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</si>
  <si>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</si>
  <si>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</si>
  <si>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</si>
  <si>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</si>
  <si>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</si>
  <si>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</si>
  <si>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</si>
  <si>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</si>
  <si>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</si>
  <si>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</si>
  <si>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</si>
  <si>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</si>
  <si>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</si>
  <si>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</si>
  <si>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</si>
  <si>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</si>
  <si>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</si>
  <si>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</si>
  <si>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</si>
  <si>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</si>
  <si>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</si>
  <si>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</si>
  <si>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</si>
  <si>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</si>
  <si>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</si>
  <si>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</si>
  <si>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</si>
  <si>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</si>
  <si>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</si>
  <si>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</si>
  <si>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</si>
  <si>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</si>
  <si>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</si>
  <si>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</si>
  <si>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</si>
  <si>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</si>
  <si>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</si>
  <si>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</si>
  <si>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</si>
  <si>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</si>
  <si>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</si>
  <si>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</si>
  <si>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</si>
  <si>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</si>
  <si>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</si>
  <si>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</si>
  <si>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</si>
  <si>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</si>
  <si>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</si>
  <si>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</si>
  <si>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</si>
  <si>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</si>
  <si>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</si>
  <si>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</si>
  <si>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</si>
  <si>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</si>
  <si>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</si>
  <si>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</si>
  <si>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</si>
  <si>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</si>
  <si>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</si>
  <si>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</si>
  <si>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</si>
  <si>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</si>
  <si>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</si>
  <si>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</si>
  <si>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</si>
  <si>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</si>
  <si>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</si>
  <si>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</si>
  <si>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</si>
  <si>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</si>
  <si>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</si>
  <si>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</si>
  <si>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</si>
  <si>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</si>
  <si>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</si>
  <si>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</si>
  <si>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</si>
  <si>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</si>
  <si>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</si>
  <si>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</si>
  <si>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</si>
  <si>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</si>
  <si>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</si>
  <si>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</si>
  <si>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</si>
  <si>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</si>
  <si>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</si>
  <si>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</si>
  <si>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</si>
  <si>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</si>
  <si>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</si>
  <si>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</si>
  <si>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</si>
  <si>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</si>
  <si>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</si>
  <si>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</si>
  <si>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</si>
  <si>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</si>
  <si>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</si>
  <si>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</si>
  <si>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</si>
  <si>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</si>
  <si>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</si>
  <si>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</si>
  <si>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</si>
  <si>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</si>
  <si>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</si>
  <si>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</si>
  <si>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</si>
  <si>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</si>
  <si>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</si>
  <si>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</si>
  <si>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</si>
  <si>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</si>
  <si>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</si>
  <si>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</si>
  <si>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</si>
  <si>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</si>
  <si>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</si>
  <si>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</si>
  <si>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</si>
  <si>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</si>
  <si>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</si>
  <si>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</si>
  <si>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</si>
  <si>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</si>
  <si>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</si>
  <si>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</si>
  <si>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</si>
  <si>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</si>
  <si>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</si>
  <si>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</si>
  <si>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</si>
  <si>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</si>
  <si>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</si>
  <si>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</si>
  <si>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</si>
  <si>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</si>
  <si>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</si>
  <si>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</si>
  <si>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</si>
  <si>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</si>
  <si>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</si>
  <si>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</si>
  <si>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</si>
  <si>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</si>
  <si>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</si>
  <si>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</si>
  <si>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</si>
  <si>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</si>
  <si>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</si>
  <si>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</si>
  <si>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Total 30-jun-2022</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</si>
  <si>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</si>
  <si>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</si>
  <si>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</si>
  <si>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</si>
  <si>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</si>
  <si>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</si>
  <si>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</si>
  <si>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</si>
  <si>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</si>
  <si>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</si>
  <si>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</si>
  <si>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</si>
  <si>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</si>
  <si>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</si>
  <si>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</si>
  <si>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</si>
  <si>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</si>
  <si>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</si>
  <si>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</si>
  <si>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</si>
  <si>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</si>
  <si>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</si>
  <si>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</si>
  <si>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</si>
  <si>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</si>
  <si>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</si>
  <si>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</si>
  <si>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</si>
  <si>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</si>
  <si>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</si>
  <si>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</si>
  <si>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</si>
  <si>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</si>
  <si>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</si>
  <si>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</si>
  <si>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</si>
  <si>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</si>
  <si>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</si>
  <si>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</si>
  <si>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</si>
  <si>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</si>
  <si>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</si>
  <si>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</si>
  <si>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</si>
  <si>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</si>
  <si>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</si>
  <si>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</si>
  <si>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</si>
  <si>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</si>
  <si>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</si>
  <si>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</si>
  <si>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</si>
  <si>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</si>
  <si>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</si>
  <si>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</si>
  <si>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</si>
  <si>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</si>
  <si>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</si>
  <si>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</si>
  <si>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</si>
  <si>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</si>
  <si>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</si>
  <si>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</si>
  <si>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</si>
  <si>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</si>
  <si>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</si>
  <si>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</si>
  <si>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</si>
  <si>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</si>
  <si>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</si>
  <si>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</si>
  <si>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</si>
  <si>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</si>
  <si>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</si>
  <si>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</si>
  <si>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</si>
  <si>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</si>
  <si>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</si>
  <si>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</si>
  <si>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</si>
  <si>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</si>
  <si>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</si>
  <si>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</si>
  <si>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</si>
  <si>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</si>
  <si>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</si>
  <si>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</si>
  <si>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</si>
  <si>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</si>
  <si>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</si>
  <si>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</si>
  <si>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</si>
  <si>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</si>
  <si>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</si>
  <si>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</si>
  <si>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</si>
  <si>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</si>
  <si>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</si>
  <si>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</si>
  <si>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</si>
  <si>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</si>
  <si>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</si>
  <si>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</si>
  <si>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</si>
  <si>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</si>
  <si>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</si>
  <si>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</si>
  <si>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</si>
  <si>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</si>
  <si>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</si>
  <si>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</si>
  <si>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</si>
  <si>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</si>
  <si>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</si>
  <si>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</si>
  <si>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</si>
  <si>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</si>
  <si>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</si>
  <si>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</si>
  <si>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</si>
  <si>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</si>
  <si>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</si>
  <si>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</si>
  <si>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</si>
  <si>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</si>
  <si>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</si>
  <si>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</si>
  <si>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</si>
  <si>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</si>
  <si>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</si>
  <si>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</si>
  <si>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</si>
  <si>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</si>
  <si>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</si>
  <si>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</si>
  <si>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</si>
  <si>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</si>
  <si>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</si>
  <si>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</si>
  <si>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</si>
  <si>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</si>
  <si>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</si>
  <si>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</si>
  <si>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</si>
  <si>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</si>
  <si>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</si>
  <si>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</si>
  <si>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</si>
  <si>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</si>
  <si>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</si>
  <si>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</si>
  <si>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</si>
  <si>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</si>
  <si>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</si>
  <si>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</si>
  <si>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</si>
  <si>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</si>
  <si>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</si>
  <si>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</si>
  <si>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</si>
  <si>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</si>
  <si>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</si>
  <si>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</si>
  <si>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</si>
  <si>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</si>
  <si>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</si>
  <si>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</si>
  <si>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</si>
  <si>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</si>
  <si>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</si>
  <si>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</si>
  <si>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</si>
  <si>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</si>
  <si>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</si>
  <si>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</si>
  <si>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</si>
  <si>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</si>
  <si>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</si>
  <si>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</si>
  <si>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</si>
  <si>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</si>
  <si>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</si>
  <si>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</si>
  <si>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</si>
  <si>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</si>
  <si>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</si>
  <si>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</si>
  <si>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</si>
  <si>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</si>
  <si>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</si>
  <si>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</si>
  <si>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</si>
  <si>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</si>
  <si>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</si>
  <si>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</si>
  <si>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</si>
  <si>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</si>
  <si>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</si>
  <si>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</si>
  <si>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</si>
  <si>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</si>
  <si>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</si>
  <si>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</si>
  <si>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</si>
  <si>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</si>
  <si>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</si>
  <si>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</si>
  <si>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</si>
  <si>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</si>
  <si>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</si>
  <si>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</si>
  <si>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</si>
  <si>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</si>
  <si>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</si>
  <si>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</si>
  <si>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</si>
  <si>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</si>
  <si>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</si>
  <si>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</si>
  <si>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</si>
  <si>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</si>
  <si>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</si>
  <si>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</si>
  <si>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</si>
  <si>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</si>
  <si>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</si>
  <si>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</si>
  <si>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</si>
  <si>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</si>
  <si>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</si>
  <si>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</si>
  <si>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</si>
  <si>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</si>
  <si>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a. Informática: Microsoft Word, Excel e Internet</t>
  </si>
  <si>
    <t>a. Informática: Microsoft Word, Excel e Internet: se han formado en total 249 mujeres (24 en febrero, 158 en marzo y 67 en abril)</t>
  </si>
  <si>
    <t>b. Herramientas TIC - Fotografía digital</t>
  </si>
  <si>
    <t>b. Herramientas TIC - Fotografía digital: se han formado 3 mujeres (1 febrero, 2 en marzo)</t>
  </si>
  <si>
    <t>c. Herramientas TIC - Manejo de Adobe PhotoShop</t>
  </si>
  <si>
    <t>c. Herramientas TIC - Manejo de Adobe PhotoShop:  se han formado 4 mujeres (2 febrero, 2 en marzo)</t>
  </si>
  <si>
    <t>d. Habilidades Socioemocionales Moodle</t>
  </si>
  <si>
    <t xml:space="preserve">d. Habilidades Socioemocionales Moodle: se han formado 49 mujeres (24 febrero, 25 en marzo) </t>
  </si>
  <si>
    <t>e. Educación Financiera Moodle</t>
  </si>
  <si>
    <t>e. Educación Financiera Moodle: se han formado 127 mujeres (83 febrero, 41 en marzo, 3 abril)</t>
  </si>
  <si>
    <t>f. Habilidades Socioemocionales - CID</t>
  </si>
  <si>
    <t>f.  Habilidades Socioemocionales - CID: se han formado 955 mujeres (237 febrero, 341 en marzo, 377 abril)</t>
  </si>
  <si>
    <t>g. Habilidades digitales</t>
  </si>
  <si>
    <t>g. Habilidades digitales: se han formado 639 mujeres (148 febrero, 340 en marzo, 151 abril)</t>
  </si>
  <si>
    <t>h. Introducción a los indicadores de género</t>
  </si>
  <si>
    <t>h. Introducción a los indicadores de género: se han formado 12 mujeres (4 febrero, 2 en marzo, 6 abril)</t>
  </si>
  <si>
    <t>i. Construcción y aplicación de indicadores de género en ideas de proyecto</t>
  </si>
  <si>
    <t>i. Construcción y aplicación de indicadores de género en ideas de proyecto: se han formado 3 mujeres (3 febrero)</t>
  </si>
  <si>
    <t>j. Derechos de las mujeres y TIC</t>
  </si>
  <si>
    <t>j. Derechos de las mujeres y TIC: se han formado 40 mujeres (4 febrero, 21 en marzo, 15 abril)</t>
  </si>
  <si>
    <t>k. Prevencion de violencias digitales</t>
  </si>
  <si>
    <t>k. Prevencion de violencias digitales: se han formado 74 mujeres (19 en marzo, 55 abril)</t>
  </si>
  <si>
    <t>l. Claves para ingresar al mundo laboral</t>
  </si>
  <si>
    <t>l. Claves para ingresar al mundo laboral: se han formado 25 mujeres (25 abril)</t>
  </si>
  <si>
    <t>m. Constructoras Tic para la Paz</t>
  </si>
  <si>
    <t>m. Constructoras Tic para la Paz: se han formado 4 mujeres (4 abril)</t>
  </si>
  <si>
    <t>n. Manejo básico de herramientas Microsoft Office 2016</t>
  </si>
  <si>
    <t>n. Manejo básico de herramientas Microsoft Office 2016: excel: se han formado 30 mujeres (30 abril)</t>
  </si>
  <si>
    <t>o. Manejo intermedio de herramientas Microsoft office excel 2016</t>
  </si>
  <si>
    <t>o. Manejo intermedio de herramientas Microsoft office excel 2016: se han formado 4 mujeres (7 abril)</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</si>
  <si>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</si>
  <si>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</si>
  <si>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</si>
  <si>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</si>
  <si>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</si>
  <si>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</si>
  <si>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</si>
  <si>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</si>
  <si>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</si>
  <si>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</si>
  <si>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</si>
  <si>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</si>
  <si>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</si>
  <si>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</si>
  <si>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</si>
  <si>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</si>
  <si>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</si>
  <si>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</si>
  <si>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rPr>
        <b/>
        <sz val="11"/>
        <color rgb="FF000000"/>
        <rFont val="Times New Roman"/>
        <family val="1"/>
      </rPr>
      <t>Septiembre ($15.540.416).</t>
    </r>
    <r>
      <rPr>
        <sz val="11"/>
        <color rgb="FF000000"/>
        <rFont val="Times New Roman"/>
        <family val="1"/>
      </rPr>
      <t xml:space="preserve">  Del contrato 671-2021 suscrito con la EMPRESA DE TELECOMUNICACIONES DE BOGOTÁ S.A. E.S.P. - ETB S.A. ESP para comunicaciones convergentes se giraron $15.550.416 de los cuales van con cargo a la meta 1 el 94% $14.617.391,04 y un saldo del 6% con cargo a la meta 3 por $933,024,96</t>
    </r>
    <r>
      <rPr>
        <b/>
        <sz val="11"/>
        <color rgb="FF000000"/>
        <rFont val="Times New Roman"/>
        <family val="1"/>
      </rPr>
      <t xml:space="preserve">
Agosto ($26.958.669 giros). </t>
    </r>
    <r>
      <rPr>
        <sz val="11"/>
        <color rgb="FF000000"/>
        <rFont val="Times New Roman"/>
        <family val="1"/>
      </rPr>
      <t xml:space="preserve">Del contrato 671-2021 suscrito con la EMPRESA DE TELECOMUNICACIONES DE BOGOTÁ S.A. E.S.P. - ETB S.A. ESP para comunicaciones convergentes se giraron $26.958.669 de los cuales van con cargo a la meta 1 el 94% $25.341.148,86 y un saldo del 6% con cargo a la meta 3 por $1.617.520,14.
</t>
    </r>
    <r>
      <rPr>
        <b/>
        <sz val="11"/>
        <color rgb="FF000000"/>
        <rFont val="Times New Roman"/>
        <family val="1"/>
      </rPr>
      <t xml:space="preserve">Julio ($35.681.367 giros). </t>
    </r>
    <r>
      <rPr>
        <sz val="11"/>
        <color rgb="FF000000"/>
        <rFont val="Times New Roman"/>
        <family val="1"/>
      </rPr>
      <t xml:space="preserve">Del contrato 671-2021 suscrito con la EMPRESA DE TELECOMUNICACIONES DE BOGOTÁ S.A. E.S.P. - ETB S.A. ESP para comunicaciones convergentes se giraron $35.681.367 de los cuales van con cargo a la meta 1 el 94% $33.540.484,98 y un saldo del 6% con cargo a la meta 3 por $2.140.882,02.
</t>
    </r>
  </si>
  <si>
    <r>
      <rPr>
        <b/>
        <sz val="11"/>
        <color rgb="FF000000"/>
        <rFont val="Times New Roman"/>
        <family val="1"/>
      </rPr>
      <t>Septiembre ($15.540.416).</t>
    </r>
    <r>
      <rPr>
        <sz val="11"/>
        <color rgb="FF000000"/>
        <rFont val="Times New Roman"/>
        <family val="1"/>
      </rPr>
      <t xml:space="preserve">  Del contrato 671-2021 suscrito con la EMPRESA DE TELECOMUNICACIONES DE BOGOTÁ S.A. E.S.P. - ETB S.A. ESP para comunicaciones convergentes se giraron $15.550.416 de los cuales van con cargo a la meta 1 el 94% $14.617.391,04 y un saldo del 6% con cargo a la meta 3 por $933,024,96</t>
    </r>
    <r>
      <rPr>
        <b/>
        <sz val="11"/>
        <color rgb="FF000000"/>
        <rFont val="Times New Roman"/>
        <family val="1"/>
      </rPr>
      <t xml:space="preserve">
Agosto ($26.958.669 giros). </t>
    </r>
    <r>
      <rPr>
        <sz val="11"/>
        <color rgb="FF000000"/>
        <rFont val="Times New Roman"/>
        <family val="1"/>
      </rPr>
      <t xml:space="preserve">Del contrato 671-2021 suscrito con la EMPRESA DE TELECOMUNICACIONES DE BOGOTÁ S.A. E.S.P. - ETB S.A. ESP para comunicaciones convergentes se giraron $26.958.669 de los cuales van con cargo a la meta 1 el 94% $25.341.148,86 y un saldo del 6% con cargo a la meta 3 por $1.617.520,14.
</t>
    </r>
    <r>
      <rPr>
        <b/>
        <sz val="11"/>
        <color rgb="FF000000"/>
        <rFont val="Times New Roman"/>
        <family val="1"/>
      </rPr>
      <t xml:space="preserve">Julio ($35.681.367 giros). </t>
    </r>
    <r>
      <rPr>
        <sz val="11"/>
        <color rgb="FF000000"/>
        <rFont val="Times New Roman"/>
        <family val="1"/>
      </rPr>
      <t>Del contrato 671-2021 suscrito con la EMPRESA DE TELECOMUNICACIONES DE BOGOTÁ S.A. E.S.P. - ETB S.A. ESP para comunicaciones convergentes se giraron $35.681.367 de los cuales van con cargo a la meta 1 el 94% $33.540.484,98 y un saldo del 6% con cargo a la meta 3 por $2.140.882,02.</t>
    </r>
  </si>
  <si>
    <t>Acorde con la programación para el mes de septiembre se formaron un total de 728 mujeres, para un avance del 86%  (6,039 mujeres) en la meta 2022, en los siguientes procesos de formación:
a. Informática: Microsoft Word, Excel e Internet: 699 (24  febrero, 158 marzo, 67 abril, 125 mayo, 63 junio, 74 julio, 122 agosto, 66 septiembre)
b. Herramientas TIC - Fotografía digital: 3 (1 febrero, 2  marzo)
c. Herramientas TIC - Manejo de Adobe Photoshop: 4 (2 febrero, 2  marzo)
d. Habilidades Socioemocionales Moodle: 49 (24 febrero, 25  marzo)
e. Educación Financiera Moodle: 234 (83 febrero, 41 marzo, 3 abril, 2  mayo, 105 julio)
f.  Habilidades Socioemocionales - CID: 2,350 (237 febrero, 341  marzo, 377 abril, 364 mayo, 248 junio, 204 julio, 295 agosto, 284 septiembre )
g. Habilidades digitales: 1928 (148 febrero, 340  marzo, 151 abril, 340  mayo, 242 junio, 227 julio, 240 agosto, 240 septiembre)
h. Introducción a los indicadores de género: 20 (4 febrero, 2  marzo, 6 abril, 3 mayo, 5 agosto)
i. Construcción y aplicación de indicadores de género en ideas de proyecto: 10 (3 febrero 7 junio)
j. Derechos de las mujeres y TIC: 233 (4 febrero, 21  marzo, 15 abril, 28  mayo, 73 junio, 30 julio, 35 agosto, 27 septiembre)
k. Prevención de violencias digitales: 216 (19  marzo,55 abril, 22 mayo,38 junio, 38 julio, 7 agosto, 37 septiembre)
l. Claves para ingresar al mundo laboral: 131 (25 abril, 14  mayo, 14 junio, julio 30, 11 agosto, 37 septiembre)
m. Constructoras Tic para la Paz: 5 (4 abril, 1 septiembre)
n. Manejo básico de herramientas Microsoft Office 2016: Excel: 77 (30 abril, 24 en mayo. 4 junio, 9 julio, 10 septiembre)
o. Manejo intermedio de herramientas Microsoft office Excel 2016: 33 (7 abril, 12 en junio, 8 julio, 6 septiembre).
p. Emprendimiento Digital: 14 (julio, 1 agosto)
q. Inglés Básico Nivel 1: 30 (13 agosto, 17 septiembre)
r. Diseñar páginas web HTML y Javascript: 3 (3 septiembre)
Las facilitadoras realizan  seguimiento y recolección de aprendizajes mediante instrumentos previamente diseñados, que favorecen la identificación de beneficios para las mujeres que participan del proceso.</t>
  </si>
  <si>
    <t>Se han presentado dificultades en las adecuaciones de los Centros de Inclusión Digital, esto debido a retrasos en la entrega de materiales de feterriteria. No obstante, para solventar la situación, se crearon mesas de trabajo con el área encargada de la entidad, para asegurar el cumplimiento del cronograma pactado y dar cumplimiento a lo programado.
Estas mesas de trabajo, se iniciarón en el mes de abril y se les ha dado sostenibilidad en los meses siguientes, permitiendo durante el tercer trimestre del 2022, dar cumplimiento a las adecuaciones programadas y responder con lo previsto en los cambios de sedes. En el mes de septiembre se finaliza la adecuación y se da apertura a los CID Bosa, Puente Aranda y Suba ubicados en las nuevas CIOM.</t>
  </si>
  <si>
    <t>Los procesos de certificación del SENA permiten que las mujeres habitantes de Bogotá disminuyan la brecha tecnológica y obtengan herramientas útiles para el mercado laboral. 
En los procesos de formación de los CID, las mujeres aplicaron lo aprendido en los cursos desarrollados en su vida cotidiana, reconociendo sus emociones, permitiendo un manejo mesurado de los inconvenientes diarios y en distintas situaciones de la vida, reconocen las diferencias entre las percepciones propias y las de los demás con respeto y aprendiendo de la diferencia. También aprendieros herramientas básicas para el manejo del celular, como cambiar el estado del wtasapp, enviar fotos y mensages o usar apliaciones como didi y nequi, hacer video llamadas y usar códigos QR; al mismo tiempo que aprenden a identintificar los riesgos asociados al uso de herramientas tecnológicas y como prevnir esos riesgos.</t>
  </si>
  <si>
    <r>
      <t>Acorde con la actividad programada, se realizó el diseñó y /o actualización de cuatro (4) contenidos  pedagógicos de formación, específicamente:</t>
    </r>
    <r>
      <rPr>
        <b/>
        <sz val="11"/>
        <color rgb="FF000000"/>
        <rFont val="Times New Roman"/>
        <family val="1"/>
      </rPr>
      <t xml:space="preserve">
Modalidad virtual:
</t>
    </r>
    <r>
      <rPr>
        <sz val="11"/>
        <color rgb="FF000000"/>
        <rFont val="Times New Roman"/>
        <family val="1"/>
      </rPr>
      <t>1. Se diseño el curso virtual " Claves para ingresar al mundo laborar", fue cargado en la plataforma Moodle y se realiza el diseño de línea grafica, compuesto de 6 módulos cada uno en HTML, CSS y JavaScript, con sus actividades pedagógicas.En el mes de abril se inició su implementación. En los meses siguiente, se han realizado ajustes en lógica de mejora continua.</t>
    </r>
    <r>
      <rPr>
        <b/>
        <sz val="11"/>
        <color rgb="FF000000"/>
        <rFont val="Times New Roman"/>
        <family val="1"/>
      </rPr>
      <t xml:space="preserve">
Plataforma Moodle:
</t>
    </r>
    <r>
      <rPr>
        <sz val="11"/>
        <color rgb="FF000000"/>
        <rFont val="Times New Roman"/>
        <family val="1"/>
      </rPr>
      <t>2. Se realiza la implementación de la Escuela de Educación Emocional, diseñando y virtualizando los contenidos de acuerdo con la estrategia metodológica de la DGC.
3. Se realiza la virtualización e implementación en los contenidos del Curso Virtual Derecho a la participación y representación con equidad de acuerdo con la estrategia metodológica de la DGC. En el mes de julio se realizan ajustes a contenidos y administración del curso. En el mes de agosto se realiza la creación e inscripción de  de usuarios para la administración del curso.
4. Se realiza el acompañamiento de la implementación de los cursos virtuales "Cuidamos a las que nos cuidan" y "A cuidar se aprende" de la Dirección de Cuidado. En el mes de septiembre se implementaron los talleres virtuales del módulo 6 de los dos cursos.
Adicionalmente se continua con la virtualización dentro de los módulos en animación, producción e implementación de contenidos audiovisuales de ajustes en los contenidos del Curso Habilidades Socioemocionales en su segunda version.</t>
    </r>
    <r>
      <rPr>
        <b/>
        <sz val="11"/>
        <color rgb="FF000000"/>
        <rFont val="Times New Roman"/>
        <family val="1"/>
      </rPr>
      <t xml:space="preserve">
Modalidad presencial:
</t>
    </r>
    <r>
      <rPr>
        <sz val="11"/>
        <color rgb="FF000000"/>
        <rFont val="Times New Roman"/>
        <family val="1"/>
      </rPr>
      <t xml:space="preserve">5. En el mes de mayo se construyeron las guías para la estructura del curso "Aprendiendo Office" y para el mes de junio se construyeron los contenidos de los módulos 1 y 2 del curso, para el mes de julio los módulos 3 y 4, en el mes de agosto los módulos 5 y 6 y en el mes de septiembre el módulo 7, asimismo,  las líneas de entrada y de salida.
</t>
    </r>
    <r>
      <rPr>
        <b/>
        <sz val="11"/>
        <color rgb="FF000000"/>
        <rFont val="Times New Roman"/>
        <family val="1"/>
      </rPr>
      <t xml:space="preserve">
Anexos:
</t>
    </r>
    <r>
      <rPr>
        <sz val="11"/>
        <color rgb="FF000000"/>
        <rFont val="Times New Roman"/>
        <family val="1"/>
      </rPr>
      <t>1. Soportes cursos Virtuales
2. Soportes cursos  Moodle
3. Soportes cursos presenciales</t>
    </r>
  </si>
  <si>
    <r>
      <t xml:space="preserve">Como parte de la planeación estratégica y definición de productos en el marco de lo programado para la vigencia 2022, se planteo una estrategia de convocatoria de los procesos de formación de la Dirección de Gestión del Conocimiento, esta inicio en el mes de marzo y se le ha dado sostenibilidad y retroalimentación a lo largo de la vigencia. Para el mes de septiembre, especificamente:
a. Publicaciones periódicas en las redes sociales oficiales de la entidad de los cursos Habilidades Digitales, Curso Habilidades Socioemocionales, Manejo básico de herramientas office: word.
b. Durante tres días correspondientes al 9, 20, y 26 de septiembre, se sube la información de los ocho cursos brindados por la Dirección de Gestión del Conocimiento estipulado por la Alcaldía de Bogotá para su publicación en la página web “Portal Bogotá” con el fin de convocar población exógena al target de la Secretaría Distrital de la Mujer a los procesos de formación.
c. Balance de los aciertos, desaciertos y acciones de mejora con miras al 2023.
</t>
    </r>
    <r>
      <rPr>
        <b/>
        <sz val="11"/>
        <color rgb="FF000000"/>
        <rFont val="Times New Roman"/>
        <family val="1"/>
      </rPr>
      <t xml:space="preserve">
Anexos:
</t>
    </r>
    <r>
      <rPr>
        <sz val="11"/>
        <color rgb="FF000000"/>
        <rFont val="Times New Roman"/>
        <family val="1"/>
      </rPr>
      <t>1. Oferta formativa 2022 con link de inscripción
2. Captura de Pantalla de publicaciones en redes sociales
3. Listas de Excel enviadas a "Portal Bogotá"
4. Documento de estrategia de convocatoria
5. Listado de cursos SENA
6. Soportes articulaciones MinSalud-USPEC</t>
    </r>
  </si>
  <si>
    <r>
      <t>Los procesos de formación han alcanzado un total de 6,039 mujeres en sus derechos a través  del desarrollo de capacidades en el uso TIC, para un avance del 86% en la meta. Se realiza un reporte por cada uno de los procesos adelantados en el marco de la meta de formación a mujeres en temas TIC, estos son:</t>
    </r>
    <r>
      <rPr>
        <b/>
        <sz val="11"/>
        <color rgb="FF000000"/>
        <rFont val="Times New Roman"/>
        <family val="1"/>
      </rPr>
      <t xml:space="preserve">
Proceso Moodle:
</t>
    </r>
    <r>
      <rPr>
        <sz val="11"/>
        <color rgb="FF000000"/>
        <rFont val="Times New Roman"/>
        <family val="1"/>
      </rPr>
      <t>a. Habilidades Socioemocionales Moodle: 172 (24 febrero, 25 marzo, 43 mayo, 35 junio, 11 agosto, 17 septiembre)
b. Educación Financiera Moodle: 355 (83 febrero, 41 marzo, 3 abril, 72 mayo, 67 junio, 29 agosto, 60 septiembre)
c. Claves para ingresar al mudo laboral: 539 (25 abril y 354 mayo, 76 junio, 172 agosto, 84 septiembre)</t>
    </r>
    <r>
      <rPr>
        <b/>
        <sz val="11"/>
        <color rgb="FF000000"/>
        <rFont val="Times New Roman"/>
        <family val="1"/>
      </rPr>
      <t xml:space="preserve">
</t>
    </r>
    <r>
      <rPr>
        <b/>
        <sz val="11"/>
        <rFont val="Times New Roman"/>
        <family val="1"/>
      </rPr>
      <t xml:space="preserve">CID Presencial y Virtual:
</t>
    </r>
    <r>
      <rPr>
        <sz val="11"/>
        <rFont val="Times New Roman"/>
        <family val="1"/>
      </rPr>
      <t>a. Habilidades Socioemocionales - CID: 2,350  (237 febrero, 341  marzo, 377 abril, 364 mayo, 248 junio, 204 julio, 295 agosto, 284 septiembre)
b. Habilidades digitales: 1928 (148 febrero, 340  marzo, 151 abril, 340  mayo, 242 junio, 227 julio, 240 agosto, 240 septiembre)
c. Introducción a los indicadores de género: 20  (4 febrero, 2 marzo, 6 abril, 3 mayo, 5 agosto)
d. Construcción y aplicación de indicadores de género: 10 (3 febrero y 7 junio)
e. Derechos de las mujeres y TIC:  233 (4 febrero, 21  marzo, 15 abril, 28  mayo, 73 junio, 30 julio, 35 agosto, 27 septiembre)
f.  Constructoras Tic para la Paz: 5  (4 abril, 1 septiembre)
g. Prevención de violencias digitales: 216 (19  marzo,55 abril, 22 mayo,38 junio, 38 julio, 7 agosto, 37 septiembre)</t>
    </r>
    <r>
      <rPr>
        <b/>
        <sz val="11"/>
        <rFont val="Times New Roman"/>
        <family val="1"/>
      </rPr>
      <t xml:space="preserve">
</t>
    </r>
    <r>
      <rPr>
        <b/>
        <sz val="11"/>
        <color rgb="FF000000"/>
        <rFont val="Times New Roman"/>
        <family val="1"/>
      </rPr>
      <t xml:space="preserve">
Otros procesos de formación SENA:
</t>
    </r>
    <r>
      <rPr>
        <sz val="11"/>
        <color rgb="FF000000"/>
        <rFont val="Times New Roman"/>
        <family val="1"/>
      </rPr>
      <t>a. Informática: 969 (24 febrero, 158 marzo, 67 abril, 154 mayo, 160 junio, 126 julio, 158 agosto, 122 septiembre)
b. Fotografía digital: 3 (1 febrero, 2 marzo)
c. Manejo de Adobe Photoshop:  4 (2 febrero, 2 marzo)
d. Microsoft Office 2016: Excel: 339 (7 abril,109 mayo, 98 junio, 44 julio, 22 agosto, 59 septiembre)
e. Diseño de páginas web: 16 (5 julio, 11 septiembre)
f. Emprendimiento digital: 39 mujeres (15  julio, 24 agosto)
g. Inglés N1: 51 (33 Agosto, 18 septiembre)
h. Intermedio hojas de cálculo: 42 (42 septiembre)</t>
    </r>
    <r>
      <rPr>
        <b/>
        <sz val="11"/>
        <color rgb="FF000000"/>
        <rFont val="Times New Roman"/>
        <family val="1"/>
      </rPr>
      <t xml:space="preserve">
Anexos:
</t>
    </r>
    <r>
      <rPr>
        <sz val="11"/>
        <color rgb="FF000000"/>
        <rFont val="Times New Roman"/>
        <family val="1"/>
      </rPr>
      <t>a. Base de datos CID
b. Base de datos SENA
c. Base de datos Moodle</t>
    </r>
  </si>
  <si>
    <r>
      <t>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t>
    </r>
    <r>
      <rPr>
        <b/>
        <sz val="11"/>
        <color rgb="FF000000"/>
        <rFont val="Times New Roman"/>
        <family val="1"/>
      </rPr>
      <t xml:space="preserve">
1ra jornada de reconocimiento:
</t>
    </r>
    <r>
      <rPr>
        <sz val="11"/>
        <color rgb="FF000000"/>
        <rFont val="Times New Roman"/>
        <family val="1"/>
      </rPr>
      <t>En el mes de marzo se realizó la planeación de la jornada de reconocimiento a las mujeres que participaron en los procesos de formación, y se realizó el día 28 abril en auditorio de la Biblioteca Virgilio Barco, de 8am a 11 am., con la entrega de 54 constancia de participación.</t>
    </r>
    <r>
      <rPr>
        <b/>
        <sz val="11"/>
        <color rgb="FF000000"/>
        <rFont val="Times New Roman"/>
        <family val="1"/>
      </rPr>
      <t xml:space="preserve">
2da jornada de reconocimiento:
</t>
    </r>
    <r>
      <rPr>
        <sz val="11"/>
        <color rgb="FF000000"/>
        <rFont val="Times New Roman"/>
        <family val="1"/>
      </rPr>
      <t xml:space="preserve">En el mes de junio, y de acuerdo con lo programado, se realizó la segunda jornada de reconocimiento a las mujeres que participaron en los procesos e formación de los CIDel 29 de junio en la Biblioteca Virgilio Barco, de 8 am a 11 am con la entrega de 86 constancias de participación.
</t>
    </r>
    <r>
      <rPr>
        <b/>
        <sz val="11"/>
        <color rgb="FF000000"/>
        <rFont val="Times New Roman"/>
        <family val="1"/>
      </rPr>
      <t xml:space="preserve">
3ra jornada de reconocimiento:
</t>
    </r>
    <r>
      <rPr>
        <sz val="11"/>
        <color rgb="FF000000"/>
        <rFont val="Times New Roman"/>
        <family val="1"/>
      </rPr>
      <t xml:space="preserve">En el mes de agosto, se realizó la tercera jornada de reconocimiento a las mujeres que participaron en los procesos e formación de los CID el 25 de agosto en la Biblioteca Virgilio Barco, de 8 am a 11 am con la entrega de 73 constancias de participación.
En el mes de septiembre no se programaron acción para esta actividad.
</t>
    </r>
    <r>
      <rPr>
        <b/>
        <sz val="11"/>
        <color rgb="FF000000"/>
        <rFont val="Times New Roman"/>
        <family val="1"/>
      </rPr>
      <t xml:space="preserve">
Anexos:
</t>
    </r>
    <r>
      <rPr>
        <sz val="11"/>
        <color rgb="FF000000"/>
        <rFont val="Times New Roman"/>
        <family val="1"/>
      </rPr>
      <t>1. Formato de Planeación de la jornada.
2. Soportes 1ra Jornada de reconocimiento
3. Soportes 2da jornada de reconocimiento
4. Soportes 3ra jornada de reconocimiento</t>
    </r>
  </si>
  <si>
    <r>
      <t>Se coordinó con el área de almacén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En abril se avanzó en la adecuación de los siguientes CID:  Antonio Nariño, San Cristóbal, Chapinero y Teusaquillo, los cuales quedaron en funcionamiento, con unos pocos requerimientos tecnológicos pendientes. Por su parte los CID de Puente Aranda, Tunjuelito, Rafael Uribe Uribe y Fontibón quedan con Render listo para adecuaciones en el mes de Mayo y Junio.
Para el mes de mayo se adecuó el CID Puente Aranda. Los CID de Tunjuelito, Rafael Uribe Uribe, Fontibón, Ciudad Bolívar, Candelaria y Engativá quedan con Render listo para adecuaciones en el mes de Junio y Julio.
En el mes de junio se desarrolla la adecuación completa del CID Engativá.
En el mes de julio se finaliza la adecuación completa del CID  Tunjuelito. Los CID de Kennedy y Barrios Unidos tienen nuevas casas.
En el mes de agosto se finalizó la adecuación del CID  Kennedy, se realizó el trasteo del CID Puente Aranda. CID Suba se diseñó Render y está listo para pintar.
En el mes de septiembre se finalizó la adecuación y se da apertura a los CID Bosa, Puente Aranda y Suba ubicados en las nuevas CIOM</t>
    </r>
    <r>
      <rPr>
        <b/>
        <sz val="11"/>
        <color rgb="FF000000"/>
        <rFont val="Times New Roman"/>
        <family val="1"/>
      </rPr>
      <t xml:space="preserve">
Anexos:
</t>
    </r>
    <r>
      <rPr>
        <sz val="11"/>
        <color rgb="FF000000"/>
        <rFont val="Times New Roman"/>
        <family val="1"/>
      </rPr>
      <t>a. Fotos adecuaciones CID Nuevos
b. Cronograma y seguimiento de adecuaciones.</t>
    </r>
  </si>
  <si>
    <r>
      <t xml:space="preserve">De acuerdo a lo programado, en el mes de julio se inició con el proceso de actualización de la memoria de formación: se revisó el material recopilado durante los meses anteriores, y se definieron las líenas de actualización de la memoria como hacer un trailer con un coleage d elas imágenes de los videos tesmonios que se tomarán en cuenta, e incluir audios de las facilitadoras con las historias de las mujeres que han participado en alguno de los procesos a modo de potcast.
</t>
    </r>
    <r>
      <rPr>
        <sz val="11"/>
        <rFont val="Times New Roman"/>
        <family val="1"/>
      </rPr>
      <t xml:space="preserve">En el mes de agosto, se inició el desarrollo para la actualización del micrositito de la memoria de formación, con el fin de incluir los nuevos contenidos planteados para la memoria de formación 2022. en el mes de septiembre se inicia el proceso de actualización del espacio Memorias de formación, creando la línea gráfica para el canal de podcast y los videos a editar recopilados durante el proceso de aprendizajes cualitativos de las mujeres en el transcurso del año. De esta manera se realiza la verificación del funcionamiento del actual micrositio realizando la instalación del certificado de seguridad SSL para garantizar un acceso de las usuarias.
</t>
    </r>
    <r>
      <rPr>
        <b/>
        <sz val="11"/>
        <color rgb="FF000000"/>
        <rFont val="Times New Roman"/>
        <family val="1"/>
      </rPr>
      <t xml:space="preserve">
Anexos:
</t>
    </r>
    <r>
      <rPr>
        <sz val="11"/>
        <color rgb="FF000000"/>
        <rFont val="Times New Roman"/>
        <family val="1"/>
      </rPr>
      <t>a. Fotos y videos memoria de formación
b. Podcast
c. Imágenes actulización de micrositio</t>
    </r>
  </si>
  <si>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En julio, se avanza con la elaboración de los estudios previos y envío a revisión por parte de Contratos y OAP, se realiza articulación con la Universidad Nacional y se avanza con ajustes presupuestales al interior del proyecto.
En agosto, se dio continuidad a la etapa precontractual y se realizaron todos los ajustes y sugeridos por la Dirección de Contratación, el proceso fue aprobado en comité de contratación y se radicó versión final para aprobación y elaboración de minuta. Durante el mes de septiembre, inicia la ejecución del contrato y se realizan las primeras reuniónes con la Universidad para la revisión del cronograma, contenidos y metodología inicial de concertación.</t>
  </si>
  <si>
    <t xml:space="preserve">Durante el mes de agosto, se dio continuidad a la etapa precontractual y se realizaron todos los ajustes y trámites realizados por la dirección de contratación, sin embargo se presenta retraso en la actividad ya que el contrato no inició ejecución para el mes programado, teniendo en cuenta el rezago mencionado, se corre la programación inicial y durante el mes de septiembre inicia  la ejecución del contrato, inicia la articulación con la UNAL para la revisión de los productos pactados. </t>
  </si>
  <si>
    <t xml:space="preserve">Durante el mes de agosto, se dio continuidad a la etapa precontractual y se realizaron todos los ajustes y trámites realizados por la dirección de contratación, sin embargo se presenta retraso en la ejecución de la actividad ya que el contrato no inició ejecución para el mes programado y por lo tanto para la fecha de entrega de este reporte se presenta un retraso en la actividad. Durante el mes de septiembre inicial la ejecución del contrato y se articula constantemente con la UNAL para avanzar en el cumplimiento de las actividades relacionadas en el cronograma. </t>
  </si>
  <si>
    <t>septiembre</t>
  </si>
  <si>
    <t>Valor girado a 30-sep</t>
  </si>
  <si>
    <t>Giros a 30-sep</t>
  </si>
  <si>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 Para el mes de mayo no se encuentra programada la actividad. Aunque para el mes de junio no se encuentra la actividad programada, se recibe la primera propuesta por parte de la Universidad Nacional para el desarrollo de los contenidos durante la vigencia 2022. En julio, se avanza con la elaboración de los estudios previos y envío a revisión por parte de Contratos y OAP, se realiza articulación con la Universidad Nacional y se avanza con ajustes presupuestales al interior del proyecto.
Durante el mes de agosto, se dio continuidad a la etapa precontractual y se realizaron todos los ajustes y sugeridos por la Dirección de Contratación, el proceso fue aprobado en comité de contratación y se radicó versión final para aprobación y elaboración de minuta. Durante el mes de septiembre, inicia la ejecución del contrato y se realizan las primeras reuniónes con la Universidad para la revisión del cronograma, contenidos y metodología inicial de concertación.</t>
  </si>
  <si>
    <t xml:space="preserve">Se elaboró del informe de seguimiento de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de mayo al 30 de junio de 2022. En el informe de supervisión  de junio se da cuenta del seguimiento de las actividades programadas con corte 30 de junio, el cierre de la convocatoria, la identificación y levantamiento de línea base de las mujeres beneficiarias de la intervención, la entrega de los productos para el segundo desembolso y la identificación de retrasos con recomendaciones para la supervisión. A la fecha se tienen identificadas 272 mujeres beneficiarias de la intervención, se adelanta el diagnóstico de necesidades de fortalecimiento de capacidadedes para la generación de ingresos de sus organizaciones, se formularon los 30 planes de fortalecimiento que representan la carta de orientación de la intervención y se realiza un levantamiento de 272 líneas base individuales. Para el mes de julio se realiza el informe de supervisión en donde se da cuenta de la ejecución del 41 % de las actividades y se avanza en la elaboración de la estrategia y manual de acercamiento a mercados, plan de acercamiento a mercados, cronograma de acercamiento a mercados, instrumetno de medición de habilidades socioemocionales; borrador documento línea base de 289 mujeres beneficiarias, borrador documento de diagnóstico. Asimismo se da cuenta del comité de seguimiento del 11 de julio de 2022. Actividad no programada para el mes de julio y agosto. Para el mes de septiembre, se reporta el informe de avances trimestrales (julio-septiembre) que da cuenta de las horas de mentoría y el proceso de fortalecimeinto de las mujeres así como del consolidado financiero trimestral.
. </t>
  </si>
  <si>
    <r>
      <t xml:space="preserve">
Durante la vigencia 2022, se han respondido treita y ocho (38) requerimientos, en los cuales se informa sobre los procesos de formación, así como la gratuidad de los mismos. Estos se encuentran distribuidos de la siguiente manera:
a. Requerimientos en donde se informa la gratuidad de la oferta formativa periodo enero-marzo = 5
a. Requerimientos en donde se informa la gratuidad de la oferta formativa periodo abril- junio =  22
a. Requerimientos en donde se informa la gratuidad de la oferta formativa periodo julio-septiembre = 11
Asimismo, se realizaron las siguientes publicaciones de las piezas comunicativas en redes sociales, informando a la ciudadanía sobre la gratuidad de la oferta formativa:</t>
    </r>
    <r>
      <rPr>
        <b/>
        <sz val="9"/>
        <rFont val="Times New Roman"/>
        <family val="1"/>
      </rPr>
      <t xml:space="preserve">
Trimestre enero-marzo
</t>
    </r>
    <r>
      <rPr>
        <sz val="9"/>
        <rFont val="Times New Roman"/>
        <family val="1"/>
      </rPr>
      <t xml:space="preserve">1. Twitter: 16
2. Instagram: 5 publicaciones
3. Facebook: 18
</t>
    </r>
    <r>
      <rPr>
        <b/>
        <sz val="9"/>
        <rFont val="Times New Roman"/>
        <family val="1"/>
      </rPr>
      <t xml:space="preserve">Trimestre abril-junio
</t>
    </r>
    <r>
      <rPr>
        <sz val="9"/>
        <rFont val="Times New Roman"/>
        <family val="1"/>
      </rPr>
      <t xml:space="preserve">1. Twitter: 71 publicaciones
2. Instagram: 4 publicaciones
3. Facebook: 72 publicaciones
</t>
    </r>
    <r>
      <rPr>
        <b/>
        <sz val="9"/>
        <rFont val="Times New Roman"/>
        <family val="1"/>
      </rPr>
      <t xml:space="preserve">Trimestre julio-septiembre
</t>
    </r>
    <r>
      <rPr>
        <sz val="9"/>
        <rFont val="Times New Roman"/>
        <family val="1"/>
      </rPr>
      <t>1.Twitter: 21 publicaciones
2. Instagram: 5 publicaciones
3. Facebook: 21 publicacione
Por otra parte, las facilitadoras de los CID divulgaron las piezas comunicativas a través de medios como whats app y correo electrónicos</t>
    </r>
  </si>
  <si>
    <t>Durante los meses de julio y agosto se adelantó la etapa precontractual del proceso, los documentos aprobados por el comité de contratación se radicaron en la dirección de contratación para etapa contractual. En el mes de septiembre se formalizan los documentos contractuales e inicia la ejecución del contrato interadministrativo 1020 de 2022 UNAL - SDMujer</t>
  </si>
  <si>
    <r>
      <t xml:space="preserve">Se realiza informe trimestral con las alianzas concretas durante el tercer trimestre de la vigencia. 
</t>
    </r>
    <r>
      <rPr>
        <b/>
        <sz val="9"/>
        <rFont val="Times New Roman"/>
        <family val="1"/>
      </rPr>
      <t xml:space="preserve">I. Alianzas Concretadas.
</t>
    </r>
    <r>
      <rPr>
        <sz val="9"/>
        <rFont val="Times New Roman"/>
        <family val="1"/>
      </rPr>
      <t xml:space="preserve">Durante el mes de septiembre de 2022 se gestionaron alianzas con 11 actores nacionales, internacionales, públicos y privados, con el fin de favorecer iniciativas asociadas a la Política Pública de Mujeres y Equidad de Género del Distrito Capital que derivaron en acciones concretas: 
1.	CHANGE- City Hub and Network for Gender. i) Gestiones participación de la SDMujer en la Annual Summit, que tendrá lugar en el mes de noviembre en Los Ángeles. (01.09.22) ii) Gestiones participación y lanzamiento del Caregiving Project. (01-30.09.22) iii) Gestiones participación del Sistema de Cuidado en la Blue Marble Gallery. (15-28.09.22)
2.	Barcelona Times Use Iniciative. i) Gestiones participación en la Semana Iberoamericana de los Horarios y el Tiempo y divulgación de piezas (06-20.09.22) ii) Gestiones participación de la Subsecretaria Diana Parra, en la Time Use Week en el mes de octubre en la ciudad de Barcelona. (15-29.09.22) iii) Participación de la Subsecretaria Diana Parra como ponente en la jornada "Políticas del tiempo: una oportunidad para vivir mejor en las ciudades" (20.09.22) iv) Participación de la Directora Angie Mesa en la conferencia “Conectando investigación en usos del tiempo con políticas públicas”. (21.09.22)
3.	Dirección Distrital de Relaciones Internacionales. i) Gestiones y diligenciamiento matriz de cooperación internacional. (5.09.22) 
4.	ONU Mujeres. i) Gestiones revisión del quinto informe contable del convenio 819 de 2021. (06-12.09.22). ii) Gestiones envío y radicación memorando quinto informe contable del convenio 819 de 202. (09.09.22) iii) Quinto comité técnico convenio 819. (09.09.22) iv) Reunión seguimiento resultado 4 del convenio 819. (08.09.22)
5.	IDARTES. i) Gestiones finales donación de 100 colecciones de libros por parte de UNICEF. (06-12.09.22) 
6.	Unión Europea. i) Reuniones semanales de seguimiento al proyecto Avantia. (07,14,28.09.22) 
7.	USAID. i) Gestiones y talleres en formulación de proyectos con enfoque de género. (16-20.09.22). 
8.	OEA. i) Gestiones participación en los talleres "Formación ejecutiva en Transversalización +para la igualdad: Tendiendo puentes entre lo nacional y lo local".Son designadas para participar Laura Catalina Roa y Lilibeth Xiques (19-27.09.22) 
9.	Metrópolis. i) Gestiones y participación de Angie Mesa, Directora de Gestión del Conocimiento, en el taller Gender &amp; Data Gathering, en el marco de la colaboración de Metrópolis y la Cities Coallition for Digital Rights. (19-27.08.22)
10.	I Foro de Alcaldesas y Electas Iberoamericanas. i) Gestiones de revisión del documento base final. (01.09.22) ii) Reunión comité técnico sobre el documento base del foro. (05.09.22) Reunión comisión política (08.09.22) iii) Participación de la Secretaria Diana Rodríguez y de Lizeth Jahira González, Alcaldesa de Bosa en el I Foro de Alcaldesas y Electas (22 y 23.09.22)
11.	Banco Interamericano de Desarrollo (BID). Comité de seguimiento a la implementación del piloto en la Manzana de Cuidado de los Mártires para mujeres migrantes y locales cuidadoras. (15.09.22)
ANEXOS:
1.	Correos electrónicos, evidencia asistencia lanzamiento
2.	Invitación y agenda Semana de los Horarios, correos electrónicos, evidencia asistencia presentación
3.	Correo electrónico, matriz de cooperación internacional
4.	Correos electrónicos, V Informe Contable, evidencias asistencia reuniones
5.	Correos electrónicos, acta de ingreso libros
6.	Evidencias asistencia reuniones
7.	Correo electrónicos.
8.	Correo electrónico, brief
9.	Correos electrónicos
10.	Correos electrónicos, borrador documento base, evidencias asistencia reuniones, evidencia asistencia Foro
11.	Evidencia asistencia comité
</t>
    </r>
    <r>
      <rPr>
        <b/>
        <sz val="9"/>
        <rFont val="Times New Roman"/>
        <family val="1"/>
      </rPr>
      <t xml:space="preserve">II- Alianzas Gestionadas. 
</t>
    </r>
    <r>
      <rPr>
        <sz val="9"/>
        <rFont val="Times New Roman"/>
        <family val="1"/>
      </rPr>
      <t xml:space="preserve">Durante el mes de septiembre se gestionaron alianzas con 6 actores nacionales, internacionales, públicos y privados, con el fin de favorecer iniciativas asociadas a la Política Pública de Mujeres y Equidad de Género del Distrito Capital que aún no cuentan con un resultado específico: 
1.	Encuentro “El Cuidado en América Latina”. i) Gestiones ante la DDRI para el tour al centro de Bogotá (01-26.09.22) ii) Elaboración y gestiones para firma y revisión de cartas de invitación (02-30.09.22) iii) Gestiones radicación y envío de cartas a entidades públicas y aliados (06-23.09.22). iv) Reuniones operador logístico y gestiones organización encuentro (08-26.09.22) v) Gestiones ante la DDRI para refrigerios (12-27.09.22) vi) Reunión interna SDMujer sobre avances del evento (12.09.22) vii) Gestiones reserva hotel. (15-30.09.22) viii) Gestiones material publicitario (16.09.22) ix) Gestiones y reunión con las facilitadoras encuentro (13-30.09.22) x) Gestiones reserva auditorio para el cierre encuentro (21-26.09.22) xi) Gestiones participación invitados y envío de documentos (01-30.09.22) xii) Visitas de avanzada a los lugares donde se realizará el encuentro (20,26,30.09.22)
2.	Secretaria Distrital de Ambiente. Reunión sobre el proyecto "Energía fotovoltaica para edificios públicos”. (01.09.22)
3.	Banco Interamericano de Desarrollo (BID). Gestiones participación en el Diálogo Regional de Política: Acelerando el talento digital y verde para las mujeres del siglo XXI. (05.09.22)
4.	Save the Children. Gestiones modificación MoU. (06.09.22)
5.	GIFMM. Reunión de presentación del portafolio de ofrecimiento de alojamientos temporales que ofrecen los socios del GIFMM para migrantes. Contó con la participación de la Dirección de Eliminación de Violencias y la Dirección de Enfoque Diferencial. (07.09.22)
6.	Texmoda. Gestiones de articulación asistencia técnica para la implementación del enfoque de género y la firma del Pacto de Ciudad por la Igualdad. (20.09.22)
ANEXOS
1.	Correos electrónicos, evidencias asistencia reuniones, cartas, agenda, lista de invitados, listado city tour, listado reservas hotel, lista itinerarios de vuelo, correos participación invitados, evidencias avanzadas, cartillas, formulario metodología, fotos.
2.	Evidencia asistencia reunión.
3.	Correos electrónicos
4.	Correos electrónicos
5.	Evidencia asistencia a reunión, correos electrónicos, presentación
6.	Correos electrónicos
</t>
    </r>
    <r>
      <rPr>
        <b/>
        <sz val="9"/>
        <rFont val="Times New Roman"/>
        <family val="1"/>
      </rPr>
      <t xml:space="preserve">En el mes de septiembre el equipo de generación de ingresos concretó cuatro alianzas para generar mecanismos de generación de ingresos desde los hogares y fortalecimento de conocimiento técnico del sector costurero:
</t>
    </r>
    <r>
      <rPr>
        <sz val="9"/>
        <rFont val="Times New Roman"/>
        <family val="1"/>
      </rPr>
      <t>1. Tupperware. Mecanismo de generación de ingresos por venta por catálogo desde domiclio y proceso de formación y asesoría personalizada para planes comerciales.
2. Zenú. Venta por catálogo de cenas navideñas.
3. La Cortesana. Formación técnica específica para las organizaciones del sector consturero de Vecinas Trabajemos Juntas.
4. Tigo makaia.Formación en habilidades digitales comerciales.
Anexos: 
Radicado 12022010910_00001; Radicado 12022010249_00001; Radicado 12022010248_00001;Radicado 12022010250_00001.</t>
    </r>
  </si>
  <si>
    <r>
      <t>Para el mes de</t>
    </r>
    <r>
      <rPr>
        <b/>
        <sz val="11"/>
        <color rgb="FFFF0000"/>
        <rFont val="Times New Roman"/>
        <family val="1"/>
      </rPr>
      <t xml:space="preserve"> agosto s</t>
    </r>
    <r>
      <rPr>
        <sz val="11"/>
        <color rgb="FF000000"/>
        <rFont val="Times New Roman"/>
        <family val="1"/>
      </rPr>
      <t>e identifica un avance de actividades cerradas del 42% y un avance agregado que incluye la medición de actividades en proceso del 70,1%. Se hace presente que por cuenta de los hallazgos encontrados en los perfiles de las organizaciones y de las beneficiarias, ha sido necesario bajar la intensidad de las horas de mentoría para respetar los tiempos de aprendizajes de las mujeres cuidadoras e incrementar las horas de fortalecimiento psicosocial, lo que ha implicado un retrazo en las actividades por lo que se está evaluando la posibilidad de una prórroga. Se reporta una implementación del proceso de fortalecimiento y mentorías psicosociales, identificación de mapeo de la oferta empresarial para gestionar en septiembre mesas con el sector privado de identificación de posibles estrategias conjuntas. Se solucionan los atrasos identificados en julio pero se evidencia la necesidad de ampliar el acompañamiento por cuenta de las necesidades encontradas en territorio y reportadas en los documentos de línea base y diagnóstico organizacional. Los retrasos observados remontan al periodo febrero-mayo cuando hubo la necesidad mediante comité extraordinario de aprobar un plan de contingencia el 4.05.2022. En vista del tiempo requerido por las mujeres de ampliar el acompañamiento psicosocial se adelanta en septiembre el trámite de prórroga hasta el 10 de diciembre de 2022 .</t>
    </r>
  </si>
  <si>
    <t>Se avanza en la elaboración del documento que da cuenta del proceso de convocatoria con los componentes que se programaron en los indicadores, teniendo en cuenta que la convocatoria va hasta el día 8 de abril del 2022. Hasta el cierre de la convocatoria, será posible registrar la verificación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saldrán las 30 organizaciones seleccionadas. Durante el mes de mayo se elaboró el documento final que da cuenta del proceso de selección de las 30 organizaciones de mujeres productivas , donde se encuentra incluida la verificación de los términos de referencia con sus correspondientes puntajes. Actividad cumplida en el primer semestre 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</si>
</sst>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 numFmtId="189" formatCode="#,##0.00;[Red]#,##0.00"/>
    <numFmt numFmtId="190" formatCode="#,##0.000"/>
    <numFmt numFmtId="191" formatCode="_-[$$-240A]\ * #,##0.0000_-;\-[$$-240A]\ * #,##0.0000_-;_-[$$-240A]\ * &quot;-&quot;??_-;_-@_-"/>
    <numFmt numFmtId="192" formatCode="_-&quot;$&quot;\ * #,##0_-;\-&quot;$&quot;\ * #,##0_-;_-&quot;$&quot;\ * &quot;-&quot;??_-;_-@_-"/>
  </numFmts>
  <fonts count="102">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b/>
      <sz val="8"/>
      <name val="Arial Narrow"/>
      <family val="2"/>
    </font>
    <font>
      <b/>
      <sz val="8"/>
      <color theme="1"/>
      <name val="Calibri"/>
      <family val="2"/>
      <scheme val="minor"/>
    </font>
    <font>
      <sz val="9"/>
      <color theme="1"/>
      <name val="Times New Roman"/>
      <family val="1"/>
    </font>
    <font>
      <b/>
      <sz val="8"/>
      <color indexed="8"/>
      <name val="Times New Roman"/>
      <family val="1"/>
    </font>
    <font>
      <b/>
      <sz val="7"/>
      <name val="Times New Roman"/>
      <family val="1"/>
    </font>
    <font>
      <sz val="11"/>
      <color rgb="FF00B0F0"/>
      <name val="Times New Roman"/>
      <family val="1"/>
    </font>
    <font>
      <b/>
      <sz val="10"/>
      <color rgb="FF000000"/>
      <name val="Tahoma"/>
      <family val="2"/>
    </font>
    <font>
      <sz val="10"/>
      <color rgb="FF000000"/>
      <name val="Tahoma"/>
      <family val="2"/>
    </font>
    <font>
      <b/>
      <sz val="11"/>
      <name val="Calibri"/>
      <family val="2"/>
      <scheme val="minor"/>
    </font>
    <font>
      <sz val="12"/>
      <color rgb="FF000000"/>
      <name val="Tahoma"/>
      <family val="2"/>
    </font>
    <font>
      <sz val="11"/>
      <color rgb="FF000000"/>
      <name val="Calibri"/>
      <family val="2"/>
    </font>
    <font>
      <sz val="8"/>
      <color theme="1"/>
      <name val="Times New Roman"/>
      <family val="1"/>
    </font>
    <font>
      <b/>
      <sz val="8"/>
      <color rgb="FFFF0000"/>
      <name val="Times New Roman"/>
      <family val="1"/>
    </font>
    <font>
      <sz val="11"/>
      <color rgb="FF000000"/>
      <name val="Times New Roman"/>
      <family val="1"/>
    </font>
    <font>
      <b/>
      <sz val="9"/>
      <name val="Times New Roman"/>
      <family val="1"/>
    </font>
  </fonts>
  <fills count="4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
      <patternFill patternType="solid">
        <fgColor rgb="FFFFFFFF"/>
        <bgColor indexed="64"/>
      </patternFill>
    </fill>
    <fill>
      <patternFill patternType="solid">
        <fgColor rgb="FF99FF99"/>
        <bgColor indexed="64"/>
      </patternFill>
    </fill>
    <fill>
      <patternFill patternType="solid">
        <fgColor rgb="FFFFFFFF"/>
        <bgColor rgb="FF000000"/>
      </patternFill>
    </fill>
    <fill>
      <patternFill patternType="solid">
        <fgColor rgb="FFCCC0DA"/>
        <bgColor rgb="FF000000"/>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rgb="FF000000"/>
      </right>
      <top style="thin">
        <color indexed="64"/>
      </top>
      <bottom/>
      <diagonal/>
    </border>
    <border>
      <left/>
      <right style="thin">
        <color rgb="FF000000"/>
      </right>
      <top/>
      <bottom/>
      <diagonal/>
    </border>
  </borders>
  <cellStyleXfs count="35">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cellStyleXfs>
  <cellXfs count="1307">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7" fillId="0" borderId="1" xfId="0" applyFont="1" applyBorder="1" applyAlignment="1">
      <alignment horizontal="center" vertical="center" wrapText="1"/>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0" fontId="12" fillId="19" borderId="42" xfId="21" applyFont="1" applyFill="1" applyBorder="1" applyAlignment="1">
      <alignment vertical="center" wrapText="1"/>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1" fillId="9" borderId="19" xfId="29" applyNumberFormat="1" applyFont="1" applyFill="1" applyBorder="1" applyAlignment="1" applyProtection="1">
      <alignment horizontal="center" vertical="center" wrapText="1"/>
    </xf>
    <xf numFmtId="0" fontId="60" fillId="0" borderId="0" xfId="0" applyFont="1" applyAlignment="1">
      <alignment horizontal="center" vertical="center" wrapText="1"/>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0" fontId="16" fillId="2" borderId="0" xfId="21" applyFont="1" applyFill="1" applyAlignment="1">
      <alignment horizontal="center" vertical="center" wrapText="1"/>
    </xf>
    <xf numFmtId="0" fontId="11" fillId="19" borderId="42" xfId="21" applyFont="1" applyFill="1" applyBorder="1" applyAlignment="1">
      <alignment vertical="center" wrapText="1"/>
    </xf>
    <xf numFmtId="171" fontId="0" fillId="0" borderId="0" xfId="0" applyNumberFormat="1"/>
    <xf numFmtId="171" fontId="31" fillId="0" borderId="0" xfId="0" applyNumberFormat="1" applyFont="1"/>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32" fillId="0" borderId="0" xfId="0" applyFont="1" applyAlignment="1">
      <alignment horizontal="center" vertical="center" wrapText="1"/>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1"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0" fontId="12" fillId="20" borderId="93" xfId="21" applyFont="1" applyFill="1" applyBorder="1" applyAlignment="1">
      <alignment horizontal="center" vertical="center" wrapText="1"/>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60" fillId="0" borderId="0" xfId="0" applyFont="1" applyAlignment="1">
      <alignment horizontal="center" vertical="top"/>
    </xf>
    <xf numFmtId="0" fontId="31" fillId="13" borderId="0" xfId="0" applyFont="1" applyFill="1"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9" fontId="20" fillId="0" borderId="33" xfId="27" applyFont="1" applyFill="1" applyBorder="1" applyAlignment="1">
      <alignment vertical="center"/>
    </xf>
    <xf numFmtId="44" fontId="82" fillId="0" borderId="0" xfId="34" applyFont="1" applyAlignment="1">
      <alignment horizontal="center" vertical="center" wrapText="1"/>
    </xf>
    <xf numFmtId="44" fontId="81" fillId="13" borderId="0" xfId="34" applyFont="1" applyFill="1" applyAlignment="1">
      <alignment vertical="top"/>
    </xf>
    <xf numFmtId="44" fontId="60" fillId="0" borderId="0" xfId="34" applyFont="1" applyAlignment="1">
      <alignment vertical="top"/>
    </xf>
    <xf numFmtId="44" fontId="82" fillId="0" borderId="0" xfId="34" applyFont="1" applyAlignment="1">
      <alignment horizontal="center" vertical="center"/>
    </xf>
    <xf numFmtId="44" fontId="0" fillId="0" borderId="0" xfId="34" applyFont="1"/>
    <xf numFmtId="44" fontId="81"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3" fontId="34" fillId="9" borderId="0" xfId="0" applyNumberFormat="1" applyFont="1" applyFill="1" applyAlignment="1">
      <alignment horizontal="center" vertical="center"/>
    </xf>
    <xf numFmtId="178" fontId="0" fillId="0" borderId="0" xfId="0" applyNumberFormat="1"/>
    <xf numFmtId="0" fontId="81" fillId="0" borderId="0" xfId="0" applyFont="1" applyAlignment="1">
      <alignment vertical="top"/>
    </xf>
    <xf numFmtId="0" fontId="82"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1" fillId="0" borderId="0" xfId="34" applyFont="1" applyAlignment="1">
      <alignment vertical="top"/>
    </xf>
    <xf numFmtId="3" fontId="84" fillId="0" borderId="0" xfId="0" applyNumberFormat="1" applyFont="1" applyAlignment="1">
      <alignment vertical="top"/>
    </xf>
    <xf numFmtId="0" fontId="82" fillId="0" borderId="0" xfId="0" applyFont="1" applyAlignment="1">
      <alignment vertical="top"/>
    </xf>
    <xf numFmtId="3" fontId="82" fillId="0" borderId="0" xfId="0" applyNumberFormat="1" applyFont="1" applyAlignment="1">
      <alignment vertical="top"/>
    </xf>
    <xf numFmtId="44" fontId="82" fillId="0" borderId="0" xfId="34" applyFont="1" applyAlignment="1">
      <alignment vertical="top"/>
    </xf>
    <xf numFmtId="44" fontId="82" fillId="0" borderId="0" xfId="34" applyFont="1" applyFill="1" applyAlignment="1">
      <alignment vertical="top"/>
    </xf>
    <xf numFmtId="0" fontId="85"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6"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0" fontId="17" fillId="23" borderId="1" xfId="0" applyFont="1" applyFill="1" applyBorder="1" applyAlignment="1">
      <alignment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3" fillId="0" borderId="0" xfId="34" applyNumberFormat="1"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165" fontId="31" fillId="0" borderId="0" xfId="14" applyFont="1" applyBorder="1" applyAlignment="1">
      <alignment horizontal="center" vertical="center" wrapText="1"/>
    </xf>
    <xf numFmtId="9" fontId="80" fillId="0" borderId="0" xfId="21" applyNumberFormat="1" applyFont="1" applyAlignment="1">
      <alignment vertical="center" wrapText="1"/>
    </xf>
    <xf numFmtId="1" fontId="12" fillId="0" borderId="0" xfId="27" applyNumberFormat="1" applyFont="1" applyAlignment="1">
      <alignment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3" fontId="0" fillId="0" borderId="0" xfId="0" applyNumberFormat="1" applyAlignment="1">
      <alignment vertical="center"/>
    </xf>
    <xf numFmtId="9" fontId="11" fillId="0" borderId="0" xfId="21" applyNumberFormat="1" applyFont="1" applyAlignment="1">
      <alignment vertical="center" wrapText="1"/>
    </xf>
    <xf numFmtId="171" fontId="20" fillId="0" borderId="1" xfId="10" applyNumberFormat="1" applyFont="1" applyFill="1" applyBorder="1" applyAlignment="1">
      <alignment vertical="center"/>
    </xf>
    <xf numFmtId="0" fontId="71" fillId="0" borderId="0" xfId="0" applyFont="1" applyAlignment="1">
      <alignment horizontal="justify" vertical="center" wrapText="1"/>
    </xf>
    <xf numFmtId="0" fontId="87" fillId="2" borderId="0" xfId="21" applyFont="1" applyFill="1" applyAlignment="1">
      <alignment horizontal="justify" vertical="center" wrapText="1"/>
    </xf>
    <xf numFmtId="175" fontId="71" fillId="0" borderId="0" xfId="0" applyNumberFormat="1" applyFont="1" applyAlignment="1">
      <alignment horizontal="justify" vertical="center" wrapText="1"/>
    </xf>
    <xf numFmtId="175" fontId="71" fillId="0" borderId="0" xfId="34" applyNumberFormat="1" applyFont="1" applyBorder="1" applyAlignment="1">
      <alignment horizontal="justify" vertical="center" wrapText="1"/>
    </xf>
    <xf numFmtId="171" fontId="71" fillId="0" borderId="0" xfId="0" applyNumberFormat="1" applyFont="1" applyAlignment="1">
      <alignment horizontal="justify" vertical="center" wrapText="1"/>
    </xf>
    <xf numFmtId="175" fontId="88" fillId="0" borderId="0" xfId="34" applyNumberFormat="1" applyFont="1" applyBorder="1" applyAlignment="1">
      <alignment horizontal="justify" vertical="center" wrapText="1"/>
    </xf>
    <xf numFmtId="9" fontId="71" fillId="0" borderId="0" xfId="27" applyFont="1" applyBorder="1" applyAlignment="1">
      <alignment horizontal="justify" vertical="center" wrapText="1"/>
    </xf>
    <xf numFmtId="165" fontId="71" fillId="0" borderId="0" xfId="14" applyFont="1" applyAlignment="1">
      <alignment horizontal="justify" vertical="center" wrapText="1"/>
    </xf>
    <xf numFmtId="165" fontId="88" fillId="0" borderId="0" xfId="14" applyFont="1" applyAlignment="1">
      <alignment horizontal="justify" vertical="center" wrapText="1"/>
    </xf>
    <xf numFmtId="0" fontId="88" fillId="0" borderId="0" xfId="0" applyFont="1" applyAlignment="1">
      <alignment horizontal="center" vertical="center" wrapText="1"/>
    </xf>
    <xf numFmtId="165" fontId="88" fillId="0" borderId="0" xfId="14" applyFont="1" applyAlignment="1">
      <alignment horizontal="center" vertical="center" wrapText="1"/>
    </xf>
    <xf numFmtId="37" fontId="71" fillId="0" borderId="0" xfId="10" applyNumberFormat="1" applyFont="1" applyAlignment="1">
      <alignment horizontal="center" vertical="center" wrapText="1"/>
    </xf>
    <xf numFmtId="171" fontId="12" fillId="19" borderId="0" xfId="21" applyNumberFormat="1" applyFont="1" applyFill="1" applyAlignment="1">
      <alignment horizontal="left" vertical="center" wrapText="1"/>
    </xf>
    <xf numFmtId="0" fontId="89" fillId="0" borderId="8" xfId="0" applyFont="1" applyBorder="1" applyAlignment="1">
      <alignment horizontal="center" vertical="center"/>
    </xf>
    <xf numFmtId="0" fontId="89" fillId="0" borderId="1" xfId="0" applyFont="1" applyBorder="1" applyAlignment="1">
      <alignment horizontal="center" vertical="center"/>
    </xf>
    <xf numFmtId="0" fontId="89" fillId="0" borderId="1" xfId="0" applyFont="1" applyBorder="1" applyAlignment="1">
      <alignment horizontal="justify" vertical="center" wrapText="1"/>
    </xf>
    <xf numFmtId="0" fontId="89" fillId="0" borderId="1" xfId="0" applyFont="1" applyBorder="1" applyAlignment="1">
      <alignment horizontal="center" vertical="center" wrapText="1"/>
    </xf>
    <xf numFmtId="3" fontId="89" fillId="0" borderId="1" xfId="27" applyNumberFormat="1" applyFont="1" applyFill="1" applyBorder="1" applyAlignment="1">
      <alignment horizontal="center" vertical="center" wrapText="1"/>
    </xf>
    <xf numFmtId="166" fontId="89" fillId="0" borderId="1" xfId="11" applyFont="1" applyFill="1" applyBorder="1" applyAlignment="1">
      <alignment horizontal="center" vertical="center" wrapText="1"/>
    </xf>
    <xf numFmtId="166" fontId="89" fillId="0" borderId="2" xfId="11" applyFont="1" applyFill="1" applyBorder="1" applyAlignment="1">
      <alignment horizontal="left" vertical="center" wrapText="1"/>
    </xf>
    <xf numFmtId="3" fontId="89" fillId="0" borderId="8" xfId="0" applyNumberFormat="1" applyFont="1" applyBorder="1" applyAlignment="1">
      <alignment horizontal="center" vertical="center"/>
    </xf>
    <xf numFmtId="3" fontId="89" fillId="0" borderId="1" xfId="0" applyNumberFormat="1" applyFont="1" applyBorder="1" applyAlignment="1">
      <alignment horizontal="center" vertical="center"/>
    </xf>
    <xf numFmtId="3" fontId="89" fillId="0" borderId="9" xfId="0" applyNumberFormat="1" applyFont="1" applyBorder="1" applyAlignment="1">
      <alignment horizontal="center" vertical="center"/>
    </xf>
    <xf numFmtId="3" fontId="89" fillId="0" borderId="5" xfId="0" applyNumberFormat="1" applyFont="1" applyBorder="1" applyAlignment="1">
      <alignment horizontal="center" vertical="center"/>
    </xf>
    <xf numFmtId="10" fontId="89" fillId="0" borderId="9" xfId="27" applyNumberFormat="1" applyFont="1" applyFill="1" applyBorder="1" applyAlignment="1">
      <alignment horizontal="center" vertical="center"/>
    </xf>
    <xf numFmtId="0" fontId="89" fillId="0" borderId="0" xfId="0" applyFont="1" applyAlignment="1">
      <alignment vertical="center"/>
    </xf>
    <xf numFmtId="0" fontId="89" fillId="0" borderId="2" xfId="0" applyFont="1" applyBorder="1" applyAlignment="1">
      <alignment horizontal="justify" vertical="center" wrapText="1"/>
    </xf>
    <xf numFmtId="0" fontId="89" fillId="0" borderId="5" xfId="0" applyFont="1" applyBorder="1" applyAlignment="1">
      <alignment horizontal="justify" vertical="center"/>
    </xf>
    <xf numFmtId="4" fontId="58" fillId="0" borderId="1" xfId="21" applyNumberFormat="1" applyFont="1" applyBorder="1" applyAlignment="1">
      <alignment horizontal="center" vertical="center" wrapText="1"/>
    </xf>
    <xf numFmtId="4" fontId="89" fillId="0" borderId="8" xfId="0" applyNumberFormat="1" applyFont="1" applyBorder="1" applyAlignment="1">
      <alignment horizontal="center" vertical="center"/>
    </xf>
    <xf numFmtId="9" fontId="89" fillId="0" borderId="9" xfId="27" applyFont="1" applyFill="1" applyBorder="1" applyAlignment="1">
      <alignment horizontal="center" vertical="center"/>
    </xf>
    <xf numFmtId="0" fontId="58" fillId="0" borderId="1" xfId="27" applyNumberFormat="1" applyFont="1" applyFill="1" applyBorder="1" applyAlignment="1">
      <alignment horizontal="justify" vertical="center" wrapText="1"/>
    </xf>
    <xf numFmtId="0" fontId="58" fillId="0" borderId="9" xfId="0" applyFont="1" applyBorder="1" applyAlignment="1">
      <alignment horizontal="justify" vertical="center" wrapText="1"/>
    </xf>
    <xf numFmtId="49" fontId="89" fillId="0" borderId="2" xfId="11" applyNumberFormat="1" applyFont="1" applyFill="1" applyBorder="1" applyAlignment="1">
      <alignment horizontal="left" vertical="center" wrapText="1"/>
    </xf>
    <xf numFmtId="0" fontId="89" fillId="0" borderId="5" xfId="0" applyFont="1" applyBorder="1" applyAlignment="1">
      <alignment horizontal="justify" vertical="center" wrapText="1"/>
    </xf>
    <xf numFmtId="184" fontId="89" fillId="0" borderId="1" xfId="0" applyNumberFormat="1" applyFont="1" applyBorder="1" applyAlignment="1">
      <alignment horizontal="center" vertical="center"/>
    </xf>
    <xf numFmtId="0" fontId="58" fillId="0" borderId="10"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23" xfId="0" applyFont="1" applyBorder="1" applyAlignment="1">
      <alignment horizontal="center" vertical="center" wrapText="1"/>
    </xf>
    <xf numFmtId="0" fontId="89" fillId="0" borderId="31" xfId="0" applyFont="1" applyBorder="1" applyAlignment="1">
      <alignment horizontal="center" vertical="center"/>
    </xf>
    <xf numFmtId="0" fontId="89" fillId="0" borderId="19" xfId="0" applyFont="1" applyBorder="1" applyAlignment="1">
      <alignment horizontal="center" vertical="center"/>
    </xf>
    <xf numFmtId="0" fontId="89" fillId="0" borderId="19" xfId="0" applyFont="1" applyBorder="1" applyAlignment="1">
      <alignment horizontal="justify" vertical="center" wrapText="1"/>
    </xf>
    <xf numFmtId="0" fontId="89" fillId="0" borderId="21" xfId="0" applyFont="1" applyBorder="1" applyAlignment="1">
      <alignment horizontal="justify" vertical="center" wrapText="1"/>
    </xf>
    <xf numFmtId="0" fontId="58" fillId="0" borderId="19" xfId="0" applyFont="1" applyBorder="1" applyAlignment="1">
      <alignment horizontal="justify" vertical="center" wrapText="1"/>
    </xf>
    <xf numFmtId="0" fontId="58" fillId="0" borderId="58" xfId="0" applyFont="1" applyBorder="1" applyAlignment="1">
      <alignment horizontal="center" vertical="center" wrapText="1"/>
    </xf>
    <xf numFmtId="0" fontId="89" fillId="0" borderId="19" xfId="0" applyFont="1" applyBorder="1" applyAlignment="1">
      <alignment horizontal="center" vertical="center" wrapText="1"/>
    </xf>
    <xf numFmtId="0" fontId="58" fillId="0" borderId="49" xfId="0" applyFont="1" applyBorder="1" applyAlignment="1">
      <alignment horizontal="center" vertical="center" wrapText="1"/>
    </xf>
    <xf numFmtId="3" fontId="89" fillId="0" borderId="19" xfId="27" applyNumberFormat="1" applyFont="1" applyFill="1" applyBorder="1" applyAlignment="1">
      <alignment horizontal="center" vertical="center" wrapText="1"/>
    </xf>
    <xf numFmtId="9" fontId="89" fillId="0" borderId="19" xfId="27" applyFont="1" applyFill="1" applyBorder="1" applyAlignment="1">
      <alignment horizontal="center" vertical="center" wrapText="1"/>
    </xf>
    <xf numFmtId="166" fontId="89" fillId="0" borderId="19" xfId="11" applyFont="1" applyFill="1" applyBorder="1" applyAlignment="1">
      <alignment horizontal="center" vertical="center" wrapText="1"/>
    </xf>
    <xf numFmtId="166" fontId="89" fillId="0" borderId="21" xfId="11" applyFont="1" applyFill="1" applyBorder="1" applyAlignment="1">
      <alignment horizontal="left" vertical="center" wrapText="1"/>
    </xf>
    <xf numFmtId="3" fontId="89" fillId="0" borderId="31" xfId="0" applyNumberFormat="1" applyFont="1" applyBorder="1" applyAlignment="1">
      <alignment horizontal="center" vertical="center"/>
    </xf>
    <xf numFmtId="3" fontId="89" fillId="0" borderId="19" xfId="0" applyNumberFormat="1" applyFont="1" applyBorder="1" applyAlignment="1">
      <alignment horizontal="center" vertical="center"/>
    </xf>
    <xf numFmtId="3" fontId="89" fillId="0" borderId="19" xfId="27" applyNumberFormat="1" applyFont="1" applyFill="1" applyBorder="1" applyAlignment="1">
      <alignment horizontal="center" vertical="center"/>
    </xf>
    <xf numFmtId="3" fontId="89" fillId="0" borderId="33" xfId="0" applyNumberFormat="1" applyFont="1" applyBorder="1" applyAlignment="1">
      <alignment horizontal="center" vertical="center"/>
    </xf>
    <xf numFmtId="0" fontId="90" fillId="22" borderId="0" xfId="0" applyFont="1" applyFill="1" applyAlignment="1">
      <alignment horizontal="center" vertical="center"/>
    </xf>
    <xf numFmtId="42" fontId="90" fillId="22" borderId="0" xfId="0" applyNumberFormat="1" applyFont="1" applyFill="1" applyAlignment="1">
      <alignment horizontal="justify" vertical="top" wrapText="1"/>
    </xf>
    <xf numFmtId="0" fontId="3" fillId="9" borderId="24" xfId="0" applyFont="1" applyFill="1" applyBorder="1" applyAlignment="1">
      <alignment horizontal="center" vertical="center" wrapText="1"/>
    </xf>
    <xf numFmtId="176" fontId="13" fillId="0" borderId="5" xfId="14" applyNumberFormat="1" applyFont="1" applyFill="1" applyBorder="1" applyAlignment="1">
      <alignment horizontal="center" vertical="center"/>
    </xf>
    <xf numFmtId="0" fontId="13" fillId="22" borderId="5" xfId="0" applyFont="1" applyFill="1" applyBorder="1" applyAlignment="1">
      <alignment horizontal="center" vertical="center"/>
    </xf>
    <xf numFmtId="0" fontId="12" fillId="9" borderId="83" xfId="0" applyFont="1" applyFill="1" applyBorder="1" applyAlignment="1">
      <alignment horizontal="center" vertical="center" wrapText="1"/>
    </xf>
    <xf numFmtId="0" fontId="17" fillId="0" borderId="8" xfId="0" applyFont="1" applyBorder="1" applyAlignment="1">
      <alignment vertical="center"/>
    </xf>
    <xf numFmtId="176" fontId="13" fillId="22" borderId="9" xfId="14" applyNumberFormat="1" applyFont="1" applyFill="1" applyBorder="1" applyAlignment="1">
      <alignment horizontal="center" vertical="center"/>
    </xf>
    <xf numFmtId="0" fontId="13" fillId="0" borderId="5" xfId="0" applyFont="1" applyBorder="1" applyAlignment="1">
      <alignment vertical="center"/>
    </xf>
    <xf numFmtId="0" fontId="17" fillId="0" borderId="0" xfId="0" applyFont="1" applyAlignment="1">
      <alignment vertical="center"/>
    </xf>
    <xf numFmtId="0" fontId="17" fillId="0" borderId="18"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23" borderId="10" xfId="0" applyFont="1" applyFill="1" applyBorder="1" applyAlignment="1">
      <alignment horizontal="center" vertical="center"/>
    </xf>
    <xf numFmtId="0" fontId="13" fillId="22" borderId="27" xfId="0" applyFont="1" applyFill="1" applyBorder="1" applyAlignment="1">
      <alignment horizontal="left" vertical="center"/>
    </xf>
    <xf numFmtId="0" fontId="13" fillId="22" borderId="28" xfId="0" applyFont="1" applyFill="1" applyBorder="1" applyAlignment="1">
      <alignment horizontal="center" vertical="center"/>
    </xf>
    <xf numFmtId="171" fontId="13" fillId="22" borderId="28" xfId="0" applyNumberFormat="1" applyFont="1" applyFill="1" applyBorder="1" applyAlignment="1">
      <alignment horizontal="center" vertical="center"/>
    </xf>
    <xf numFmtId="176" fontId="13" fillId="22" borderId="83" xfId="14" applyNumberFormat="1" applyFont="1" applyFill="1" applyBorder="1" applyAlignment="1">
      <alignment horizontal="center" vertical="center"/>
    </xf>
    <xf numFmtId="0" fontId="13" fillId="23" borderId="28" xfId="0" applyFont="1" applyFill="1" applyBorder="1" applyAlignment="1">
      <alignment horizontal="center" vertical="center"/>
    </xf>
    <xf numFmtId="176" fontId="13" fillId="22" borderId="29" xfId="0" applyNumberFormat="1" applyFont="1" applyFill="1" applyBorder="1" applyAlignment="1">
      <alignment horizontal="center" vertical="center"/>
    </xf>
    <xf numFmtId="185" fontId="13" fillId="22" borderId="28" xfId="0" applyNumberFormat="1" applyFont="1" applyFill="1" applyBorder="1" applyAlignment="1">
      <alignment horizontal="center" vertical="center"/>
    </xf>
    <xf numFmtId="176" fontId="13" fillId="22" borderId="29" xfId="14" applyNumberFormat="1" applyFont="1" applyFill="1" applyBorder="1" applyAlignment="1">
      <alignment horizontal="center" vertical="center"/>
    </xf>
    <xf numFmtId="0" fontId="0" fillId="0" borderId="0" xfId="0" applyAlignment="1">
      <alignment wrapText="1"/>
    </xf>
    <xf numFmtId="188" fontId="13" fillId="22" borderId="1" xfId="14" applyNumberFormat="1" applyFont="1" applyFill="1" applyBorder="1" applyAlignment="1">
      <alignment horizontal="center" vertical="center"/>
    </xf>
    <xf numFmtId="176" fontId="13" fillId="22" borderId="1" xfId="14" applyNumberFormat="1" applyFont="1" applyFill="1" applyBorder="1" applyAlignment="1">
      <alignment horizontal="center" vertical="center"/>
    </xf>
    <xf numFmtId="0" fontId="13" fillId="22" borderId="1" xfId="0" applyFont="1" applyFill="1" applyBorder="1" applyAlignment="1">
      <alignment horizontal="left" vertical="center"/>
    </xf>
    <xf numFmtId="171" fontId="13" fillId="22" borderId="1" xfId="0" applyNumberFormat="1" applyFont="1" applyFill="1" applyBorder="1" applyAlignment="1">
      <alignment horizontal="center" vertical="center"/>
    </xf>
    <xf numFmtId="0" fontId="85" fillId="22" borderId="1" xfId="0" applyFont="1" applyFill="1" applyBorder="1" applyAlignment="1">
      <alignment horizontal="center" vertical="center"/>
    </xf>
    <xf numFmtId="42" fontId="13" fillId="22" borderId="1" xfId="0" applyNumberFormat="1" applyFont="1" applyFill="1" applyBorder="1" applyAlignment="1">
      <alignment horizontal="center" vertical="center"/>
    </xf>
    <xf numFmtId="0" fontId="13" fillId="23" borderId="1" xfId="0" applyFont="1" applyFill="1" applyBorder="1" applyAlignment="1">
      <alignment horizontal="center" vertical="center"/>
    </xf>
    <xf numFmtId="0" fontId="36" fillId="0" borderId="0" xfId="0" applyFont="1" applyAlignment="1">
      <alignment wrapText="1"/>
    </xf>
    <xf numFmtId="0" fontId="36" fillId="43" borderId="0" xfId="0" applyFont="1" applyFill="1" applyAlignment="1">
      <alignment wrapText="1"/>
    </xf>
    <xf numFmtId="0" fontId="11" fillId="0" borderId="18" xfId="21" applyFont="1" applyBorder="1" applyAlignment="1">
      <alignment horizontal="center" vertical="center" wrapText="1"/>
    </xf>
    <xf numFmtId="9" fontId="11" fillId="0" borderId="0" xfId="21" applyNumberFormat="1" applyFont="1" applyAlignment="1">
      <alignment horizontal="justify" vertical="center" wrapText="1"/>
    </xf>
    <xf numFmtId="0" fontId="12" fillId="9" borderId="10" xfId="0" applyFont="1" applyFill="1" applyBorder="1" applyAlignment="1">
      <alignment horizontal="center" vertical="center" wrapText="1"/>
    </xf>
    <xf numFmtId="44" fontId="81" fillId="44" borderId="0" xfId="34" applyFont="1" applyFill="1" applyAlignment="1">
      <alignment vertical="top"/>
    </xf>
    <xf numFmtId="189" fontId="20" fillId="0" borderId="0" xfId="34" applyNumberFormat="1" applyFont="1" applyBorder="1" applyAlignment="1">
      <alignment vertical="center"/>
    </xf>
    <xf numFmtId="0" fontId="32" fillId="0" borderId="0" xfId="21" applyFont="1" applyAlignment="1">
      <alignment vertical="center" wrapText="1"/>
    </xf>
    <xf numFmtId="0" fontId="32" fillId="0" borderId="0" xfId="21" applyFont="1" applyAlignment="1">
      <alignment vertical="top" wrapText="1"/>
    </xf>
    <xf numFmtId="182" fontId="0" fillId="0" borderId="0" xfId="0" applyNumberFormat="1"/>
    <xf numFmtId="10" fontId="0" fillId="0" borderId="0" xfId="27" applyNumberFormat="1" applyFont="1"/>
    <xf numFmtId="0" fontId="91" fillId="20" borderId="0" xfId="21" applyFont="1" applyFill="1" applyAlignment="1">
      <alignment vertical="center" wrapText="1"/>
    </xf>
    <xf numFmtId="182" fontId="31" fillId="0" borderId="0" xfId="0" applyNumberFormat="1" applyFont="1"/>
    <xf numFmtId="4" fontId="13" fillId="22" borderId="28" xfId="0" applyNumberFormat="1" applyFont="1" applyFill="1" applyBorder="1" applyAlignment="1">
      <alignment horizontal="center" vertical="center"/>
    </xf>
    <xf numFmtId="190" fontId="17" fillId="0" borderId="1" xfId="0" applyNumberFormat="1" applyFont="1" applyBorder="1" applyAlignment="1">
      <alignment vertical="center"/>
    </xf>
    <xf numFmtId="187" fontId="13" fillId="0" borderId="1" xfId="0" applyNumberFormat="1" applyFont="1" applyBorder="1" applyAlignment="1">
      <alignment vertical="center"/>
    </xf>
    <xf numFmtId="187" fontId="17" fillId="23" borderId="1" xfId="0" applyNumberFormat="1" applyFont="1" applyFill="1" applyBorder="1" applyAlignment="1">
      <alignment horizontal="center" vertical="center"/>
    </xf>
    <xf numFmtId="191" fontId="13" fillId="22" borderId="9" xfId="14" applyNumberFormat="1" applyFont="1" applyFill="1" applyBorder="1" applyAlignment="1">
      <alignment horizontal="center" vertical="center"/>
    </xf>
    <xf numFmtId="3" fontId="92" fillId="0" borderId="0" xfId="0" applyNumberFormat="1" applyFont="1" applyAlignment="1">
      <alignment horizontal="center" vertical="center"/>
    </xf>
    <xf numFmtId="172" fontId="20" fillId="0" borderId="32" xfId="10" applyNumberFormat="1" applyFont="1" applyFill="1" applyBorder="1" applyAlignment="1">
      <alignment vertical="center"/>
    </xf>
    <xf numFmtId="172" fontId="20" fillId="0" borderId="4" xfId="10" applyNumberFormat="1" applyFont="1" applyFill="1" applyBorder="1" applyAlignment="1">
      <alignment vertical="center"/>
    </xf>
    <xf numFmtId="172" fontId="20" fillId="0" borderId="34" xfId="10" applyNumberFormat="1" applyFont="1" applyFill="1" applyBorder="1" applyAlignment="1">
      <alignment vertical="center"/>
    </xf>
    <xf numFmtId="172" fontId="20" fillId="0" borderId="8" xfId="10" applyNumberFormat="1" applyFont="1" applyFill="1" applyBorder="1" applyAlignment="1">
      <alignment vertical="center"/>
    </xf>
    <xf numFmtId="172" fontId="20" fillId="0" borderId="1" xfId="10" applyNumberFormat="1" applyFont="1" applyFill="1" applyBorder="1" applyAlignment="1">
      <alignment vertical="center"/>
    </xf>
    <xf numFmtId="9" fontId="20" fillId="0" borderId="9" xfId="27" applyFont="1" applyFill="1" applyBorder="1" applyAlignment="1">
      <alignment vertical="center"/>
    </xf>
    <xf numFmtId="5" fontId="20" fillId="0" borderId="1" xfId="10" applyNumberFormat="1" applyFont="1" applyFill="1" applyBorder="1" applyAlignment="1">
      <alignment vertical="center"/>
    </xf>
    <xf numFmtId="5" fontId="0" fillId="0" borderId="1" xfId="10" applyNumberFormat="1" applyFont="1" applyFill="1" applyBorder="1" applyAlignment="1">
      <alignment vertical="center"/>
    </xf>
    <xf numFmtId="171" fontId="20" fillId="0" borderId="4" xfId="10" applyNumberFormat="1" applyFont="1" applyFill="1" applyBorder="1" applyAlignment="1">
      <alignment vertical="center"/>
    </xf>
    <xf numFmtId="172" fontId="20" fillId="0" borderId="9" xfId="10" applyNumberFormat="1" applyFont="1" applyFill="1" applyBorder="1" applyAlignment="1">
      <alignment vertical="center"/>
    </xf>
    <xf numFmtId="171" fontId="20" fillId="0" borderId="31" xfId="10" applyNumberFormat="1" applyFont="1" applyFill="1" applyBorder="1" applyAlignment="1">
      <alignment vertical="center"/>
    </xf>
    <xf numFmtId="5" fontId="20" fillId="0" borderId="19" xfId="10" applyNumberFormat="1" applyFont="1" applyFill="1" applyBorder="1" applyAlignment="1">
      <alignment vertical="center"/>
    </xf>
    <xf numFmtId="172" fontId="20" fillId="0" borderId="19" xfId="10" applyNumberFormat="1" applyFont="1" applyFill="1" applyBorder="1" applyAlignment="1">
      <alignment vertical="center"/>
    </xf>
    <xf numFmtId="171" fontId="20" fillId="0" borderId="32" xfId="10" applyNumberFormat="1" applyFont="1" applyFill="1" applyBorder="1" applyAlignment="1">
      <alignment vertical="center"/>
    </xf>
    <xf numFmtId="9" fontId="20" fillId="0" borderId="34" xfId="27" applyFont="1" applyFill="1" applyBorder="1" applyAlignment="1">
      <alignment vertical="center"/>
    </xf>
    <xf numFmtId="5" fontId="20" fillId="0" borderId="57" xfId="10" applyNumberFormat="1" applyFont="1" applyFill="1" applyBorder="1" applyAlignment="1">
      <alignment vertical="center"/>
    </xf>
    <xf numFmtId="5" fontId="20" fillId="0" borderId="58" xfId="10" applyNumberFormat="1" applyFont="1" applyFill="1" applyBorder="1" applyAlignment="1">
      <alignment vertical="center"/>
    </xf>
    <xf numFmtId="172" fontId="20" fillId="0" borderId="58" xfId="10" applyNumberFormat="1" applyFont="1" applyFill="1" applyBorder="1" applyAlignment="1">
      <alignment vertical="center"/>
    </xf>
    <xf numFmtId="4" fontId="34" fillId="9" borderId="19" xfId="27" applyNumberFormat="1" applyFont="1" applyFill="1" applyBorder="1" applyAlignment="1" applyProtection="1">
      <alignment horizontal="center" vertical="center" wrapText="1"/>
    </xf>
    <xf numFmtId="3" fontId="58" fillId="0" borderId="1" xfId="0" applyNumberFormat="1" applyFont="1" applyBorder="1" applyAlignment="1">
      <alignment horizontal="center" vertical="center"/>
    </xf>
    <xf numFmtId="184" fontId="58" fillId="0" borderId="8" xfId="21" applyNumberFormat="1" applyFont="1" applyBorder="1" applyAlignment="1">
      <alignment horizontal="center" vertical="center" wrapText="1"/>
    </xf>
    <xf numFmtId="184" fontId="58" fillId="0" borderId="1" xfId="21" applyNumberFormat="1" applyFont="1" applyBorder="1" applyAlignment="1">
      <alignment horizontal="center" vertical="center" wrapText="1"/>
    </xf>
    <xf numFmtId="184" fontId="58" fillId="0" borderId="9" xfId="21" applyNumberFormat="1" applyFont="1" applyBorder="1" applyAlignment="1">
      <alignment horizontal="center" vertical="center" wrapText="1"/>
    </xf>
    <xf numFmtId="44" fontId="13" fillId="22" borderId="1" xfId="34" applyFont="1" applyFill="1" applyBorder="1" applyAlignment="1">
      <alignment horizontal="center" vertical="center"/>
    </xf>
    <xf numFmtId="3" fontId="12" fillId="9" borderId="10" xfId="27" applyNumberFormat="1" applyFont="1" applyFill="1" applyBorder="1" applyAlignment="1" applyProtection="1">
      <alignment horizontal="center" vertical="center" wrapText="1"/>
    </xf>
    <xf numFmtId="192" fontId="17" fillId="0" borderId="1" xfId="34" applyNumberFormat="1" applyFont="1" applyBorder="1" applyAlignment="1">
      <alignment vertical="center"/>
    </xf>
    <xf numFmtId="176" fontId="13" fillId="22" borderId="1" xfId="0" applyNumberFormat="1" applyFont="1" applyFill="1" applyBorder="1" applyAlignment="1">
      <alignment horizontal="center" vertical="center"/>
    </xf>
    <xf numFmtId="4" fontId="32" fillId="38" borderId="0" xfId="0" applyNumberFormat="1" applyFont="1" applyFill="1" applyAlignment="1">
      <alignment vertical="center"/>
    </xf>
    <xf numFmtId="0" fontId="31" fillId="0" borderId="0" xfId="0" applyFont="1" applyAlignment="1">
      <alignment horizontal="center"/>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3" fontId="0" fillId="0" borderId="0" xfId="0" applyNumberFormat="1" applyAlignment="1">
      <alignment horizontal="right" vertical="top"/>
    </xf>
    <xf numFmtId="14" fontId="0" fillId="0" borderId="0" xfId="0" applyNumberFormat="1" applyAlignment="1">
      <alignment horizontal="right" vertical="top"/>
    </xf>
    <xf numFmtId="182" fontId="12" fillId="19" borderId="0" xfId="21" applyNumberFormat="1" applyFont="1" applyFill="1" applyAlignment="1">
      <alignment horizontal="left" vertical="center" wrapText="1"/>
    </xf>
    <xf numFmtId="190" fontId="73" fillId="24" borderId="0" xfId="0" applyNumberFormat="1" applyFont="1" applyFill="1" applyAlignment="1">
      <alignment horizontal="center" vertical="center"/>
    </xf>
    <xf numFmtId="0" fontId="58" fillId="0" borderId="8" xfId="0" applyFont="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center" wrapText="1"/>
    </xf>
    <xf numFmtId="0" fontId="58" fillId="0" borderId="1" xfId="0" applyFont="1" applyBorder="1" applyAlignment="1">
      <alignment horizontal="justify" vertical="center"/>
    </xf>
    <xf numFmtId="0" fontId="58" fillId="0" borderId="1" xfId="0" applyFont="1" applyBorder="1" applyAlignment="1">
      <alignment horizontal="center" vertical="center" wrapText="1"/>
    </xf>
    <xf numFmtId="3" fontId="58" fillId="0" borderId="1" xfId="27" applyNumberFormat="1" applyFont="1" applyFill="1" applyBorder="1" applyAlignment="1">
      <alignment horizontal="center" vertical="center" wrapText="1"/>
    </xf>
    <xf numFmtId="166" fontId="58" fillId="0" borderId="1" xfId="11" applyFont="1" applyFill="1" applyBorder="1" applyAlignment="1">
      <alignment horizontal="center" vertical="center" wrapText="1"/>
    </xf>
    <xf numFmtId="166" fontId="58" fillId="0" borderId="2" xfId="11" applyFont="1" applyFill="1" applyBorder="1" applyAlignment="1">
      <alignment horizontal="left" vertical="center" wrapText="1"/>
    </xf>
    <xf numFmtId="3" fontId="58" fillId="0" borderId="8" xfId="0" applyNumberFormat="1" applyFont="1" applyBorder="1" applyAlignment="1">
      <alignment horizontal="center" vertical="center"/>
    </xf>
    <xf numFmtId="3" fontId="58" fillId="0" borderId="9" xfId="0" applyNumberFormat="1" applyFont="1" applyBorder="1" applyAlignment="1">
      <alignment horizontal="center" vertical="center"/>
    </xf>
    <xf numFmtId="3" fontId="58" fillId="0" borderId="5" xfId="0" applyNumberFormat="1" applyFont="1" applyBorder="1" applyAlignment="1">
      <alignment horizontal="center" vertical="center"/>
    </xf>
    <xf numFmtId="10" fontId="58" fillId="0" borderId="9" xfId="27" applyNumberFormat="1" applyFont="1" applyFill="1" applyBorder="1" applyAlignment="1">
      <alignment horizontal="center" vertical="center"/>
    </xf>
    <xf numFmtId="0" fontId="58" fillId="0" borderId="9" xfId="27" applyNumberFormat="1" applyFont="1" applyFill="1" applyBorder="1" applyAlignment="1">
      <alignment horizontal="justify" vertical="center" wrapText="1"/>
    </xf>
    <xf numFmtId="0" fontId="58" fillId="0" borderId="0" xfId="0" applyFont="1" applyAlignment="1">
      <alignment vertical="center"/>
    </xf>
    <xf numFmtId="0" fontId="58" fillId="0" borderId="2" xfId="0" applyFont="1" applyBorder="1" applyAlignment="1">
      <alignment horizontal="justify" vertical="center" wrapText="1"/>
    </xf>
    <xf numFmtId="9" fontId="58" fillId="0" borderId="1" xfId="27" applyFont="1" applyFill="1" applyBorder="1" applyAlignment="1">
      <alignment horizontal="center" vertical="center" wrapText="1"/>
    </xf>
    <xf numFmtId="9" fontId="58" fillId="0" borderId="1" xfId="27" applyFont="1" applyFill="1" applyBorder="1" applyAlignment="1">
      <alignment horizontal="center" vertical="center"/>
    </xf>
    <xf numFmtId="9" fontId="58" fillId="0" borderId="8" xfId="27" applyFont="1" applyBorder="1" applyAlignment="1">
      <alignment horizontal="center" vertical="center"/>
    </xf>
    <xf numFmtId="9" fontId="58" fillId="0" borderId="9" xfId="27" applyFont="1" applyFill="1" applyBorder="1" applyAlignment="1">
      <alignment horizontal="center" vertical="center"/>
    </xf>
    <xf numFmtId="3" fontId="58" fillId="0" borderId="1" xfId="27" applyNumberFormat="1" applyFont="1" applyFill="1" applyBorder="1" applyAlignment="1">
      <alignment horizontal="center" vertical="center"/>
    </xf>
    <xf numFmtId="3" fontId="58" fillId="0" borderId="19" xfId="0" applyNumberFormat="1" applyFont="1" applyBorder="1" applyAlignment="1">
      <alignment horizontal="center" vertical="center"/>
    </xf>
    <xf numFmtId="171" fontId="31" fillId="0" borderId="4" xfId="10" applyNumberFormat="1" applyFont="1" applyFill="1" applyBorder="1" applyAlignment="1">
      <alignment vertical="center"/>
    </xf>
    <xf numFmtId="171" fontId="31" fillId="0" borderId="1" xfId="10" applyNumberFormat="1" applyFont="1" applyFill="1" applyBorder="1" applyAlignment="1">
      <alignment vertical="center"/>
    </xf>
    <xf numFmtId="5" fontId="31" fillId="0" borderId="4" xfId="10" applyNumberFormat="1" applyFont="1" applyFill="1" applyBorder="1" applyAlignment="1">
      <alignment vertical="center"/>
    </xf>
    <xf numFmtId="171" fontId="31" fillId="0" borderId="58" xfId="10" applyNumberFormat="1" applyFont="1" applyFill="1" applyBorder="1" applyAlignment="1">
      <alignment vertical="center"/>
    </xf>
    <xf numFmtId="172" fontId="20" fillId="0" borderId="25" xfId="10" applyNumberFormat="1" applyFont="1" applyFill="1" applyBorder="1" applyAlignment="1">
      <alignment vertical="center"/>
    </xf>
    <xf numFmtId="172" fontId="20" fillId="0" borderId="5" xfId="10" applyNumberFormat="1" applyFont="1" applyFill="1" applyBorder="1" applyAlignment="1">
      <alignment vertical="center"/>
    </xf>
    <xf numFmtId="5" fontId="20" fillId="0" borderId="5" xfId="10" applyNumberFormat="1" applyFont="1" applyFill="1" applyBorder="1" applyAlignment="1">
      <alignment vertical="center"/>
    </xf>
    <xf numFmtId="5" fontId="31" fillId="0" borderId="1" xfId="10" applyNumberFormat="1" applyFont="1" applyFill="1" applyBorder="1" applyAlignment="1">
      <alignment vertical="center"/>
    </xf>
    <xf numFmtId="171" fontId="20" fillId="0" borderId="19" xfId="10" applyNumberFormat="1" applyFont="1" applyFill="1" applyBorder="1" applyAlignment="1">
      <alignment vertical="center"/>
    </xf>
    <xf numFmtId="9" fontId="11" fillId="0" borderId="1" xfId="0" applyNumberFormat="1" applyFont="1" applyBorder="1" applyAlignment="1">
      <alignment horizontal="center" vertical="center" wrapText="1"/>
    </xf>
    <xf numFmtId="9" fontId="11" fillId="46"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0" fontId="36" fillId="0" borderId="1" xfId="0" applyFont="1" applyBorder="1"/>
    <xf numFmtId="0" fontId="36" fillId="0" borderId="4" xfId="0" applyFont="1" applyBorder="1"/>
    <xf numFmtId="0" fontId="12" fillId="9" borderId="10" xfId="0" applyFont="1" applyFill="1" applyBorder="1" applyAlignment="1">
      <alignment vertical="center" wrapText="1"/>
    </xf>
    <xf numFmtId="0" fontId="13" fillId="22" borderId="1" xfId="0" applyFont="1" applyFill="1" applyBorder="1" applyAlignment="1">
      <alignment vertical="center"/>
    </xf>
    <xf numFmtId="0" fontId="13" fillId="22" borderId="0" xfId="0" applyFont="1" applyFill="1" applyAlignment="1">
      <alignment vertical="center"/>
    </xf>
    <xf numFmtId="0" fontId="13" fillId="22" borderId="28" xfId="0" applyFont="1" applyFill="1" applyBorder="1" applyAlignment="1">
      <alignment vertical="center"/>
    </xf>
    <xf numFmtId="3" fontId="58" fillId="44" borderId="1" xfId="0" applyNumberFormat="1" applyFont="1" applyFill="1" applyBorder="1" applyAlignment="1">
      <alignment horizontal="center" vertical="center"/>
    </xf>
    <xf numFmtId="3" fontId="89" fillId="44" borderId="1" xfId="0" applyNumberFormat="1" applyFont="1" applyFill="1" applyBorder="1" applyAlignment="1">
      <alignment horizontal="center" vertical="center"/>
    </xf>
    <xf numFmtId="3" fontId="89" fillId="44" borderId="19" xfId="0" applyNumberFormat="1" applyFont="1" applyFill="1" applyBorder="1" applyAlignment="1">
      <alignment horizontal="center" vertical="center"/>
    </xf>
    <xf numFmtId="0" fontId="71" fillId="0" borderId="0" xfId="0" applyFont="1" applyAlignment="1">
      <alignment horizontal="center" vertical="center" wrapText="1"/>
    </xf>
    <xf numFmtId="0" fontId="98" fillId="0" borderId="0" xfId="21" applyFont="1" applyAlignment="1">
      <alignment vertical="center" wrapText="1"/>
    </xf>
    <xf numFmtId="0" fontId="71" fillId="0" borderId="0" xfId="0" applyFont="1" applyAlignment="1">
      <alignment horizontal="center" vertical="center"/>
    </xf>
    <xf numFmtId="0" fontId="71" fillId="0" borderId="0" xfId="0" applyFont="1" applyAlignment="1">
      <alignment vertical="center"/>
    </xf>
    <xf numFmtId="165" fontId="71" fillId="0" borderId="0" xfId="14" applyFont="1" applyAlignment="1">
      <alignment horizontal="center" vertical="center" wrapText="1"/>
    </xf>
    <xf numFmtId="165" fontId="71" fillId="0" borderId="0" xfId="14" applyFont="1" applyAlignment="1">
      <alignment horizontal="center" vertical="center"/>
    </xf>
    <xf numFmtId="165" fontId="71" fillId="0" borderId="0" xfId="14" applyFont="1" applyAlignment="1">
      <alignment vertical="center"/>
    </xf>
    <xf numFmtId="3" fontId="88" fillId="0" borderId="0" xfId="14" applyNumberFormat="1" applyFont="1" applyAlignment="1">
      <alignment horizontal="center" vertical="center" wrapText="1"/>
    </xf>
    <xf numFmtId="165" fontId="88" fillId="0" borderId="0" xfId="14" applyFont="1" applyBorder="1" applyAlignment="1">
      <alignment horizontal="center" vertical="center" wrapText="1"/>
    </xf>
    <xf numFmtId="165" fontId="88" fillId="0" borderId="0" xfId="14" applyFont="1" applyAlignment="1">
      <alignment horizontal="center" vertical="center"/>
    </xf>
    <xf numFmtId="165" fontId="88" fillId="0" borderId="0" xfId="14" applyFont="1" applyAlignment="1">
      <alignment vertical="center"/>
    </xf>
    <xf numFmtId="9" fontId="99" fillId="0" borderId="0" xfId="21" applyNumberFormat="1" applyFont="1" applyAlignment="1">
      <alignment vertical="center" wrapText="1"/>
    </xf>
    <xf numFmtId="0" fontId="88" fillId="0" borderId="0" xfId="0" applyFont="1" applyAlignment="1">
      <alignment horizontal="center" vertical="center"/>
    </xf>
    <xf numFmtId="0" fontId="88" fillId="0" borderId="0" xfId="0" applyFont="1" applyAlignment="1">
      <alignment vertical="center"/>
    </xf>
    <xf numFmtId="9" fontId="45" fillId="0" borderId="0" xfId="21" applyNumberFormat="1" applyFont="1" applyAlignment="1">
      <alignment horizontal="justify" vertical="center" wrapText="1"/>
    </xf>
    <xf numFmtId="9" fontId="45" fillId="0" borderId="0" xfId="21" applyNumberFormat="1" applyFont="1" applyAlignment="1">
      <alignment horizontal="center" vertical="center" wrapText="1"/>
    </xf>
    <xf numFmtId="3" fontId="45" fillId="0" borderId="0" xfId="21" applyNumberFormat="1" applyFont="1" applyAlignment="1">
      <alignment horizontal="center" vertical="center" wrapText="1"/>
    </xf>
    <xf numFmtId="177" fontId="88" fillId="0" borderId="0" xfId="14" applyNumberFormat="1" applyFont="1" applyAlignment="1">
      <alignment horizontal="center" vertical="center" wrapText="1"/>
    </xf>
    <xf numFmtId="0" fontId="87" fillId="2" borderId="0" xfId="21" applyFont="1" applyFill="1" applyAlignment="1">
      <alignment vertical="center" wrapText="1"/>
    </xf>
    <xf numFmtId="0" fontId="71" fillId="0" borderId="0" xfId="0" applyFont="1" applyAlignment="1">
      <alignment vertical="center" wrapText="1"/>
    </xf>
    <xf numFmtId="177" fontId="71" fillId="0" borderId="0" xfId="14" applyNumberFormat="1" applyFont="1" applyAlignment="1">
      <alignment horizontal="center" vertical="center" wrapText="1"/>
    </xf>
    <xf numFmtId="0" fontId="88" fillId="0" borderId="0" xfId="0" applyFont="1" applyAlignment="1">
      <alignment horizontal="justify" vertical="center" wrapText="1"/>
    </xf>
    <xf numFmtId="0" fontId="98" fillId="0" borderId="0" xfId="0" applyFont="1" applyAlignment="1">
      <alignment horizontal="justify" vertical="center" wrapText="1"/>
    </xf>
    <xf numFmtId="0" fontId="98" fillId="0" borderId="0" xfId="0" applyFont="1" applyAlignment="1">
      <alignment vertical="center"/>
    </xf>
    <xf numFmtId="9" fontId="45" fillId="0" borderId="0" xfId="21" applyNumberFormat="1" applyFont="1" applyAlignment="1">
      <alignment horizontal="justify" vertical="top" wrapText="1"/>
    </xf>
    <xf numFmtId="4" fontId="89" fillId="44" borderId="1" xfId="0" applyNumberFormat="1" applyFont="1" applyFill="1" applyBorder="1" applyAlignment="1">
      <alignment horizontal="center" vertical="center"/>
    </xf>
    <xf numFmtId="171" fontId="27" fillId="0" borderId="32" xfId="10" applyNumberFormat="1" applyFont="1" applyFill="1" applyBorder="1" applyAlignment="1">
      <alignment vertical="center"/>
    </xf>
    <xf numFmtId="172" fontId="27" fillId="0" borderId="4" xfId="10" applyNumberFormat="1" applyFont="1" applyFill="1" applyBorder="1" applyAlignment="1">
      <alignment vertical="center"/>
    </xf>
    <xf numFmtId="171" fontId="27" fillId="0" borderId="4" xfId="10" applyNumberFormat="1" applyFont="1" applyFill="1" applyBorder="1" applyAlignment="1">
      <alignment vertical="center"/>
    </xf>
    <xf numFmtId="9" fontId="27" fillId="0" borderId="34" xfId="27" applyFont="1" applyFill="1" applyBorder="1" applyAlignment="1">
      <alignment vertical="center"/>
    </xf>
    <xf numFmtId="171" fontId="27" fillId="0" borderId="1" xfId="10" applyNumberFormat="1" applyFont="1" applyFill="1" applyBorder="1" applyAlignment="1">
      <alignment vertical="center"/>
    </xf>
    <xf numFmtId="9" fontId="27" fillId="0" borderId="9" xfId="27" applyFont="1" applyFill="1" applyBorder="1" applyAlignment="1">
      <alignment vertical="center"/>
    </xf>
    <xf numFmtId="6" fontId="97" fillId="0" borderId="19" xfId="0" applyNumberFormat="1" applyFont="1" applyBorder="1" applyAlignment="1">
      <alignment vertical="center" wrapText="1"/>
    </xf>
    <xf numFmtId="5" fontId="27" fillId="0" borderId="58" xfId="10" applyNumberFormat="1" applyFont="1" applyFill="1" applyBorder="1" applyAlignment="1">
      <alignment vertical="center"/>
    </xf>
    <xf numFmtId="171" fontId="0" fillId="0" borderId="58" xfId="10" applyNumberFormat="1" applyFont="1" applyFill="1" applyBorder="1" applyAlignment="1">
      <alignment vertical="center"/>
    </xf>
    <xf numFmtId="172" fontId="27" fillId="0" borderId="58" xfId="10" applyNumberFormat="1" applyFont="1" applyFill="1" applyBorder="1" applyAlignment="1">
      <alignment vertical="center"/>
    </xf>
    <xf numFmtId="9" fontId="27" fillId="0" borderId="33" xfId="27" applyFont="1" applyFill="1" applyBorder="1" applyAlignment="1">
      <alignment vertical="center"/>
    </xf>
    <xf numFmtId="5" fontId="20" fillId="0" borderId="32" xfId="10" applyNumberFormat="1" applyFont="1" applyFill="1" applyBorder="1" applyAlignment="1">
      <alignment vertical="center"/>
    </xf>
    <xf numFmtId="172" fontId="20" fillId="0" borderId="57" xfId="10" applyNumberFormat="1" applyFont="1" applyFill="1" applyBorder="1" applyAlignment="1">
      <alignment vertical="center"/>
    </xf>
    <xf numFmtId="171" fontId="20" fillId="0" borderId="57" xfId="10" applyNumberFormat="1" applyFont="1" applyFill="1" applyBorder="1" applyAlignment="1">
      <alignment vertical="center"/>
    </xf>
    <xf numFmtId="0" fontId="58" fillId="19" borderId="5" xfId="27" applyNumberFormat="1" applyFont="1" applyFill="1" applyBorder="1" applyAlignment="1">
      <alignment horizontal="left" vertical="center" wrapText="1"/>
    </xf>
    <xf numFmtId="0" fontId="58" fillId="0" borderId="5" xfId="27" applyNumberFormat="1" applyFont="1" applyFill="1" applyBorder="1" applyAlignment="1">
      <alignment horizontal="left" vertical="center" wrapText="1"/>
    </xf>
    <xf numFmtId="3" fontId="32" fillId="9" borderId="22" xfId="0" applyNumberFormat="1" applyFont="1" applyFill="1" applyBorder="1" applyAlignment="1">
      <alignment horizontal="center" vertical="center"/>
    </xf>
    <xf numFmtId="3" fontId="32" fillId="9" borderId="0" xfId="0" applyNumberFormat="1" applyFont="1" applyFill="1" applyAlignment="1">
      <alignment horizontal="center" vertical="center"/>
    </xf>
    <xf numFmtId="3" fontId="32" fillId="9" borderId="3" xfId="0" applyNumberFormat="1" applyFont="1" applyFill="1" applyBorder="1" applyAlignment="1">
      <alignment horizontal="center" vertical="center"/>
    </xf>
    <xf numFmtId="0" fontId="58" fillId="0" borderId="5" xfId="27" applyNumberFormat="1" applyFont="1" applyFill="1" applyBorder="1" applyAlignment="1">
      <alignment vertical="center" wrapText="1"/>
    </xf>
    <xf numFmtId="0" fontId="58" fillId="0" borderId="5" xfId="0" applyFont="1" applyBorder="1" applyAlignment="1">
      <alignment horizontal="left" vertical="center" wrapText="1"/>
    </xf>
    <xf numFmtId="0" fontId="58" fillId="0" borderId="49" xfId="27" applyNumberFormat="1" applyFont="1" applyFill="1" applyBorder="1" applyAlignment="1">
      <alignment horizontal="left" vertical="top" wrapText="1"/>
    </xf>
    <xf numFmtId="0" fontId="58" fillId="0" borderId="1" xfId="27" applyNumberFormat="1" applyFont="1" applyFill="1" applyBorder="1" applyAlignment="1">
      <alignment horizontal="justify" vertical="top" wrapText="1"/>
    </xf>
    <xf numFmtId="0" fontId="58" fillId="0" borderId="9" xfId="0" applyFont="1" applyBorder="1" applyAlignment="1">
      <alignment horizontal="justify" vertical="top" wrapText="1"/>
    </xf>
    <xf numFmtId="0" fontId="58" fillId="0" borderId="19" xfId="27" applyNumberFormat="1" applyFont="1" applyFill="1" applyBorder="1" applyAlignment="1">
      <alignment horizontal="justify" vertical="center" wrapText="1"/>
    </xf>
    <xf numFmtId="0" fontId="58" fillId="0" borderId="33" xfId="0" applyFont="1" applyBorder="1" applyAlignment="1">
      <alignment horizontal="justify" vertical="center" wrapText="1"/>
    </xf>
    <xf numFmtId="0" fontId="11" fillId="0" borderId="0" xfId="0" applyFont="1" applyAlignment="1">
      <alignment horizontal="left" vertical="center"/>
    </xf>
    <xf numFmtId="172" fontId="27" fillId="44" borderId="4" xfId="10" applyNumberFormat="1" applyFont="1" applyFill="1" applyBorder="1" applyAlignment="1">
      <alignment vertical="center"/>
    </xf>
    <xf numFmtId="172" fontId="27" fillId="44" borderId="58" xfId="10" applyNumberFormat="1" applyFont="1" applyFill="1" applyBorder="1" applyAlignment="1">
      <alignment vertical="center"/>
    </xf>
    <xf numFmtId="44" fontId="0" fillId="0" borderId="0" xfId="0" applyNumberFormat="1" applyAlignment="1">
      <alignment vertical="center"/>
    </xf>
    <xf numFmtId="6" fontId="97" fillId="44" borderId="19" xfId="0" applyNumberFormat="1" applyFont="1" applyFill="1" applyBorder="1" applyAlignment="1">
      <alignment vertical="center" wrapText="1"/>
    </xf>
    <xf numFmtId="0" fontId="0" fillId="0" borderId="0" xfId="0" applyAlignment="1">
      <alignment vertical="top" wrapText="1"/>
    </xf>
    <xf numFmtId="1" fontId="12" fillId="9" borderId="10" xfId="27" applyNumberFormat="1" applyFont="1" applyFill="1" applyBorder="1" applyAlignment="1" applyProtection="1">
      <alignment vertical="center" wrapText="1"/>
    </xf>
    <xf numFmtId="171" fontId="20" fillId="44" borderId="1" xfId="10" applyNumberFormat="1" applyFont="1" applyFill="1" applyBorder="1" applyAlignment="1">
      <alignment vertical="center"/>
    </xf>
    <xf numFmtId="171" fontId="20" fillId="44" borderId="19" xfId="10" applyNumberFormat="1" applyFont="1" applyFill="1" applyBorder="1" applyAlignment="1">
      <alignment vertical="center"/>
    </xf>
    <xf numFmtId="10" fontId="20" fillId="0" borderId="9" xfId="27" applyNumberFormat="1" applyFont="1" applyFill="1" applyBorder="1" applyAlignment="1">
      <alignment vertical="center"/>
    </xf>
    <xf numFmtId="171" fontId="31" fillId="44" borderId="4" xfId="10" applyNumberFormat="1" applyFont="1" applyFill="1" applyBorder="1" applyAlignment="1">
      <alignment vertical="center"/>
    </xf>
    <xf numFmtId="9" fontId="11" fillId="0" borderId="0" xfId="21" applyNumberFormat="1" applyFont="1" applyAlignment="1">
      <alignment horizontal="justify" vertical="top" wrapText="1"/>
    </xf>
    <xf numFmtId="0" fontId="17" fillId="44" borderId="1" xfId="0" applyFont="1" applyFill="1" applyBorder="1" applyAlignment="1">
      <alignment horizontal="center" vertical="center"/>
    </xf>
    <xf numFmtId="187" fontId="12" fillId="9" borderId="19" xfId="27" applyNumberFormat="1" applyFont="1" applyFill="1" applyBorder="1" applyAlignment="1" applyProtection="1">
      <alignment horizontal="center" vertical="center" wrapText="1"/>
    </xf>
    <xf numFmtId="0" fontId="36" fillId="0" borderId="0" xfId="0" applyFont="1" applyAlignment="1">
      <alignment vertical="top" wrapText="1"/>
    </xf>
    <xf numFmtId="165" fontId="31" fillId="0" borderId="0" xfId="14" applyFont="1" applyAlignment="1">
      <alignment horizontal="center" vertical="center"/>
    </xf>
    <xf numFmtId="4" fontId="89" fillId="0" borderId="1" xfId="0" applyNumberFormat="1" applyFont="1" applyBorder="1" applyAlignment="1">
      <alignment horizontal="center" vertical="center"/>
    </xf>
    <xf numFmtId="184" fontId="89" fillId="44" borderId="1" xfId="0" applyNumberFormat="1" applyFont="1" applyFill="1" applyBorder="1" applyAlignment="1">
      <alignment horizontal="center" vertical="center"/>
    </xf>
    <xf numFmtId="184" fontId="89" fillId="0" borderId="8" xfId="0" applyNumberFormat="1" applyFont="1" applyBorder="1" applyAlignment="1">
      <alignment horizontal="center" vertical="center"/>
    </xf>
    <xf numFmtId="9" fontId="58" fillId="0" borderId="1" xfId="27" applyFont="1" applyBorder="1" applyAlignment="1">
      <alignment horizontal="center" vertical="center"/>
    </xf>
    <xf numFmtId="182" fontId="31" fillId="44" borderId="1" xfId="10" applyNumberFormat="1" applyFont="1" applyFill="1" applyBorder="1" applyAlignment="1">
      <alignment vertical="center"/>
    </xf>
    <xf numFmtId="182" fontId="31" fillId="0" borderId="4" xfId="10" applyNumberFormat="1" applyFont="1" applyFill="1" applyBorder="1" applyAlignment="1">
      <alignment vertical="center"/>
    </xf>
    <xf numFmtId="182" fontId="95" fillId="0" borderId="4" xfId="10" applyNumberFormat="1" applyFont="1" applyFill="1" applyBorder="1" applyAlignment="1">
      <alignment vertical="center"/>
    </xf>
    <xf numFmtId="182" fontId="95" fillId="0" borderId="1" xfId="10" applyNumberFormat="1" applyFont="1" applyFill="1" applyBorder="1" applyAlignment="1">
      <alignment vertical="center"/>
    </xf>
    <xf numFmtId="182" fontId="31" fillId="0" borderId="1" xfId="10" applyNumberFormat="1" applyFont="1" applyFill="1" applyBorder="1" applyAlignment="1">
      <alignment vertical="center"/>
    </xf>
    <xf numFmtId="182" fontId="31" fillId="44" borderId="19" xfId="10" applyNumberFormat="1" applyFont="1" applyFill="1" applyBorder="1" applyAlignment="1">
      <alignment vertical="center"/>
    </xf>
    <xf numFmtId="182" fontId="95" fillId="0" borderId="19" xfId="10" applyNumberFormat="1" applyFont="1" applyFill="1" applyBorder="1" applyAlignment="1">
      <alignment vertical="center"/>
    </xf>
    <xf numFmtId="0" fontId="58" fillId="24" borderId="1" xfId="27" applyNumberFormat="1" applyFont="1" applyFill="1" applyBorder="1" applyAlignment="1">
      <alignment horizontal="justify"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12" fillId="20" borderId="8"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0"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6" fillId="44" borderId="1" xfId="21" applyFont="1" applyFill="1" applyBorder="1" applyAlignment="1" applyProtection="1">
      <alignment horizontal="left" vertical="center" wrapText="1"/>
      <protection locked="0"/>
    </xf>
    <xf numFmtId="0" fontId="32" fillId="44" borderId="1" xfId="21" applyFont="1" applyFill="1" applyBorder="1" applyAlignment="1" applyProtection="1">
      <alignment horizontal="left" vertical="center" wrapText="1"/>
      <protection locked="0"/>
    </xf>
    <xf numFmtId="0" fontId="32" fillId="44" borderId="9" xfId="21" applyFont="1" applyFill="1" applyBorder="1" applyAlignment="1" applyProtection="1">
      <alignment horizontal="left" vertical="center" wrapText="1"/>
      <protection locked="0"/>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1" fillId="20" borderId="1" xfId="21" applyFont="1" applyFill="1" applyBorder="1" applyAlignment="1">
      <alignment horizontal="center" vertical="center" wrapText="1"/>
    </xf>
    <xf numFmtId="0" fontId="12" fillId="20" borderId="3" xfId="21" applyFont="1" applyFill="1" applyBorder="1" applyAlignment="1">
      <alignment horizontal="center" vertical="center" wrapText="1"/>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0" fontId="36" fillId="0" borderId="55"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6" fillId="0" borderId="3" xfId="0" applyFont="1" applyBorder="1" applyAlignment="1">
      <alignment vertical="center" wrapText="1"/>
    </xf>
    <xf numFmtId="0" fontId="36" fillId="0" borderId="25" xfId="0" applyFont="1" applyBorder="1" applyAlignment="1">
      <alignment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0" fontId="11" fillId="45" borderId="55" xfId="0" applyFont="1" applyFill="1" applyBorder="1" applyAlignment="1">
      <alignment horizontal="justify" vertical="center" wrapText="1"/>
    </xf>
    <xf numFmtId="0" fontId="11" fillId="45" borderId="22" xfId="0" applyFont="1" applyFill="1" applyBorder="1" applyAlignment="1">
      <alignment horizontal="justify" vertical="center" wrapText="1"/>
    </xf>
    <xf numFmtId="0" fontId="11" fillId="45" borderId="95" xfId="0" applyFont="1" applyFill="1" applyBorder="1" applyAlignment="1">
      <alignment horizontal="justify" vertical="center" wrapText="1"/>
    </xf>
    <xf numFmtId="0" fontId="11" fillId="45" borderId="64" xfId="0" applyFont="1" applyFill="1" applyBorder="1" applyAlignment="1">
      <alignment horizontal="justify" vertical="center" wrapText="1"/>
    </xf>
    <xf numFmtId="0" fontId="11" fillId="45" borderId="0" xfId="0" applyFont="1" applyFill="1" applyAlignment="1">
      <alignment horizontal="justify" vertical="center" wrapText="1"/>
    </xf>
    <xf numFmtId="0" fontId="11" fillId="45" borderId="96" xfId="0" applyFont="1" applyFill="1" applyBorder="1" applyAlignment="1">
      <alignment horizontal="justify" vertical="center" wrapText="1"/>
    </xf>
    <xf numFmtId="0" fontId="36" fillId="45" borderId="55" xfId="0" applyFont="1" applyFill="1" applyBorder="1" applyAlignment="1">
      <alignment horizontal="justify" vertical="center" wrapText="1"/>
    </xf>
    <xf numFmtId="0" fontId="36" fillId="45" borderId="22" xfId="0" applyFont="1" applyFill="1" applyBorder="1" applyAlignment="1">
      <alignment horizontal="justify" vertical="center" wrapText="1"/>
    </xf>
    <xf numFmtId="0" fontId="36" fillId="45" borderId="95" xfId="0" applyFont="1" applyFill="1" applyBorder="1" applyAlignment="1">
      <alignment horizontal="justify" vertical="center" wrapText="1"/>
    </xf>
    <xf numFmtId="0" fontId="36" fillId="45" borderId="64" xfId="0" applyFont="1" applyFill="1" applyBorder="1" applyAlignment="1">
      <alignment horizontal="justify" vertical="center" wrapText="1"/>
    </xf>
    <xf numFmtId="0" fontId="36" fillId="45" borderId="0" xfId="0" applyFont="1" applyFill="1" applyAlignment="1">
      <alignment horizontal="justify" vertical="center" wrapText="1"/>
    </xf>
    <xf numFmtId="0" fontId="36" fillId="45" borderId="96" xfId="0" applyFont="1" applyFill="1" applyBorder="1" applyAlignment="1">
      <alignment horizontal="justify" vertical="center" wrapText="1"/>
    </xf>
    <xf numFmtId="0" fontId="36" fillId="0" borderId="55" xfId="0" applyFont="1" applyBorder="1" applyAlignment="1">
      <alignment horizontal="justify" vertical="center" wrapText="1"/>
    </xf>
    <xf numFmtId="0" fontId="36" fillId="0" borderId="22" xfId="0" applyFont="1" applyBorder="1" applyAlignment="1">
      <alignment horizontal="justify" vertical="center" wrapText="1"/>
    </xf>
    <xf numFmtId="0" fontId="36" fillId="0" borderId="64" xfId="0" applyFont="1" applyBorder="1" applyAlignment="1">
      <alignment horizontal="justify" vertical="center" wrapText="1"/>
    </xf>
    <xf numFmtId="0" fontId="36" fillId="0" borderId="0" xfId="0" applyFont="1" applyAlignment="1">
      <alignment horizontal="justify" vertical="center" wrapText="1"/>
    </xf>
    <xf numFmtId="0" fontId="36" fillId="45" borderId="55" xfId="0" applyFont="1" applyFill="1" applyBorder="1" applyAlignment="1">
      <alignment vertical="center" wrapText="1"/>
    </xf>
    <xf numFmtId="0" fontId="36" fillId="45" borderId="22" xfId="0" applyFont="1" applyFill="1" applyBorder="1" applyAlignment="1">
      <alignment vertical="center" wrapText="1"/>
    </xf>
    <xf numFmtId="0" fontId="36" fillId="45" borderId="23" xfId="0" applyFont="1" applyFill="1" applyBorder="1" applyAlignment="1">
      <alignment vertical="center" wrapText="1"/>
    </xf>
    <xf numFmtId="0" fontId="36" fillId="45" borderId="20" xfId="0" applyFont="1" applyFill="1" applyBorder="1" applyAlignment="1">
      <alignment vertical="center" wrapText="1"/>
    </xf>
    <xf numFmtId="0" fontId="36" fillId="45" borderId="3" xfId="0" applyFont="1" applyFill="1" applyBorder="1" applyAlignment="1">
      <alignment vertical="center" wrapText="1"/>
    </xf>
    <xf numFmtId="0" fontId="36" fillId="45" borderId="25" xfId="0" applyFont="1" applyFill="1" applyBorder="1" applyAlignment="1">
      <alignment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23" xfId="29" applyFont="1" applyFill="1" applyBorder="1" applyAlignment="1" applyProtection="1">
      <alignment horizontal="justify"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0" fontId="12" fillId="20" borderId="42" xfId="21" applyFont="1" applyFill="1" applyBorder="1" applyAlignment="1">
      <alignment horizontal="center"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45" fillId="0" borderId="77" xfId="0" applyNumberFormat="1" applyFont="1" applyBorder="1" applyAlignment="1">
      <alignment horizontal="center" vertical="center" wrapText="1"/>
    </xf>
    <xf numFmtId="0" fontId="44" fillId="0" borderId="82" xfId="0" applyFont="1" applyBorder="1"/>
    <xf numFmtId="2" fontId="11" fillId="0" borderId="40" xfId="21" applyNumberFormat="1" applyFont="1" applyBorder="1" applyAlignment="1">
      <alignment horizontal="justify" vertical="center" wrapText="1"/>
    </xf>
    <xf numFmtId="2" fontId="11" fillId="0" borderId="8"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0" fontId="43" fillId="28" borderId="80" xfId="0" applyFont="1" applyFill="1" applyBorder="1" applyAlignment="1">
      <alignment horizontal="center" vertical="center" wrapText="1"/>
    </xf>
    <xf numFmtId="0" fontId="44" fillId="0" borderId="81" xfId="0" applyFont="1" applyBorder="1"/>
    <xf numFmtId="0" fontId="44" fillId="0" borderId="78" xfId="0" applyFont="1" applyBorder="1"/>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41" xfId="21" applyFont="1" applyFill="1" applyBorder="1" applyAlignment="1">
      <alignment horizontal="left" vertical="center" wrapText="1"/>
    </xf>
    <xf numFmtId="0" fontId="12" fillId="20" borderId="63" xfId="21" applyFont="1" applyFill="1" applyBorder="1" applyAlignment="1">
      <alignment horizontal="left" vertical="center" wrapText="1"/>
    </xf>
    <xf numFmtId="0" fontId="12" fillId="20" borderId="51" xfId="21" applyFont="1" applyFill="1" applyBorder="1" applyAlignment="1">
      <alignment horizontal="left" vertical="center" wrapText="1"/>
    </xf>
    <xf numFmtId="0" fontId="12" fillId="20" borderId="55" xfId="21" applyFont="1" applyFill="1" applyBorder="1" applyAlignment="1">
      <alignment horizontal="left" vertical="center" wrapText="1"/>
    </xf>
    <xf numFmtId="0" fontId="12" fillId="20" borderId="22" xfId="21" applyFont="1" applyFill="1" applyBorder="1" applyAlignment="1">
      <alignment horizontal="left" vertical="center" wrapText="1"/>
    </xf>
    <xf numFmtId="0" fontId="12" fillId="20" borderId="61" xfId="21" applyFont="1" applyFill="1" applyBorder="1" applyAlignment="1">
      <alignment horizontal="left" vertical="center" wrapText="1"/>
    </xf>
    <xf numFmtId="9" fontId="11" fillId="0" borderId="0" xfId="21" applyNumberFormat="1" applyFont="1" applyAlignment="1">
      <alignment horizontal="justify" vertical="top"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0" fontId="43" fillId="28" borderId="77" xfId="0" applyFont="1" applyFill="1" applyBorder="1" applyAlignment="1">
      <alignment horizontal="center" vertical="center" wrapText="1"/>
    </xf>
    <xf numFmtId="9" fontId="12" fillId="0" borderId="58" xfId="21" applyNumberFormat="1" applyFont="1" applyBorder="1" applyAlignment="1">
      <alignment horizontal="center" vertical="center" wrapText="1"/>
    </xf>
    <xf numFmtId="9" fontId="36" fillId="0" borderId="30"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39" xfId="21" applyNumberFormat="1" applyFont="1" applyBorder="1" applyAlignment="1">
      <alignment horizontal="left" vertical="center" wrapText="1"/>
    </xf>
    <xf numFmtId="9" fontId="36" fillId="0" borderId="15" xfId="21" applyNumberFormat="1" applyFont="1" applyBorder="1" applyAlignment="1">
      <alignment horizontal="left" vertical="center" wrapText="1"/>
    </xf>
    <xf numFmtId="9" fontId="36" fillId="0" borderId="16" xfId="21" applyNumberFormat="1" applyFont="1" applyBorder="1" applyAlignment="1">
      <alignment horizontal="left" vertical="center" wrapText="1"/>
    </xf>
    <xf numFmtId="0" fontId="36" fillId="0" borderId="0" xfId="0" applyFont="1" applyAlignment="1">
      <alignment horizontal="left" vertical="top" wrapText="1"/>
    </xf>
    <xf numFmtId="9" fontId="11" fillId="0" borderId="0" xfId="21" applyNumberFormat="1" applyFont="1" applyAlignment="1">
      <alignment horizontal="left" vertical="top" wrapText="1"/>
    </xf>
    <xf numFmtId="0" fontId="100" fillId="0" borderId="0" xfId="0" applyFont="1" applyAlignment="1">
      <alignment horizontal="left" vertical="top" wrapText="1"/>
    </xf>
    <xf numFmtId="0" fontId="36" fillId="43" borderId="0" xfId="0" applyFont="1" applyFill="1" applyAlignment="1">
      <alignment horizontal="left" vertical="top" wrapText="1"/>
    </xf>
    <xf numFmtId="9" fontId="12" fillId="0" borderId="10" xfId="27" applyFont="1" applyBorder="1" applyAlignment="1">
      <alignment horizontal="center" vertical="center" wrapText="1"/>
    </xf>
    <xf numFmtId="9" fontId="12" fillId="0" borderId="4" xfId="27" applyFont="1" applyBorder="1" applyAlignment="1">
      <alignment horizontal="center" vertical="center" wrapText="1"/>
    </xf>
    <xf numFmtId="9" fontId="11" fillId="0" borderId="55" xfId="21" applyNumberFormat="1" applyFont="1" applyBorder="1" applyAlignment="1">
      <alignment horizontal="justify" vertical="center" wrapText="1"/>
    </xf>
    <xf numFmtId="9" fontId="11" fillId="0" borderId="22" xfId="21" applyNumberFormat="1" applyFont="1" applyBorder="1" applyAlignment="1">
      <alignment horizontal="justify" vertical="center" wrapText="1"/>
    </xf>
    <xf numFmtId="9" fontId="11" fillId="0" borderId="61" xfId="21" applyNumberFormat="1" applyFont="1" applyBorder="1" applyAlignment="1">
      <alignment horizontal="justify" vertical="center" wrapText="1"/>
    </xf>
    <xf numFmtId="9" fontId="11" fillId="0" borderId="64" xfId="21" applyNumberFormat="1" applyFont="1" applyBorder="1" applyAlignment="1">
      <alignment horizontal="justify" vertical="center" wrapText="1"/>
    </xf>
    <xf numFmtId="9" fontId="11" fillId="0" borderId="0" xfId="21" applyNumberFormat="1" applyFont="1" applyAlignment="1">
      <alignment horizontal="justify" vertical="center" wrapText="1"/>
    </xf>
    <xf numFmtId="9" fontId="11" fillId="0" borderId="14" xfId="21" applyNumberFormat="1" applyFont="1" applyBorder="1" applyAlignment="1">
      <alignment horizontal="justify" vertical="center" wrapText="1"/>
    </xf>
    <xf numFmtId="9" fontId="11" fillId="0" borderId="59" xfId="21" applyNumberFormat="1" applyFont="1" applyBorder="1" applyAlignment="1">
      <alignment horizontal="justify" vertical="center" wrapText="1"/>
    </xf>
    <xf numFmtId="9" fontId="11" fillId="0" borderId="15" xfId="21" applyNumberFormat="1" applyFont="1" applyBorder="1" applyAlignment="1">
      <alignment horizontal="justify" vertical="center" wrapText="1"/>
    </xf>
    <xf numFmtId="9" fontId="11" fillId="0" borderId="16" xfId="21" applyNumberFormat="1" applyFont="1" applyBorder="1" applyAlignment="1">
      <alignment horizontal="justify" vertical="center" wrapText="1"/>
    </xf>
    <xf numFmtId="9" fontId="36" fillId="24" borderId="55" xfId="29" applyFont="1" applyFill="1" applyBorder="1" applyAlignment="1" applyProtection="1">
      <alignment horizontal="left" vertical="center" wrapText="1"/>
    </xf>
    <xf numFmtId="9" fontId="36" fillId="24" borderId="22" xfId="29" applyFont="1" applyFill="1" applyBorder="1" applyAlignment="1" applyProtection="1">
      <alignment horizontal="left" vertical="center" wrapText="1"/>
    </xf>
    <xf numFmtId="9" fontId="36" fillId="24" borderId="23" xfId="29" applyFont="1" applyFill="1" applyBorder="1" applyAlignment="1" applyProtection="1">
      <alignment horizontal="left" vertical="center" wrapText="1"/>
    </xf>
    <xf numFmtId="9" fontId="36" fillId="24" borderId="59" xfId="29" applyFont="1" applyFill="1" applyBorder="1" applyAlignment="1" applyProtection="1">
      <alignment horizontal="left" vertical="center" wrapText="1"/>
    </xf>
    <xf numFmtId="9" fontId="36" fillId="24" borderId="15" xfId="29" applyFont="1" applyFill="1" applyBorder="1" applyAlignment="1" applyProtection="1">
      <alignment horizontal="left" vertical="center" wrapText="1"/>
    </xf>
    <xf numFmtId="9" fontId="36" fillId="24" borderId="60" xfId="29" applyFont="1" applyFill="1" applyBorder="1" applyAlignment="1" applyProtection="1">
      <alignment horizontal="left" vertical="center" wrapText="1"/>
    </xf>
    <xf numFmtId="9" fontId="36" fillId="24" borderId="55" xfId="29" applyFont="1" applyFill="1" applyBorder="1" applyAlignment="1" applyProtection="1">
      <alignment horizontal="justify" vertical="center" wrapText="1"/>
    </xf>
    <xf numFmtId="9" fontId="36" fillId="24" borderId="22" xfId="29" applyFont="1" applyFill="1" applyBorder="1" applyAlignment="1" applyProtection="1">
      <alignment horizontal="justify" vertical="center" wrapText="1"/>
    </xf>
    <xf numFmtId="9" fontId="36" fillId="24" borderId="59" xfId="29" applyFont="1" applyFill="1" applyBorder="1" applyAlignment="1" applyProtection="1">
      <alignment horizontal="justify" vertical="center" wrapText="1"/>
    </xf>
    <xf numFmtId="9" fontId="36" fillId="24" borderId="15" xfId="29" applyFont="1" applyFill="1" applyBorder="1" applyAlignment="1" applyProtection="1">
      <alignment horizontal="justify" vertical="center" wrapText="1"/>
    </xf>
    <xf numFmtId="9" fontId="11" fillId="0" borderId="55" xfId="29" applyFont="1" applyFill="1" applyBorder="1" applyAlignment="1" applyProtection="1">
      <alignment horizontal="justify" vertical="center" wrapText="1"/>
    </xf>
    <xf numFmtId="9" fontId="11" fillId="0" borderId="55" xfId="21" applyNumberFormat="1" applyFont="1" applyBorder="1" applyAlignment="1">
      <alignment horizontal="left" vertical="center" wrapText="1"/>
    </xf>
    <xf numFmtId="9" fontId="11" fillId="0" borderId="22" xfId="21" applyNumberFormat="1" applyFont="1" applyBorder="1" applyAlignment="1">
      <alignment horizontal="left" vertical="center" wrapText="1"/>
    </xf>
    <xf numFmtId="9" fontId="11" fillId="0" borderId="61" xfId="21" applyNumberFormat="1" applyFont="1" applyBorder="1" applyAlignment="1">
      <alignment horizontal="left" vertical="center" wrapText="1"/>
    </xf>
    <xf numFmtId="9" fontId="11" fillId="0" borderId="64" xfId="21" applyNumberFormat="1" applyFont="1" applyBorder="1" applyAlignment="1">
      <alignment horizontal="left" vertical="center" wrapText="1"/>
    </xf>
    <xf numFmtId="9" fontId="11" fillId="0" borderId="0" xfId="21" applyNumberFormat="1" applyFont="1" applyAlignment="1">
      <alignment horizontal="left" vertical="center" wrapText="1"/>
    </xf>
    <xf numFmtId="9" fontId="11" fillId="0" borderId="14" xfId="21" applyNumberFormat="1" applyFont="1" applyBorder="1" applyAlignment="1">
      <alignment horizontal="left" vertical="center" wrapText="1"/>
    </xf>
    <xf numFmtId="0" fontId="12" fillId="20" borderId="2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2" fillId="20" borderId="39"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0" fontId="12" fillId="19" borderId="5"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12" fillId="0" borderId="2" xfId="2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19" borderId="0" xfId="21" applyFont="1" applyFill="1" applyAlignment="1">
      <alignment horizontal="center" vertical="center" wrapText="1"/>
    </xf>
    <xf numFmtId="9" fontId="33" fillId="0" borderId="23"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0" fontId="12" fillId="19" borderId="6"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1" applyNumberFormat="1" applyFont="1" applyBorder="1" applyAlignment="1">
      <alignment horizontal="center" vertical="center" wrapText="1"/>
    </xf>
    <xf numFmtId="2" fontId="11" fillId="0" borderId="58"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5" xfId="21" applyFont="1" applyFill="1" applyBorder="1" applyAlignment="1">
      <alignment horizontal="center" vertical="center" wrapText="1"/>
    </xf>
    <xf numFmtId="0" fontId="12" fillId="19" borderId="2" xfId="21" applyFont="1" applyFill="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34" fillId="0" borderId="0" xfId="0" applyFont="1" applyAlignment="1">
      <alignment horizontal="right" vertical="center"/>
    </xf>
    <xf numFmtId="0" fontId="32" fillId="0" borderId="0" xfId="0" applyFont="1" applyAlignment="1">
      <alignment horizontal="right" vertical="center"/>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12" fillId="0" borderId="56" xfId="0" applyFont="1" applyBorder="1" applyAlignment="1">
      <alignment vertical="center" wrapText="1"/>
    </xf>
    <xf numFmtId="0" fontId="12" fillId="9" borderId="1" xfId="0" applyFont="1" applyFill="1" applyBorder="1" applyAlignment="1">
      <alignment horizontal="left" vertical="center"/>
    </xf>
    <xf numFmtId="0" fontId="12" fillId="9" borderId="1" xfId="0" applyFont="1" applyFill="1" applyBorder="1" applyAlignment="1">
      <alignment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6" xfId="0" applyFont="1" applyFill="1" applyBorder="1" applyAlignment="1">
      <alignment vertical="center" wrapText="1"/>
    </xf>
    <xf numFmtId="0" fontId="12" fillId="9" borderId="5" xfId="0" applyFont="1" applyFill="1" applyBorder="1" applyAlignment="1">
      <alignment horizontal="left" vertical="center" wrapText="1"/>
    </xf>
    <xf numFmtId="0" fontId="12" fillId="9" borderId="41"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63" xfId="0" applyFont="1" applyFill="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4" xfId="0" applyFont="1" applyFill="1" applyBorder="1" applyAlignment="1">
      <alignment vertical="center"/>
    </xf>
    <xf numFmtId="0" fontId="13" fillId="19" borderId="1" xfId="0" applyFont="1" applyFill="1" applyBorder="1" applyAlignment="1">
      <alignment horizontal="center" vertical="center"/>
    </xf>
    <xf numFmtId="0" fontId="12" fillId="9" borderId="9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vertical="center" wrapText="1"/>
    </xf>
    <xf numFmtId="0" fontId="12" fillId="9" borderId="51" xfId="0" applyFont="1" applyFill="1" applyBorder="1" applyAlignment="1">
      <alignment horizontal="center" vertical="center" wrapText="1"/>
    </xf>
    <xf numFmtId="0" fontId="12" fillId="9" borderId="41" xfId="0" applyFont="1" applyFill="1" applyBorder="1" applyAlignment="1">
      <alignment vertical="center" wrapText="1"/>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12" fillId="9" borderId="83" xfId="0" applyFont="1" applyFill="1" applyBorder="1" applyAlignment="1">
      <alignment horizontal="center" vertical="center" wrapText="1"/>
    </xf>
    <xf numFmtId="0" fontId="12" fillId="9" borderId="84"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34" fillId="0" borderId="1" xfId="0" applyFont="1" applyBorder="1" applyAlignment="1">
      <alignment horizontal="center" vertical="center" wrapText="1"/>
    </xf>
    <xf numFmtId="0" fontId="12" fillId="9" borderId="35"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6"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3" fontId="12" fillId="19" borderId="21" xfId="21" applyNumberFormat="1" applyFont="1" applyFill="1" applyBorder="1" applyAlignment="1">
      <alignment horizontal="left" vertical="center" wrapText="1"/>
    </xf>
    <xf numFmtId="3" fontId="12" fillId="19" borderId="65" xfId="21" applyNumberFormat="1" applyFont="1" applyFill="1" applyBorder="1" applyAlignment="1">
      <alignment horizontal="left" vertical="center" wrapText="1"/>
    </xf>
    <xf numFmtId="3" fontId="12" fillId="19" borderId="4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5" xfId="21" applyFont="1" applyFill="1" applyBorder="1" applyAlignment="1">
      <alignment horizontal="lef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3" fontId="12" fillId="19" borderId="2" xfId="21" applyNumberFormat="1" applyFont="1" applyFill="1" applyBorder="1" applyAlignment="1">
      <alignment horizontal="left" vertical="center" wrapText="1"/>
    </xf>
    <xf numFmtId="3" fontId="12" fillId="19" borderId="56" xfId="21" applyNumberFormat="1" applyFont="1" applyFill="1" applyBorder="1" applyAlignment="1">
      <alignment horizontal="left" vertical="center" wrapText="1"/>
    </xf>
    <xf numFmtId="3" fontId="12" fillId="19" borderId="5" xfId="21" applyNumberFormat="1" applyFont="1" applyFill="1" applyBorder="1" applyAlignment="1">
      <alignment horizontal="left" vertical="center" wrapText="1"/>
    </xf>
    <xf numFmtId="0" fontId="12" fillId="23" borderId="55" xfId="21" applyFont="1" applyFill="1" applyBorder="1" applyAlignment="1">
      <alignment horizontal="center" vertical="center" wrapText="1"/>
    </xf>
    <xf numFmtId="0" fontId="12" fillId="23" borderId="22" xfId="21" applyFont="1" applyFill="1" applyBorder="1" applyAlignment="1">
      <alignment horizontal="center" vertical="center" wrapText="1"/>
    </xf>
    <xf numFmtId="0" fontId="12" fillId="23" borderId="23" xfId="21" applyFont="1" applyFill="1" applyBorder="1" applyAlignment="1">
      <alignment horizontal="center" vertical="center" wrapText="1"/>
    </xf>
    <xf numFmtId="0" fontId="12" fillId="23" borderId="64" xfId="21" applyFont="1" applyFill="1" applyBorder="1" applyAlignment="1">
      <alignment horizontal="center" vertical="center" wrapText="1"/>
    </xf>
    <xf numFmtId="0" fontId="12" fillId="23" borderId="0" xfId="21" applyFont="1" applyFill="1" applyAlignment="1">
      <alignment horizontal="center" vertical="center" wrapText="1"/>
    </xf>
    <xf numFmtId="0" fontId="12" fillId="23" borderId="24" xfId="21" applyFont="1" applyFill="1" applyBorder="1" applyAlignment="1">
      <alignment horizontal="center" vertical="center" wrapText="1"/>
    </xf>
    <xf numFmtId="0" fontId="12" fillId="23" borderId="59" xfId="21" applyFont="1" applyFill="1" applyBorder="1" applyAlignment="1">
      <alignment horizontal="center" vertical="center" wrapText="1"/>
    </xf>
    <xf numFmtId="0" fontId="12" fillId="23" borderId="15" xfId="21" applyFont="1" applyFill="1" applyBorder="1" applyAlignment="1">
      <alignment horizontal="center" vertical="center" wrapText="1"/>
    </xf>
    <xf numFmtId="0" fontId="12" fillId="23" borderId="60" xfId="21" applyFont="1" applyFill="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49" xfId="21" applyFont="1" applyFill="1" applyBorder="1" applyAlignment="1">
      <alignment horizontal="left" vertical="center" wrapText="1"/>
    </xf>
    <xf numFmtId="0" fontId="32" fillId="0" borderId="50" xfId="0" applyFont="1" applyBorder="1" applyAlignment="1">
      <alignment horizontal="left" vertical="center"/>
    </xf>
    <xf numFmtId="0" fontId="32" fillId="0" borderId="63" xfId="0" applyFont="1" applyBorder="1" applyAlignment="1">
      <alignment horizontal="left" vertical="center"/>
    </xf>
    <xf numFmtId="0" fontId="32" fillId="0" borderId="51" xfId="0" applyFont="1" applyBorder="1" applyAlignment="1">
      <alignment horizontal="left" vertical="center"/>
    </xf>
    <xf numFmtId="0" fontId="12" fillId="19" borderId="54"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55" xfId="21" applyNumberFormat="1" applyFont="1" applyFill="1" applyBorder="1" applyAlignment="1">
      <alignment horizontal="center" vertical="center" wrapText="1"/>
    </xf>
    <xf numFmtId="3" fontId="12" fillId="23" borderId="22" xfId="21" applyNumberFormat="1" applyFont="1" applyFill="1" applyBorder="1" applyAlignment="1">
      <alignment horizontal="center" vertical="center" wrapText="1"/>
    </xf>
    <xf numFmtId="3" fontId="12" fillId="23" borderId="23" xfId="21" applyNumberFormat="1" applyFont="1" applyFill="1" applyBorder="1" applyAlignment="1">
      <alignment horizontal="center" vertical="center" wrapText="1"/>
    </xf>
    <xf numFmtId="3" fontId="12" fillId="23" borderId="64" xfId="21" applyNumberFormat="1" applyFont="1" applyFill="1" applyBorder="1" applyAlignment="1">
      <alignment horizontal="center" vertical="center" wrapText="1"/>
    </xf>
    <xf numFmtId="3" fontId="12" fillId="23" borderId="0" xfId="21" applyNumberFormat="1" applyFont="1" applyFill="1" applyAlignment="1">
      <alignment horizontal="center" vertical="center" wrapText="1"/>
    </xf>
    <xf numFmtId="3" fontId="12" fillId="23" borderId="24" xfId="21" applyNumberFormat="1" applyFont="1" applyFill="1" applyBorder="1" applyAlignment="1">
      <alignment horizontal="center" vertical="center" wrapText="1"/>
    </xf>
    <xf numFmtId="3" fontId="12" fillId="23" borderId="59" xfId="21" applyNumberFormat="1" applyFont="1" applyFill="1" applyBorder="1" applyAlignment="1">
      <alignment horizontal="center" vertical="center" wrapText="1"/>
    </xf>
    <xf numFmtId="3" fontId="12" fillId="23" borderId="15" xfId="21" applyNumberFormat="1" applyFont="1" applyFill="1" applyBorder="1" applyAlignment="1">
      <alignment horizontal="center" vertical="center" wrapText="1"/>
    </xf>
    <xf numFmtId="3" fontId="12" fillId="23" borderId="60" xfId="21" applyNumberFormat="1" applyFont="1" applyFill="1" applyBorder="1" applyAlignment="1">
      <alignment horizontal="center" vertical="center" wrapText="1"/>
    </xf>
    <xf numFmtId="0" fontId="34" fillId="23" borderId="30" xfId="21" applyFont="1" applyFill="1" applyBorder="1" applyAlignment="1">
      <alignment horizontal="center" vertical="center" wrapText="1"/>
    </xf>
    <xf numFmtId="0" fontId="34" fillId="23" borderId="22" xfId="21" applyFont="1" applyFill="1" applyBorder="1" applyAlignment="1">
      <alignment horizontal="center" vertical="center" wrapText="1"/>
    </xf>
    <xf numFmtId="0" fontId="34" fillId="23" borderId="23" xfId="21" applyFont="1" applyFill="1" applyBorder="1" applyAlignment="1">
      <alignment horizontal="center" vertical="center" wrapText="1"/>
    </xf>
    <xf numFmtId="0" fontId="34" fillId="23" borderId="13" xfId="21" applyFont="1" applyFill="1" applyBorder="1" applyAlignment="1">
      <alignment horizontal="center" vertical="center" wrapText="1"/>
    </xf>
    <xf numFmtId="0" fontId="34" fillId="23" borderId="0" xfId="21" applyFont="1" applyFill="1" applyAlignment="1">
      <alignment horizontal="center" vertical="center" wrapText="1"/>
    </xf>
    <xf numFmtId="0" fontId="34" fillId="23" borderId="24" xfId="21" applyFont="1" applyFill="1" applyBorder="1" applyAlignment="1">
      <alignment horizontal="center" vertical="center" wrapText="1"/>
    </xf>
    <xf numFmtId="0" fontId="34" fillId="23" borderId="39" xfId="21" applyFont="1" applyFill="1" applyBorder="1" applyAlignment="1">
      <alignment horizontal="center" vertical="center" wrapText="1"/>
    </xf>
    <xf numFmtId="0" fontId="34" fillId="23" borderId="15" xfId="21" applyFont="1" applyFill="1" applyBorder="1" applyAlignment="1">
      <alignment horizontal="center" vertical="center" wrapText="1"/>
    </xf>
    <xf numFmtId="0" fontId="34" fillId="23" borderId="60" xfId="21"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6"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vertical="center"/>
    </xf>
    <xf numFmtId="44" fontId="31" fillId="0" borderId="0" xfId="34" applyFont="1"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99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2143125</xdr:colOff>
      <xdr:row>3</xdr:row>
      <xdr:rowOff>226569</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476375" cy="1363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539750</xdr:colOff>
      <xdr:row>0</xdr:row>
      <xdr:rowOff>69850</xdr:rowOff>
    </xdr:from>
    <xdr:to>
      <xdr:col>0</xdr:col>
      <xdr:colOff>1968499</xdr:colOff>
      <xdr:row>3</xdr:row>
      <xdr:rowOff>198646</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4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539750</xdr:colOff>
      <xdr:row>0</xdr:row>
      <xdr:rowOff>69850</xdr:rowOff>
    </xdr:from>
    <xdr:to>
      <xdr:col>0</xdr:col>
      <xdr:colOff>1968499</xdr:colOff>
      <xdr:row>3</xdr:row>
      <xdr:rowOff>198646</xdr:rowOff>
    </xdr:to>
    <xdr:pic>
      <xdr:nvPicPr>
        <xdr:cNvPr id="3" name="Picture 47">
          <a:extLst>
            <a:ext uri="{FF2B5EF4-FFF2-40B4-BE49-F238E27FC236}">
              <a16:creationId xmlns:a16="http://schemas.microsoft.com/office/drawing/2014/main" id="{88146C58-74F5-4346-BEA4-21CB8630B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69850"/>
          <a:ext cx="1428749" cy="123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13</xdr:col>
      <xdr:colOff>269308</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66775" y="1524000"/>
          <a:ext cx="9394258" cy="243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207673%20meta%201%20y%20territorializacion%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efreshError="1">
        <row r="22">
          <cell r="Q22">
            <v>1390832000</v>
          </cell>
          <cell r="R22">
            <v>0</v>
          </cell>
          <cell r="S22">
            <v>5539000</v>
          </cell>
          <cell r="T22">
            <v>57865000</v>
          </cell>
          <cell r="U22">
            <v>462556907.29999995</v>
          </cell>
          <cell r="V22">
            <v>131550627.86000001</v>
          </cell>
          <cell r="W22">
            <v>342977252</v>
          </cell>
          <cell r="X22">
            <v>0</v>
          </cell>
          <cell r="Y22">
            <v>10550000</v>
          </cell>
          <cell r="Z22">
            <v>0</v>
          </cell>
          <cell r="AA22">
            <v>0</v>
          </cell>
          <cell r="AB22">
            <v>0</v>
          </cell>
        </row>
        <row r="23">
          <cell r="Q23">
            <v>1342336167</v>
          </cell>
          <cell r="R23">
            <v>0</v>
          </cell>
          <cell r="S2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2" dT="2022-08-05T13:20:51.55" personId="{114774B9-990D-4578-8FE7-0DC23A1405F0}" id="{99670F4B-7746-4724-AE5E-73E371D851EF}">
    <text>Mod.Presupuestal - se disminuye el valor programado en $67.649.873, lo anterior teniendo en cuenta el ajuste en el valor de la meta de $2.401.870.787 a $2.334.220.914 realizado en el mes de julio de 2022.</text>
  </threadedComment>
  <threadedComment ref="Y23" dT="2022-10-06T16:24:05.91" personId="{114774B9-990D-4578-8FE7-0DC23A1405F0}" id="{07433EE9-1D20-4C9C-A105-D7DE781EA1AA}">
    <text>En septiembre se comprometen recursos por $420.718.101, y se liberan $1.442..000 contra segundo pago asociados al CPS 948 de 2022 (comprometido en julio)</text>
  </threadedComment>
  <threadedComment ref="O24" dT="2022-05-04T21:26:15.31" personId="{114774B9-990D-4578-8FE7-0DC23A1405F0}" id="{388F3DCC-A166-4ED4-A18D-503E5E909C66}">
    <text>En junio no se presentan liberaciones
En mayo se restan $4,167,765 asociados a la liberación del contrato 163-2020 con ETB.
En abril se restan $4.759.996, asociados a la liberación del contrato con PANAMERICANA.</text>
  </threadedComment>
</ThreadedComments>
</file>

<file path=xl/threadedComments/threadedComment2.xml><?xml version="1.0" encoding="utf-8"?>
<ThreadedComments xmlns="http://schemas.microsoft.com/office/spreadsheetml/2018/threadedcomments" xmlns:x="http://schemas.openxmlformats.org/spreadsheetml/2006/main">
  <threadedComment ref="W22" dT="2022-08-05T13:32:31.85" personId="{114774B9-990D-4578-8FE7-0DC23A1405F0}" id="{6FEB5E4C-DB18-413F-9D43-D0B9CAFACD5D}">
    <text>Mod.Presupuestal - se disminuye el valor programado en $28.052.082, lo anterior teniendo en cuenta el ajuste en el valor de la meta de $1.608.626.713 a $1.580.574.504 realizado en el mes de julio de 2022.</text>
  </threadedComment>
  <threadedComment ref="AB24" dT="2022-08-05T13:33:43.26" personId="{114774B9-990D-4578-8FE7-0DC23A1405F0}" id="{E3BC3753-A808-42C8-8CE5-3F084592B09F}">
    <text>Mod.Presupuestal - se disminuye el valor programado en giros $28.052.082, lo anterior teniendo en cuenta el ajuste en el valor de la meta de $1.608.626.713 a $1.580.574.504 realizado en el mes de julio de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rgb="FF99FF99"/>
    <pageSetUpPr fitToPage="1"/>
  </sheetPr>
  <dimension ref="A1:AT51"/>
  <sheetViews>
    <sheetView showGridLines="0" view="pageBreakPreview" topLeftCell="L34" zoomScale="60" zoomScaleNormal="75" workbookViewId="0">
      <selection activeCell="W34" sqref="W34:Z35"/>
    </sheetView>
  </sheetViews>
  <sheetFormatPr baseColWidth="10" defaultColWidth="10.85546875" defaultRowHeight="15"/>
  <cols>
    <col min="1" max="1" width="38.5703125" style="50" customWidth="1"/>
    <col min="2" max="2" width="12.140625" style="50" customWidth="1"/>
    <col min="3" max="3" width="17.85546875" style="50" customWidth="1"/>
    <col min="4" max="7" width="16" style="50" customWidth="1"/>
    <col min="8" max="8" width="14" style="50" bestFit="1" customWidth="1"/>
    <col min="9" max="9" width="14.42578125" style="50" bestFit="1" customWidth="1"/>
    <col min="10" max="10" width="13.42578125" style="50" bestFit="1" customWidth="1"/>
    <col min="11" max="11" width="13" style="50" bestFit="1" customWidth="1"/>
    <col min="12" max="14" width="9.7109375" style="50" customWidth="1"/>
    <col min="15" max="15" width="19.42578125" style="50" bestFit="1" customWidth="1"/>
    <col min="16" max="16" width="15.7109375" style="50" customWidth="1"/>
    <col min="17" max="17" width="18.42578125" style="50" customWidth="1"/>
    <col min="18" max="19" width="15.85546875" style="50" customWidth="1"/>
    <col min="20" max="20" width="15" style="50" bestFit="1" customWidth="1"/>
    <col min="21" max="21" width="15.140625" style="50" bestFit="1" customWidth="1"/>
    <col min="22" max="22" width="14.7109375" style="50" bestFit="1" customWidth="1"/>
    <col min="23" max="23" width="15.140625" style="50" bestFit="1" customWidth="1"/>
    <col min="24" max="28" width="16" style="50" customWidth="1"/>
    <col min="29" max="29" width="23.5703125" style="50" customWidth="1"/>
    <col min="30" max="30" width="10.140625" style="50" bestFit="1" customWidth="1"/>
    <col min="31" max="31" width="15.7109375" style="50" customWidth="1"/>
    <col min="32" max="32" width="27.140625" style="50" customWidth="1"/>
    <col min="33" max="33" width="3.28515625" style="50" customWidth="1"/>
    <col min="34" max="34" width="16.85546875" style="50" bestFit="1" customWidth="1"/>
    <col min="35" max="38" width="15.7109375" style="531" customWidth="1"/>
    <col min="39" max="39" width="15.7109375" style="512" customWidth="1"/>
    <col min="40" max="40" width="18.42578125" style="512" bestFit="1" customWidth="1"/>
    <col min="41" max="41" width="16.85546875" style="512" customWidth="1"/>
    <col min="42" max="42" width="23" style="512" bestFit="1" customWidth="1"/>
    <col min="43" max="43" width="10.85546875" style="512"/>
    <col min="44" max="44" width="18.42578125" style="50" bestFit="1" customWidth="1"/>
    <col min="45" max="45" width="16.140625" style="50" customWidth="1"/>
    <col min="46" max="259" width="10.85546875" style="50"/>
    <col min="260" max="260" width="42" style="50" customWidth="1"/>
    <col min="261" max="261" width="21.7109375" style="50" customWidth="1"/>
    <col min="262" max="273" width="20.7109375" style="50" customWidth="1"/>
    <col min="274" max="274" width="16.140625" style="50" customWidth="1"/>
    <col min="275" max="286" width="18.140625" style="50" customWidth="1"/>
    <col min="287" max="287" width="22.7109375" style="50" customWidth="1"/>
    <col min="288" max="288" width="19" style="50" customWidth="1"/>
    <col min="289" max="289" width="19.42578125" style="50" customWidth="1"/>
    <col min="290" max="290" width="6.28515625" style="50" bestFit="1" customWidth="1"/>
    <col min="291" max="291" width="22.85546875" style="50" customWidth="1"/>
    <col min="292" max="292" width="18.42578125" style="50" bestFit="1" customWidth="1"/>
    <col min="293" max="293" width="8.42578125" style="50" customWidth="1"/>
    <col min="294" max="294" width="18.42578125" style="50" bestFit="1" customWidth="1"/>
    <col min="295" max="295" width="5.7109375" style="50" customWidth="1"/>
    <col min="296" max="296" width="18.42578125" style="50" bestFit="1" customWidth="1"/>
    <col min="297" max="297" width="4.7109375" style="50" customWidth="1"/>
    <col min="298" max="298" width="23" style="50" bestFit="1" customWidth="1"/>
    <col min="299" max="299" width="10.85546875" style="50"/>
    <col min="300" max="300" width="18.42578125" style="50" bestFit="1" customWidth="1"/>
    <col min="301" max="301" width="16.140625" style="50" customWidth="1"/>
    <col min="302" max="515" width="10.85546875" style="50"/>
    <col min="516" max="516" width="42" style="50" customWidth="1"/>
    <col min="517" max="517" width="21.7109375" style="50" customWidth="1"/>
    <col min="518" max="529" width="20.7109375" style="50" customWidth="1"/>
    <col min="530" max="530" width="16.140625" style="50" customWidth="1"/>
    <col min="531" max="542" width="18.140625" style="50" customWidth="1"/>
    <col min="543" max="543" width="22.7109375" style="50" customWidth="1"/>
    <col min="544" max="544" width="19" style="50" customWidth="1"/>
    <col min="545" max="545" width="19.42578125" style="50" customWidth="1"/>
    <col min="546" max="546" width="6.28515625" style="50" bestFit="1" customWidth="1"/>
    <col min="547" max="547" width="22.85546875" style="50" customWidth="1"/>
    <col min="548" max="548" width="18.42578125" style="50" bestFit="1" customWidth="1"/>
    <col min="549" max="549" width="8.42578125" style="50" customWidth="1"/>
    <col min="550" max="550" width="18.42578125" style="50" bestFit="1" customWidth="1"/>
    <col min="551" max="551" width="5.7109375" style="50" customWidth="1"/>
    <col min="552" max="552" width="18.42578125" style="50" bestFit="1" customWidth="1"/>
    <col min="553" max="553" width="4.7109375" style="50" customWidth="1"/>
    <col min="554" max="554" width="23" style="50" bestFit="1" customWidth="1"/>
    <col min="555" max="555" width="10.85546875" style="50"/>
    <col min="556" max="556" width="18.42578125" style="50" bestFit="1" customWidth="1"/>
    <col min="557" max="557" width="16.140625" style="50" customWidth="1"/>
    <col min="558" max="771" width="10.85546875" style="50"/>
    <col min="772" max="772" width="42" style="50" customWidth="1"/>
    <col min="773" max="773" width="21.7109375" style="50" customWidth="1"/>
    <col min="774" max="785" width="20.7109375" style="50" customWidth="1"/>
    <col min="786" max="786" width="16.140625" style="50" customWidth="1"/>
    <col min="787" max="798" width="18.140625" style="50" customWidth="1"/>
    <col min="799" max="799" width="22.7109375" style="50" customWidth="1"/>
    <col min="800" max="800" width="19" style="50" customWidth="1"/>
    <col min="801" max="801" width="19.42578125" style="50" customWidth="1"/>
    <col min="802" max="802" width="6.28515625" style="50" bestFit="1" customWidth="1"/>
    <col min="803" max="803" width="22.85546875" style="50" customWidth="1"/>
    <col min="804" max="804" width="18.42578125" style="50" bestFit="1" customWidth="1"/>
    <col min="805" max="805" width="8.42578125" style="50" customWidth="1"/>
    <col min="806" max="806" width="18.42578125" style="50" bestFit="1" customWidth="1"/>
    <col min="807" max="807" width="5.7109375" style="50" customWidth="1"/>
    <col min="808" max="808" width="18.42578125" style="50" bestFit="1" customWidth="1"/>
    <col min="809" max="809" width="4.7109375" style="50" customWidth="1"/>
    <col min="810" max="810" width="23" style="50" bestFit="1" customWidth="1"/>
    <col min="811" max="811" width="10.85546875" style="50"/>
    <col min="812" max="812" width="18.42578125" style="50" bestFit="1" customWidth="1"/>
    <col min="813" max="813" width="16.140625" style="50" customWidth="1"/>
    <col min="814" max="1027" width="10.85546875" style="50"/>
    <col min="1028" max="1028" width="42" style="50" customWidth="1"/>
    <col min="1029" max="1029" width="21.7109375" style="50" customWidth="1"/>
    <col min="1030" max="1041" width="20.7109375" style="50" customWidth="1"/>
    <col min="1042" max="1042" width="16.140625" style="50" customWidth="1"/>
    <col min="1043" max="1054" width="18.140625" style="50" customWidth="1"/>
    <col min="1055" max="1055" width="22.7109375" style="50" customWidth="1"/>
    <col min="1056" max="1056" width="19" style="50" customWidth="1"/>
    <col min="1057" max="1057" width="19.42578125" style="50" customWidth="1"/>
    <col min="1058" max="1058" width="6.28515625" style="50" bestFit="1" customWidth="1"/>
    <col min="1059" max="1059" width="22.85546875" style="50" customWidth="1"/>
    <col min="1060" max="1060" width="18.42578125" style="50" bestFit="1" customWidth="1"/>
    <col min="1061" max="1061" width="8.42578125" style="50" customWidth="1"/>
    <col min="1062" max="1062" width="18.42578125" style="50" bestFit="1" customWidth="1"/>
    <col min="1063" max="1063" width="5.7109375" style="50" customWidth="1"/>
    <col min="1064" max="1064" width="18.42578125" style="50" bestFit="1" customWidth="1"/>
    <col min="1065" max="1065" width="4.7109375" style="50" customWidth="1"/>
    <col min="1066" max="1066" width="23" style="50" bestFit="1" customWidth="1"/>
    <col min="1067" max="1067" width="10.85546875" style="50"/>
    <col min="1068" max="1068" width="18.42578125" style="50" bestFit="1" customWidth="1"/>
    <col min="1069" max="1069" width="16.140625" style="50" customWidth="1"/>
    <col min="1070" max="1283" width="10.85546875" style="50"/>
    <col min="1284" max="1284" width="42" style="50" customWidth="1"/>
    <col min="1285" max="1285" width="21.7109375" style="50" customWidth="1"/>
    <col min="1286" max="1297" width="20.7109375" style="50" customWidth="1"/>
    <col min="1298" max="1298" width="16.140625" style="50" customWidth="1"/>
    <col min="1299" max="1310" width="18.140625" style="50" customWidth="1"/>
    <col min="1311" max="1311" width="22.7109375" style="50" customWidth="1"/>
    <col min="1312" max="1312" width="19" style="50" customWidth="1"/>
    <col min="1313" max="1313" width="19.42578125" style="50" customWidth="1"/>
    <col min="1314" max="1314" width="6.28515625" style="50" bestFit="1" customWidth="1"/>
    <col min="1315" max="1315" width="22.85546875" style="50" customWidth="1"/>
    <col min="1316" max="1316" width="18.42578125" style="50" bestFit="1" customWidth="1"/>
    <col min="1317" max="1317" width="8.42578125" style="50" customWidth="1"/>
    <col min="1318" max="1318" width="18.42578125" style="50" bestFit="1" customWidth="1"/>
    <col min="1319" max="1319" width="5.7109375" style="50" customWidth="1"/>
    <col min="1320" max="1320" width="18.42578125" style="50" bestFit="1" customWidth="1"/>
    <col min="1321" max="1321" width="4.7109375" style="50" customWidth="1"/>
    <col min="1322" max="1322" width="23" style="50" bestFit="1" customWidth="1"/>
    <col min="1323" max="1323" width="10.85546875" style="50"/>
    <col min="1324" max="1324" width="18.42578125" style="50" bestFit="1" customWidth="1"/>
    <col min="1325" max="1325" width="16.140625" style="50" customWidth="1"/>
    <col min="1326" max="1539" width="10.85546875" style="50"/>
    <col min="1540" max="1540" width="42" style="50" customWidth="1"/>
    <col min="1541" max="1541" width="21.7109375" style="50" customWidth="1"/>
    <col min="1542" max="1553" width="20.7109375" style="50" customWidth="1"/>
    <col min="1554" max="1554" width="16.140625" style="50" customWidth="1"/>
    <col min="1555" max="1566" width="18.140625" style="50" customWidth="1"/>
    <col min="1567" max="1567" width="22.7109375" style="50" customWidth="1"/>
    <col min="1568" max="1568" width="19" style="50" customWidth="1"/>
    <col min="1569" max="1569" width="19.42578125" style="50" customWidth="1"/>
    <col min="1570" max="1570" width="6.28515625" style="50" bestFit="1" customWidth="1"/>
    <col min="1571" max="1571" width="22.85546875" style="50" customWidth="1"/>
    <col min="1572" max="1572" width="18.42578125" style="50" bestFit="1" customWidth="1"/>
    <col min="1573" max="1573" width="8.42578125" style="50" customWidth="1"/>
    <col min="1574" max="1574" width="18.42578125" style="50" bestFit="1" customWidth="1"/>
    <col min="1575" max="1575" width="5.7109375" style="50" customWidth="1"/>
    <col min="1576" max="1576" width="18.42578125" style="50" bestFit="1" customWidth="1"/>
    <col min="1577" max="1577" width="4.7109375" style="50" customWidth="1"/>
    <col min="1578" max="1578" width="23" style="50" bestFit="1" customWidth="1"/>
    <col min="1579" max="1579" width="10.85546875" style="50"/>
    <col min="1580" max="1580" width="18.42578125" style="50" bestFit="1" customWidth="1"/>
    <col min="1581" max="1581" width="16.140625" style="50" customWidth="1"/>
    <col min="1582" max="1795" width="10.85546875" style="50"/>
    <col min="1796" max="1796" width="42" style="50" customWidth="1"/>
    <col min="1797" max="1797" width="21.7109375" style="50" customWidth="1"/>
    <col min="1798" max="1809" width="20.7109375" style="50" customWidth="1"/>
    <col min="1810" max="1810" width="16.140625" style="50" customWidth="1"/>
    <col min="1811" max="1822" width="18.140625" style="50" customWidth="1"/>
    <col min="1823" max="1823" width="22.7109375" style="50" customWidth="1"/>
    <col min="1824" max="1824" width="19" style="50" customWidth="1"/>
    <col min="1825" max="1825" width="19.42578125" style="50" customWidth="1"/>
    <col min="1826" max="1826" width="6.28515625" style="50" bestFit="1" customWidth="1"/>
    <col min="1827" max="1827" width="22.85546875" style="50" customWidth="1"/>
    <col min="1828" max="1828" width="18.42578125" style="50" bestFit="1" customWidth="1"/>
    <col min="1829" max="1829" width="8.42578125" style="50" customWidth="1"/>
    <col min="1830" max="1830" width="18.42578125" style="50" bestFit="1" customWidth="1"/>
    <col min="1831" max="1831" width="5.7109375" style="50" customWidth="1"/>
    <col min="1832" max="1832" width="18.42578125" style="50" bestFit="1" customWidth="1"/>
    <col min="1833" max="1833" width="4.7109375" style="50" customWidth="1"/>
    <col min="1834" max="1834" width="23" style="50" bestFit="1" customWidth="1"/>
    <col min="1835" max="1835" width="10.85546875" style="50"/>
    <col min="1836" max="1836" width="18.42578125" style="50" bestFit="1" customWidth="1"/>
    <col min="1837" max="1837" width="16.140625" style="50" customWidth="1"/>
    <col min="1838" max="2051" width="10.85546875" style="50"/>
    <col min="2052" max="2052" width="42" style="50" customWidth="1"/>
    <col min="2053" max="2053" width="21.7109375" style="50" customWidth="1"/>
    <col min="2054" max="2065" width="20.7109375" style="50" customWidth="1"/>
    <col min="2066" max="2066" width="16.140625" style="50" customWidth="1"/>
    <col min="2067" max="2078" width="18.140625" style="50" customWidth="1"/>
    <col min="2079" max="2079" width="22.7109375" style="50" customWidth="1"/>
    <col min="2080" max="2080" width="19" style="50" customWidth="1"/>
    <col min="2081" max="2081" width="19.42578125" style="50" customWidth="1"/>
    <col min="2082" max="2082" width="6.28515625" style="50" bestFit="1" customWidth="1"/>
    <col min="2083" max="2083" width="22.85546875" style="50" customWidth="1"/>
    <col min="2084" max="2084" width="18.42578125" style="50" bestFit="1" customWidth="1"/>
    <col min="2085" max="2085" width="8.42578125" style="50" customWidth="1"/>
    <col min="2086" max="2086" width="18.42578125" style="50" bestFit="1" customWidth="1"/>
    <col min="2087" max="2087" width="5.7109375" style="50" customWidth="1"/>
    <col min="2088" max="2088" width="18.42578125" style="50" bestFit="1" customWidth="1"/>
    <col min="2089" max="2089" width="4.7109375" style="50" customWidth="1"/>
    <col min="2090" max="2090" width="23" style="50" bestFit="1" customWidth="1"/>
    <col min="2091" max="2091" width="10.85546875" style="50"/>
    <col min="2092" max="2092" width="18.42578125" style="50" bestFit="1" customWidth="1"/>
    <col min="2093" max="2093" width="16.140625" style="50" customWidth="1"/>
    <col min="2094" max="2307" width="10.85546875" style="50"/>
    <col min="2308" max="2308" width="42" style="50" customWidth="1"/>
    <col min="2309" max="2309" width="21.7109375" style="50" customWidth="1"/>
    <col min="2310" max="2321" width="20.7109375" style="50" customWidth="1"/>
    <col min="2322" max="2322" width="16.140625" style="50" customWidth="1"/>
    <col min="2323" max="2334" width="18.140625" style="50" customWidth="1"/>
    <col min="2335" max="2335" width="22.7109375" style="50" customWidth="1"/>
    <col min="2336" max="2336" width="19" style="50" customWidth="1"/>
    <col min="2337" max="2337" width="19.42578125" style="50" customWidth="1"/>
    <col min="2338" max="2338" width="6.28515625" style="50" bestFit="1" customWidth="1"/>
    <col min="2339" max="2339" width="22.85546875" style="50" customWidth="1"/>
    <col min="2340" max="2340" width="18.42578125" style="50" bestFit="1" customWidth="1"/>
    <col min="2341" max="2341" width="8.42578125" style="50" customWidth="1"/>
    <col min="2342" max="2342" width="18.42578125" style="50" bestFit="1" customWidth="1"/>
    <col min="2343" max="2343" width="5.7109375" style="50" customWidth="1"/>
    <col min="2344" max="2344" width="18.42578125" style="50" bestFit="1" customWidth="1"/>
    <col min="2345" max="2345" width="4.7109375" style="50" customWidth="1"/>
    <col min="2346" max="2346" width="23" style="50" bestFit="1" customWidth="1"/>
    <col min="2347" max="2347" width="10.85546875" style="50"/>
    <col min="2348" max="2348" width="18.42578125" style="50" bestFit="1" customWidth="1"/>
    <col min="2349" max="2349" width="16.140625" style="50" customWidth="1"/>
    <col min="2350" max="2563" width="10.85546875" style="50"/>
    <col min="2564" max="2564" width="42" style="50" customWidth="1"/>
    <col min="2565" max="2565" width="21.7109375" style="50" customWidth="1"/>
    <col min="2566" max="2577" width="20.7109375" style="50" customWidth="1"/>
    <col min="2578" max="2578" width="16.140625" style="50" customWidth="1"/>
    <col min="2579" max="2590" width="18.140625" style="50" customWidth="1"/>
    <col min="2591" max="2591" width="22.7109375" style="50" customWidth="1"/>
    <col min="2592" max="2592" width="19" style="50" customWidth="1"/>
    <col min="2593" max="2593" width="19.42578125" style="50" customWidth="1"/>
    <col min="2594" max="2594" width="6.28515625" style="50" bestFit="1" customWidth="1"/>
    <col min="2595" max="2595" width="22.85546875" style="50" customWidth="1"/>
    <col min="2596" max="2596" width="18.42578125" style="50" bestFit="1" customWidth="1"/>
    <col min="2597" max="2597" width="8.42578125" style="50" customWidth="1"/>
    <col min="2598" max="2598" width="18.42578125" style="50" bestFit="1" customWidth="1"/>
    <col min="2599" max="2599" width="5.7109375" style="50" customWidth="1"/>
    <col min="2600" max="2600" width="18.42578125" style="50" bestFit="1" customWidth="1"/>
    <col min="2601" max="2601" width="4.7109375" style="50" customWidth="1"/>
    <col min="2602" max="2602" width="23" style="50" bestFit="1" customWidth="1"/>
    <col min="2603" max="2603" width="10.85546875" style="50"/>
    <col min="2604" max="2604" width="18.42578125" style="50" bestFit="1" customWidth="1"/>
    <col min="2605" max="2605" width="16.140625" style="50" customWidth="1"/>
    <col min="2606" max="2819" width="10.85546875" style="50"/>
    <col min="2820" max="2820" width="42" style="50" customWidth="1"/>
    <col min="2821" max="2821" width="21.7109375" style="50" customWidth="1"/>
    <col min="2822" max="2833" width="20.7109375" style="50" customWidth="1"/>
    <col min="2834" max="2834" width="16.140625" style="50" customWidth="1"/>
    <col min="2835" max="2846" width="18.140625" style="50" customWidth="1"/>
    <col min="2847" max="2847" width="22.7109375" style="50" customWidth="1"/>
    <col min="2848" max="2848" width="19" style="50" customWidth="1"/>
    <col min="2849" max="2849" width="19.42578125" style="50" customWidth="1"/>
    <col min="2850" max="2850" width="6.28515625" style="50" bestFit="1" customWidth="1"/>
    <col min="2851" max="2851" width="22.85546875" style="50" customWidth="1"/>
    <col min="2852" max="2852" width="18.42578125" style="50" bestFit="1" customWidth="1"/>
    <col min="2853" max="2853" width="8.42578125" style="50" customWidth="1"/>
    <col min="2854" max="2854" width="18.42578125" style="50" bestFit="1" customWidth="1"/>
    <col min="2855" max="2855" width="5.7109375" style="50" customWidth="1"/>
    <col min="2856" max="2856" width="18.42578125" style="50" bestFit="1" customWidth="1"/>
    <col min="2857" max="2857" width="4.7109375" style="50" customWidth="1"/>
    <col min="2858" max="2858" width="23" style="50" bestFit="1" customWidth="1"/>
    <col min="2859" max="2859" width="10.85546875" style="50"/>
    <col min="2860" max="2860" width="18.42578125" style="50" bestFit="1" customWidth="1"/>
    <col min="2861" max="2861" width="16.140625" style="50" customWidth="1"/>
    <col min="2862" max="3075" width="10.85546875" style="50"/>
    <col min="3076" max="3076" width="42" style="50" customWidth="1"/>
    <col min="3077" max="3077" width="21.7109375" style="50" customWidth="1"/>
    <col min="3078" max="3089" width="20.7109375" style="50" customWidth="1"/>
    <col min="3090" max="3090" width="16.140625" style="50" customWidth="1"/>
    <col min="3091" max="3102" width="18.140625" style="50" customWidth="1"/>
    <col min="3103" max="3103" width="22.7109375" style="50" customWidth="1"/>
    <col min="3104" max="3104" width="19" style="50" customWidth="1"/>
    <col min="3105" max="3105" width="19.42578125" style="50" customWidth="1"/>
    <col min="3106" max="3106" width="6.28515625" style="50" bestFit="1" customWidth="1"/>
    <col min="3107" max="3107" width="22.85546875" style="50" customWidth="1"/>
    <col min="3108" max="3108" width="18.42578125" style="50" bestFit="1" customWidth="1"/>
    <col min="3109" max="3109" width="8.42578125" style="50" customWidth="1"/>
    <col min="3110" max="3110" width="18.42578125" style="50" bestFit="1" customWidth="1"/>
    <col min="3111" max="3111" width="5.7109375" style="50" customWidth="1"/>
    <col min="3112" max="3112" width="18.42578125" style="50" bestFit="1" customWidth="1"/>
    <col min="3113" max="3113" width="4.7109375" style="50" customWidth="1"/>
    <col min="3114" max="3114" width="23" style="50" bestFit="1" customWidth="1"/>
    <col min="3115" max="3115" width="10.85546875" style="50"/>
    <col min="3116" max="3116" width="18.42578125" style="50" bestFit="1" customWidth="1"/>
    <col min="3117" max="3117" width="16.140625" style="50" customWidth="1"/>
    <col min="3118" max="3331" width="10.85546875" style="50"/>
    <col min="3332" max="3332" width="42" style="50" customWidth="1"/>
    <col min="3333" max="3333" width="21.7109375" style="50" customWidth="1"/>
    <col min="3334" max="3345" width="20.7109375" style="50" customWidth="1"/>
    <col min="3346" max="3346" width="16.140625" style="50" customWidth="1"/>
    <col min="3347" max="3358" width="18.140625" style="50" customWidth="1"/>
    <col min="3359" max="3359" width="22.7109375" style="50" customWidth="1"/>
    <col min="3360" max="3360" width="19" style="50" customWidth="1"/>
    <col min="3361" max="3361" width="19.42578125" style="50" customWidth="1"/>
    <col min="3362" max="3362" width="6.28515625" style="50" bestFit="1" customWidth="1"/>
    <col min="3363" max="3363" width="22.85546875" style="50" customWidth="1"/>
    <col min="3364" max="3364" width="18.42578125" style="50" bestFit="1" customWidth="1"/>
    <col min="3365" max="3365" width="8.42578125" style="50" customWidth="1"/>
    <col min="3366" max="3366" width="18.42578125" style="50" bestFit="1" customWidth="1"/>
    <col min="3367" max="3367" width="5.7109375" style="50" customWidth="1"/>
    <col min="3368" max="3368" width="18.42578125" style="50" bestFit="1" customWidth="1"/>
    <col min="3369" max="3369" width="4.7109375" style="50" customWidth="1"/>
    <col min="3370" max="3370" width="23" style="50" bestFit="1" customWidth="1"/>
    <col min="3371" max="3371" width="10.85546875" style="50"/>
    <col min="3372" max="3372" width="18.42578125" style="50" bestFit="1" customWidth="1"/>
    <col min="3373" max="3373" width="16.140625" style="50" customWidth="1"/>
    <col min="3374" max="3587" width="10.85546875" style="50"/>
    <col min="3588" max="3588" width="42" style="50" customWidth="1"/>
    <col min="3589" max="3589" width="21.7109375" style="50" customWidth="1"/>
    <col min="3590" max="3601" width="20.7109375" style="50" customWidth="1"/>
    <col min="3602" max="3602" width="16.140625" style="50" customWidth="1"/>
    <col min="3603" max="3614" width="18.140625" style="50" customWidth="1"/>
    <col min="3615" max="3615" width="22.7109375" style="50" customWidth="1"/>
    <col min="3616" max="3616" width="19" style="50" customWidth="1"/>
    <col min="3617" max="3617" width="19.42578125" style="50" customWidth="1"/>
    <col min="3618" max="3618" width="6.28515625" style="50" bestFit="1" customWidth="1"/>
    <col min="3619" max="3619" width="22.85546875" style="50" customWidth="1"/>
    <col min="3620" max="3620" width="18.42578125" style="50" bestFit="1" customWidth="1"/>
    <col min="3621" max="3621" width="8.42578125" style="50" customWidth="1"/>
    <col min="3622" max="3622" width="18.42578125" style="50" bestFit="1" customWidth="1"/>
    <col min="3623" max="3623" width="5.7109375" style="50" customWidth="1"/>
    <col min="3624" max="3624" width="18.42578125" style="50" bestFit="1" customWidth="1"/>
    <col min="3625" max="3625" width="4.7109375" style="50" customWidth="1"/>
    <col min="3626" max="3626" width="23" style="50" bestFit="1" customWidth="1"/>
    <col min="3627" max="3627" width="10.85546875" style="50"/>
    <col min="3628" max="3628" width="18.42578125" style="50" bestFit="1" customWidth="1"/>
    <col min="3629" max="3629" width="16.140625" style="50" customWidth="1"/>
    <col min="3630" max="3843" width="10.85546875" style="50"/>
    <col min="3844" max="3844" width="42" style="50" customWidth="1"/>
    <col min="3845" max="3845" width="21.7109375" style="50" customWidth="1"/>
    <col min="3846" max="3857" width="20.7109375" style="50" customWidth="1"/>
    <col min="3858" max="3858" width="16.140625" style="50" customWidth="1"/>
    <col min="3859" max="3870" width="18.140625" style="50" customWidth="1"/>
    <col min="3871" max="3871" width="22.7109375" style="50" customWidth="1"/>
    <col min="3872" max="3872" width="19" style="50" customWidth="1"/>
    <col min="3873" max="3873" width="19.42578125" style="50" customWidth="1"/>
    <col min="3874" max="3874" width="6.28515625" style="50" bestFit="1" customWidth="1"/>
    <col min="3875" max="3875" width="22.85546875" style="50" customWidth="1"/>
    <col min="3876" max="3876" width="18.42578125" style="50" bestFit="1" customWidth="1"/>
    <col min="3877" max="3877" width="8.42578125" style="50" customWidth="1"/>
    <col min="3878" max="3878" width="18.42578125" style="50" bestFit="1" customWidth="1"/>
    <col min="3879" max="3879" width="5.7109375" style="50" customWidth="1"/>
    <col min="3880" max="3880" width="18.42578125" style="50" bestFit="1" customWidth="1"/>
    <col min="3881" max="3881" width="4.7109375" style="50" customWidth="1"/>
    <col min="3882" max="3882" width="23" style="50" bestFit="1" customWidth="1"/>
    <col min="3883" max="3883" width="10.85546875" style="50"/>
    <col min="3884" max="3884" width="18.42578125" style="50" bestFit="1" customWidth="1"/>
    <col min="3885" max="3885" width="16.140625" style="50" customWidth="1"/>
    <col min="3886" max="4099" width="10.85546875" style="50"/>
    <col min="4100" max="4100" width="42" style="50" customWidth="1"/>
    <col min="4101" max="4101" width="21.7109375" style="50" customWidth="1"/>
    <col min="4102" max="4113" width="20.7109375" style="50" customWidth="1"/>
    <col min="4114" max="4114" width="16.140625" style="50" customWidth="1"/>
    <col min="4115" max="4126" width="18.140625" style="50" customWidth="1"/>
    <col min="4127" max="4127" width="22.7109375" style="50" customWidth="1"/>
    <col min="4128" max="4128" width="19" style="50" customWidth="1"/>
    <col min="4129" max="4129" width="19.42578125" style="50" customWidth="1"/>
    <col min="4130" max="4130" width="6.28515625" style="50" bestFit="1" customWidth="1"/>
    <col min="4131" max="4131" width="22.85546875" style="50" customWidth="1"/>
    <col min="4132" max="4132" width="18.42578125" style="50" bestFit="1" customWidth="1"/>
    <col min="4133" max="4133" width="8.42578125" style="50" customWidth="1"/>
    <col min="4134" max="4134" width="18.42578125" style="50" bestFit="1" customWidth="1"/>
    <col min="4135" max="4135" width="5.7109375" style="50" customWidth="1"/>
    <col min="4136" max="4136" width="18.42578125" style="50" bestFit="1" customWidth="1"/>
    <col min="4137" max="4137" width="4.7109375" style="50" customWidth="1"/>
    <col min="4138" max="4138" width="23" style="50" bestFit="1" customWidth="1"/>
    <col min="4139" max="4139" width="10.85546875" style="50"/>
    <col min="4140" max="4140" width="18.42578125" style="50" bestFit="1" customWidth="1"/>
    <col min="4141" max="4141" width="16.140625" style="50" customWidth="1"/>
    <col min="4142" max="4355" width="10.85546875" style="50"/>
    <col min="4356" max="4356" width="42" style="50" customWidth="1"/>
    <col min="4357" max="4357" width="21.7109375" style="50" customWidth="1"/>
    <col min="4358" max="4369" width="20.7109375" style="50" customWidth="1"/>
    <col min="4370" max="4370" width="16.140625" style="50" customWidth="1"/>
    <col min="4371" max="4382" width="18.140625" style="50" customWidth="1"/>
    <col min="4383" max="4383" width="22.7109375" style="50" customWidth="1"/>
    <col min="4384" max="4384" width="19" style="50" customWidth="1"/>
    <col min="4385" max="4385" width="19.42578125" style="50" customWidth="1"/>
    <col min="4386" max="4386" width="6.28515625" style="50" bestFit="1" customWidth="1"/>
    <col min="4387" max="4387" width="22.85546875" style="50" customWidth="1"/>
    <col min="4388" max="4388" width="18.42578125" style="50" bestFit="1" customWidth="1"/>
    <col min="4389" max="4389" width="8.42578125" style="50" customWidth="1"/>
    <col min="4390" max="4390" width="18.42578125" style="50" bestFit="1" customWidth="1"/>
    <col min="4391" max="4391" width="5.7109375" style="50" customWidth="1"/>
    <col min="4392" max="4392" width="18.42578125" style="50" bestFit="1" customWidth="1"/>
    <col min="4393" max="4393" width="4.7109375" style="50" customWidth="1"/>
    <col min="4394" max="4394" width="23" style="50" bestFit="1" customWidth="1"/>
    <col min="4395" max="4395" width="10.85546875" style="50"/>
    <col min="4396" max="4396" width="18.42578125" style="50" bestFit="1" customWidth="1"/>
    <col min="4397" max="4397" width="16.140625" style="50" customWidth="1"/>
    <col min="4398" max="4611" width="10.85546875" style="50"/>
    <col min="4612" max="4612" width="42" style="50" customWidth="1"/>
    <col min="4613" max="4613" width="21.7109375" style="50" customWidth="1"/>
    <col min="4614" max="4625" width="20.7109375" style="50" customWidth="1"/>
    <col min="4626" max="4626" width="16.140625" style="50" customWidth="1"/>
    <col min="4627" max="4638" width="18.140625" style="50" customWidth="1"/>
    <col min="4639" max="4639" width="22.7109375" style="50" customWidth="1"/>
    <col min="4640" max="4640" width="19" style="50" customWidth="1"/>
    <col min="4641" max="4641" width="19.42578125" style="50" customWidth="1"/>
    <col min="4642" max="4642" width="6.28515625" style="50" bestFit="1" customWidth="1"/>
    <col min="4643" max="4643" width="22.85546875" style="50" customWidth="1"/>
    <col min="4644" max="4644" width="18.42578125" style="50" bestFit="1" customWidth="1"/>
    <col min="4645" max="4645" width="8.42578125" style="50" customWidth="1"/>
    <col min="4646" max="4646" width="18.42578125" style="50" bestFit="1" customWidth="1"/>
    <col min="4647" max="4647" width="5.7109375" style="50" customWidth="1"/>
    <col min="4648" max="4648" width="18.42578125" style="50" bestFit="1" customWidth="1"/>
    <col min="4649" max="4649" width="4.7109375" style="50" customWidth="1"/>
    <col min="4650" max="4650" width="23" style="50" bestFit="1" customWidth="1"/>
    <col min="4651" max="4651" width="10.85546875" style="50"/>
    <col min="4652" max="4652" width="18.42578125" style="50" bestFit="1" customWidth="1"/>
    <col min="4653" max="4653" width="16.140625" style="50" customWidth="1"/>
    <col min="4654" max="4867" width="10.85546875" style="50"/>
    <col min="4868" max="4868" width="42" style="50" customWidth="1"/>
    <col min="4869" max="4869" width="21.7109375" style="50" customWidth="1"/>
    <col min="4870" max="4881" width="20.7109375" style="50" customWidth="1"/>
    <col min="4882" max="4882" width="16.140625" style="50" customWidth="1"/>
    <col min="4883" max="4894" width="18.140625" style="50" customWidth="1"/>
    <col min="4895" max="4895" width="22.7109375" style="50" customWidth="1"/>
    <col min="4896" max="4896" width="19" style="50" customWidth="1"/>
    <col min="4897" max="4897" width="19.42578125" style="50" customWidth="1"/>
    <col min="4898" max="4898" width="6.28515625" style="50" bestFit="1" customWidth="1"/>
    <col min="4899" max="4899" width="22.85546875" style="50" customWidth="1"/>
    <col min="4900" max="4900" width="18.42578125" style="50" bestFit="1" customWidth="1"/>
    <col min="4901" max="4901" width="8.42578125" style="50" customWidth="1"/>
    <col min="4902" max="4902" width="18.42578125" style="50" bestFit="1" customWidth="1"/>
    <col min="4903" max="4903" width="5.7109375" style="50" customWidth="1"/>
    <col min="4904" max="4904" width="18.42578125" style="50" bestFit="1" customWidth="1"/>
    <col min="4905" max="4905" width="4.7109375" style="50" customWidth="1"/>
    <col min="4906" max="4906" width="23" style="50" bestFit="1" customWidth="1"/>
    <col min="4907" max="4907" width="10.85546875" style="50"/>
    <col min="4908" max="4908" width="18.42578125" style="50" bestFit="1" customWidth="1"/>
    <col min="4909" max="4909" width="16.140625" style="50" customWidth="1"/>
    <col min="4910" max="5123" width="10.85546875" style="50"/>
    <col min="5124" max="5124" width="42" style="50" customWidth="1"/>
    <col min="5125" max="5125" width="21.7109375" style="50" customWidth="1"/>
    <col min="5126" max="5137" width="20.7109375" style="50" customWidth="1"/>
    <col min="5138" max="5138" width="16.140625" style="50" customWidth="1"/>
    <col min="5139" max="5150" width="18.140625" style="50" customWidth="1"/>
    <col min="5151" max="5151" width="22.7109375" style="50" customWidth="1"/>
    <col min="5152" max="5152" width="19" style="50" customWidth="1"/>
    <col min="5153" max="5153" width="19.42578125" style="50" customWidth="1"/>
    <col min="5154" max="5154" width="6.28515625" style="50" bestFit="1" customWidth="1"/>
    <col min="5155" max="5155" width="22.85546875" style="50" customWidth="1"/>
    <col min="5156" max="5156" width="18.42578125" style="50" bestFit="1" customWidth="1"/>
    <col min="5157" max="5157" width="8.42578125" style="50" customWidth="1"/>
    <col min="5158" max="5158" width="18.42578125" style="50" bestFit="1" customWidth="1"/>
    <col min="5159" max="5159" width="5.7109375" style="50" customWidth="1"/>
    <col min="5160" max="5160" width="18.42578125" style="50" bestFit="1" customWidth="1"/>
    <col min="5161" max="5161" width="4.7109375" style="50" customWidth="1"/>
    <col min="5162" max="5162" width="23" style="50" bestFit="1" customWidth="1"/>
    <col min="5163" max="5163" width="10.85546875" style="50"/>
    <col min="5164" max="5164" width="18.42578125" style="50" bestFit="1" customWidth="1"/>
    <col min="5165" max="5165" width="16.140625" style="50" customWidth="1"/>
    <col min="5166" max="5379" width="10.85546875" style="50"/>
    <col min="5380" max="5380" width="42" style="50" customWidth="1"/>
    <col min="5381" max="5381" width="21.7109375" style="50" customWidth="1"/>
    <col min="5382" max="5393" width="20.7109375" style="50" customWidth="1"/>
    <col min="5394" max="5394" width="16.140625" style="50" customWidth="1"/>
    <col min="5395" max="5406" width="18.140625" style="50" customWidth="1"/>
    <col min="5407" max="5407" width="22.7109375" style="50" customWidth="1"/>
    <col min="5408" max="5408" width="19" style="50" customWidth="1"/>
    <col min="5409" max="5409" width="19.42578125" style="50" customWidth="1"/>
    <col min="5410" max="5410" width="6.28515625" style="50" bestFit="1" customWidth="1"/>
    <col min="5411" max="5411" width="22.85546875" style="50" customWidth="1"/>
    <col min="5412" max="5412" width="18.42578125" style="50" bestFit="1" customWidth="1"/>
    <col min="5413" max="5413" width="8.42578125" style="50" customWidth="1"/>
    <col min="5414" max="5414" width="18.42578125" style="50" bestFit="1" customWidth="1"/>
    <col min="5415" max="5415" width="5.7109375" style="50" customWidth="1"/>
    <col min="5416" max="5416" width="18.42578125" style="50" bestFit="1" customWidth="1"/>
    <col min="5417" max="5417" width="4.7109375" style="50" customWidth="1"/>
    <col min="5418" max="5418" width="23" style="50" bestFit="1" customWidth="1"/>
    <col min="5419" max="5419" width="10.85546875" style="50"/>
    <col min="5420" max="5420" width="18.42578125" style="50" bestFit="1" customWidth="1"/>
    <col min="5421" max="5421" width="16.140625" style="50" customWidth="1"/>
    <col min="5422" max="5635" width="10.85546875" style="50"/>
    <col min="5636" max="5636" width="42" style="50" customWidth="1"/>
    <col min="5637" max="5637" width="21.7109375" style="50" customWidth="1"/>
    <col min="5638" max="5649" width="20.7109375" style="50" customWidth="1"/>
    <col min="5650" max="5650" width="16.140625" style="50" customWidth="1"/>
    <col min="5651" max="5662" width="18.140625" style="50" customWidth="1"/>
    <col min="5663" max="5663" width="22.7109375" style="50" customWidth="1"/>
    <col min="5664" max="5664" width="19" style="50" customWidth="1"/>
    <col min="5665" max="5665" width="19.42578125" style="50" customWidth="1"/>
    <col min="5666" max="5666" width="6.28515625" style="50" bestFit="1" customWidth="1"/>
    <col min="5667" max="5667" width="22.85546875" style="50" customWidth="1"/>
    <col min="5668" max="5668" width="18.42578125" style="50" bestFit="1" customWidth="1"/>
    <col min="5669" max="5669" width="8.42578125" style="50" customWidth="1"/>
    <col min="5670" max="5670" width="18.42578125" style="50" bestFit="1" customWidth="1"/>
    <col min="5671" max="5671" width="5.7109375" style="50" customWidth="1"/>
    <col min="5672" max="5672" width="18.42578125" style="50" bestFit="1" customWidth="1"/>
    <col min="5673" max="5673" width="4.7109375" style="50" customWidth="1"/>
    <col min="5674" max="5674" width="23" style="50" bestFit="1" customWidth="1"/>
    <col min="5675" max="5675" width="10.85546875" style="50"/>
    <col min="5676" max="5676" width="18.42578125" style="50" bestFit="1" customWidth="1"/>
    <col min="5677" max="5677" width="16.140625" style="50" customWidth="1"/>
    <col min="5678" max="5891" width="10.85546875" style="50"/>
    <col min="5892" max="5892" width="42" style="50" customWidth="1"/>
    <col min="5893" max="5893" width="21.7109375" style="50" customWidth="1"/>
    <col min="5894" max="5905" width="20.7109375" style="50" customWidth="1"/>
    <col min="5906" max="5906" width="16.140625" style="50" customWidth="1"/>
    <col min="5907" max="5918" width="18.140625" style="50" customWidth="1"/>
    <col min="5919" max="5919" width="22.7109375" style="50" customWidth="1"/>
    <col min="5920" max="5920" width="19" style="50" customWidth="1"/>
    <col min="5921" max="5921" width="19.42578125" style="50" customWidth="1"/>
    <col min="5922" max="5922" width="6.28515625" style="50" bestFit="1" customWidth="1"/>
    <col min="5923" max="5923" width="22.85546875" style="50" customWidth="1"/>
    <col min="5924" max="5924" width="18.42578125" style="50" bestFit="1" customWidth="1"/>
    <col min="5925" max="5925" width="8.42578125" style="50" customWidth="1"/>
    <col min="5926" max="5926" width="18.42578125" style="50" bestFit="1" customWidth="1"/>
    <col min="5927" max="5927" width="5.7109375" style="50" customWidth="1"/>
    <col min="5928" max="5928" width="18.42578125" style="50" bestFit="1" customWidth="1"/>
    <col min="5929" max="5929" width="4.7109375" style="50" customWidth="1"/>
    <col min="5930" max="5930" width="23" style="50" bestFit="1" customWidth="1"/>
    <col min="5931" max="5931" width="10.85546875" style="50"/>
    <col min="5932" max="5932" width="18.42578125" style="50" bestFit="1" customWidth="1"/>
    <col min="5933" max="5933" width="16.140625" style="50" customWidth="1"/>
    <col min="5934" max="6147" width="10.85546875" style="50"/>
    <col min="6148" max="6148" width="42" style="50" customWidth="1"/>
    <col min="6149" max="6149" width="21.7109375" style="50" customWidth="1"/>
    <col min="6150" max="6161" width="20.7109375" style="50" customWidth="1"/>
    <col min="6162" max="6162" width="16.140625" style="50" customWidth="1"/>
    <col min="6163" max="6174" width="18.140625" style="50" customWidth="1"/>
    <col min="6175" max="6175" width="22.7109375" style="50" customWidth="1"/>
    <col min="6176" max="6176" width="19" style="50" customWidth="1"/>
    <col min="6177" max="6177" width="19.42578125" style="50" customWidth="1"/>
    <col min="6178" max="6178" width="6.28515625" style="50" bestFit="1" customWidth="1"/>
    <col min="6179" max="6179" width="22.85546875" style="50" customWidth="1"/>
    <col min="6180" max="6180" width="18.42578125" style="50" bestFit="1" customWidth="1"/>
    <col min="6181" max="6181" width="8.42578125" style="50" customWidth="1"/>
    <col min="6182" max="6182" width="18.42578125" style="50" bestFit="1" customWidth="1"/>
    <col min="6183" max="6183" width="5.7109375" style="50" customWidth="1"/>
    <col min="6184" max="6184" width="18.42578125" style="50" bestFit="1" customWidth="1"/>
    <col min="6185" max="6185" width="4.7109375" style="50" customWidth="1"/>
    <col min="6186" max="6186" width="23" style="50" bestFit="1" customWidth="1"/>
    <col min="6187" max="6187" width="10.85546875" style="50"/>
    <col min="6188" max="6188" width="18.42578125" style="50" bestFit="1" customWidth="1"/>
    <col min="6189" max="6189" width="16.140625" style="50" customWidth="1"/>
    <col min="6190" max="6403" width="10.85546875" style="50"/>
    <col min="6404" max="6404" width="42" style="50" customWidth="1"/>
    <col min="6405" max="6405" width="21.7109375" style="50" customWidth="1"/>
    <col min="6406" max="6417" width="20.7109375" style="50" customWidth="1"/>
    <col min="6418" max="6418" width="16.140625" style="50" customWidth="1"/>
    <col min="6419" max="6430" width="18.140625" style="50" customWidth="1"/>
    <col min="6431" max="6431" width="22.7109375" style="50" customWidth="1"/>
    <col min="6432" max="6432" width="19" style="50" customWidth="1"/>
    <col min="6433" max="6433" width="19.42578125" style="50" customWidth="1"/>
    <col min="6434" max="6434" width="6.28515625" style="50" bestFit="1" customWidth="1"/>
    <col min="6435" max="6435" width="22.85546875" style="50" customWidth="1"/>
    <col min="6436" max="6436" width="18.42578125" style="50" bestFit="1" customWidth="1"/>
    <col min="6437" max="6437" width="8.42578125" style="50" customWidth="1"/>
    <col min="6438" max="6438" width="18.42578125" style="50" bestFit="1" customWidth="1"/>
    <col min="6439" max="6439" width="5.7109375" style="50" customWidth="1"/>
    <col min="6440" max="6440" width="18.42578125" style="50" bestFit="1" customWidth="1"/>
    <col min="6441" max="6441" width="4.7109375" style="50" customWidth="1"/>
    <col min="6442" max="6442" width="23" style="50" bestFit="1" customWidth="1"/>
    <col min="6443" max="6443" width="10.85546875" style="50"/>
    <col min="6444" max="6444" width="18.42578125" style="50" bestFit="1" customWidth="1"/>
    <col min="6445" max="6445" width="16.140625" style="50" customWidth="1"/>
    <col min="6446" max="6659" width="10.85546875" style="50"/>
    <col min="6660" max="6660" width="42" style="50" customWidth="1"/>
    <col min="6661" max="6661" width="21.7109375" style="50" customWidth="1"/>
    <col min="6662" max="6673" width="20.7109375" style="50" customWidth="1"/>
    <col min="6674" max="6674" width="16.140625" style="50" customWidth="1"/>
    <col min="6675" max="6686" width="18.140625" style="50" customWidth="1"/>
    <col min="6687" max="6687" width="22.7109375" style="50" customWidth="1"/>
    <col min="6688" max="6688" width="19" style="50" customWidth="1"/>
    <col min="6689" max="6689" width="19.42578125" style="50" customWidth="1"/>
    <col min="6690" max="6690" width="6.28515625" style="50" bestFit="1" customWidth="1"/>
    <col min="6691" max="6691" width="22.85546875" style="50" customWidth="1"/>
    <col min="6692" max="6692" width="18.42578125" style="50" bestFit="1" customWidth="1"/>
    <col min="6693" max="6693" width="8.42578125" style="50" customWidth="1"/>
    <col min="6694" max="6694" width="18.42578125" style="50" bestFit="1" customWidth="1"/>
    <col min="6695" max="6695" width="5.7109375" style="50" customWidth="1"/>
    <col min="6696" max="6696" width="18.42578125" style="50" bestFit="1" customWidth="1"/>
    <col min="6697" max="6697" width="4.7109375" style="50" customWidth="1"/>
    <col min="6698" max="6698" width="23" style="50" bestFit="1" customWidth="1"/>
    <col min="6699" max="6699" width="10.85546875" style="50"/>
    <col min="6700" max="6700" width="18.42578125" style="50" bestFit="1" customWidth="1"/>
    <col min="6701" max="6701" width="16.140625" style="50" customWidth="1"/>
    <col min="6702" max="6915" width="10.85546875" style="50"/>
    <col min="6916" max="6916" width="42" style="50" customWidth="1"/>
    <col min="6917" max="6917" width="21.7109375" style="50" customWidth="1"/>
    <col min="6918" max="6929" width="20.7109375" style="50" customWidth="1"/>
    <col min="6930" max="6930" width="16.140625" style="50" customWidth="1"/>
    <col min="6931" max="6942" width="18.140625" style="50" customWidth="1"/>
    <col min="6943" max="6943" width="22.7109375" style="50" customWidth="1"/>
    <col min="6944" max="6944" width="19" style="50" customWidth="1"/>
    <col min="6945" max="6945" width="19.42578125" style="50" customWidth="1"/>
    <col min="6946" max="6946" width="6.28515625" style="50" bestFit="1" customWidth="1"/>
    <col min="6947" max="6947" width="22.85546875" style="50" customWidth="1"/>
    <col min="6948" max="6948" width="18.42578125" style="50" bestFit="1" customWidth="1"/>
    <col min="6949" max="6949" width="8.42578125" style="50" customWidth="1"/>
    <col min="6950" max="6950" width="18.42578125" style="50" bestFit="1" customWidth="1"/>
    <col min="6951" max="6951" width="5.7109375" style="50" customWidth="1"/>
    <col min="6952" max="6952" width="18.42578125" style="50" bestFit="1" customWidth="1"/>
    <col min="6953" max="6953" width="4.7109375" style="50" customWidth="1"/>
    <col min="6954" max="6954" width="23" style="50" bestFit="1" customWidth="1"/>
    <col min="6955" max="6955" width="10.85546875" style="50"/>
    <col min="6956" max="6956" width="18.42578125" style="50" bestFit="1" customWidth="1"/>
    <col min="6957" max="6957" width="16.140625" style="50" customWidth="1"/>
    <col min="6958" max="7171" width="10.85546875" style="50"/>
    <col min="7172" max="7172" width="42" style="50" customWidth="1"/>
    <col min="7173" max="7173" width="21.7109375" style="50" customWidth="1"/>
    <col min="7174" max="7185" width="20.7109375" style="50" customWidth="1"/>
    <col min="7186" max="7186" width="16.140625" style="50" customWidth="1"/>
    <col min="7187" max="7198" width="18.140625" style="50" customWidth="1"/>
    <col min="7199" max="7199" width="22.7109375" style="50" customWidth="1"/>
    <col min="7200" max="7200" width="19" style="50" customWidth="1"/>
    <col min="7201" max="7201" width="19.42578125" style="50" customWidth="1"/>
    <col min="7202" max="7202" width="6.28515625" style="50" bestFit="1" customWidth="1"/>
    <col min="7203" max="7203" width="22.85546875" style="50" customWidth="1"/>
    <col min="7204" max="7204" width="18.42578125" style="50" bestFit="1" customWidth="1"/>
    <col min="7205" max="7205" width="8.42578125" style="50" customWidth="1"/>
    <col min="7206" max="7206" width="18.42578125" style="50" bestFit="1" customWidth="1"/>
    <col min="7207" max="7207" width="5.7109375" style="50" customWidth="1"/>
    <col min="7208" max="7208" width="18.42578125" style="50" bestFit="1" customWidth="1"/>
    <col min="7209" max="7209" width="4.7109375" style="50" customWidth="1"/>
    <col min="7210" max="7210" width="23" style="50" bestFit="1" customWidth="1"/>
    <col min="7211" max="7211" width="10.85546875" style="50"/>
    <col min="7212" max="7212" width="18.42578125" style="50" bestFit="1" customWidth="1"/>
    <col min="7213" max="7213" width="16.140625" style="50" customWidth="1"/>
    <col min="7214" max="7427" width="10.85546875" style="50"/>
    <col min="7428" max="7428" width="42" style="50" customWidth="1"/>
    <col min="7429" max="7429" width="21.7109375" style="50" customWidth="1"/>
    <col min="7430" max="7441" width="20.7109375" style="50" customWidth="1"/>
    <col min="7442" max="7442" width="16.140625" style="50" customWidth="1"/>
    <col min="7443" max="7454" width="18.140625" style="50" customWidth="1"/>
    <col min="7455" max="7455" width="22.7109375" style="50" customWidth="1"/>
    <col min="7456" max="7456" width="19" style="50" customWidth="1"/>
    <col min="7457" max="7457" width="19.42578125" style="50" customWidth="1"/>
    <col min="7458" max="7458" width="6.28515625" style="50" bestFit="1" customWidth="1"/>
    <col min="7459" max="7459" width="22.85546875" style="50" customWidth="1"/>
    <col min="7460" max="7460" width="18.42578125" style="50" bestFit="1" customWidth="1"/>
    <col min="7461" max="7461" width="8.42578125" style="50" customWidth="1"/>
    <col min="7462" max="7462" width="18.42578125" style="50" bestFit="1" customWidth="1"/>
    <col min="7463" max="7463" width="5.7109375" style="50" customWidth="1"/>
    <col min="7464" max="7464" width="18.42578125" style="50" bestFit="1" customWidth="1"/>
    <col min="7465" max="7465" width="4.7109375" style="50" customWidth="1"/>
    <col min="7466" max="7466" width="23" style="50" bestFit="1" customWidth="1"/>
    <col min="7467" max="7467" width="10.85546875" style="50"/>
    <col min="7468" max="7468" width="18.42578125" style="50" bestFit="1" customWidth="1"/>
    <col min="7469" max="7469" width="16.140625" style="50" customWidth="1"/>
    <col min="7470" max="7683" width="10.85546875" style="50"/>
    <col min="7684" max="7684" width="42" style="50" customWidth="1"/>
    <col min="7685" max="7685" width="21.7109375" style="50" customWidth="1"/>
    <col min="7686" max="7697" width="20.7109375" style="50" customWidth="1"/>
    <col min="7698" max="7698" width="16.140625" style="50" customWidth="1"/>
    <col min="7699" max="7710" width="18.140625" style="50" customWidth="1"/>
    <col min="7711" max="7711" width="22.7109375" style="50" customWidth="1"/>
    <col min="7712" max="7712" width="19" style="50" customWidth="1"/>
    <col min="7713" max="7713" width="19.42578125" style="50" customWidth="1"/>
    <col min="7714" max="7714" width="6.28515625" style="50" bestFit="1" customWidth="1"/>
    <col min="7715" max="7715" width="22.85546875" style="50" customWidth="1"/>
    <col min="7716" max="7716" width="18.42578125" style="50" bestFit="1" customWidth="1"/>
    <col min="7717" max="7717" width="8.42578125" style="50" customWidth="1"/>
    <col min="7718" max="7718" width="18.42578125" style="50" bestFit="1" customWidth="1"/>
    <col min="7719" max="7719" width="5.7109375" style="50" customWidth="1"/>
    <col min="7720" max="7720" width="18.42578125" style="50" bestFit="1" customWidth="1"/>
    <col min="7721" max="7721" width="4.7109375" style="50" customWidth="1"/>
    <col min="7722" max="7722" width="23" style="50" bestFit="1" customWidth="1"/>
    <col min="7723" max="7723" width="10.85546875" style="50"/>
    <col min="7724" max="7724" width="18.42578125" style="50" bestFit="1" customWidth="1"/>
    <col min="7725" max="7725" width="16.140625" style="50" customWidth="1"/>
    <col min="7726" max="7939" width="10.85546875" style="50"/>
    <col min="7940" max="7940" width="42" style="50" customWidth="1"/>
    <col min="7941" max="7941" width="21.7109375" style="50" customWidth="1"/>
    <col min="7942" max="7953" width="20.7109375" style="50" customWidth="1"/>
    <col min="7954" max="7954" width="16.140625" style="50" customWidth="1"/>
    <col min="7955" max="7966" width="18.140625" style="50" customWidth="1"/>
    <col min="7967" max="7967" width="22.7109375" style="50" customWidth="1"/>
    <col min="7968" max="7968" width="19" style="50" customWidth="1"/>
    <col min="7969" max="7969" width="19.42578125" style="50" customWidth="1"/>
    <col min="7970" max="7970" width="6.28515625" style="50" bestFit="1" customWidth="1"/>
    <col min="7971" max="7971" width="22.85546875" style="50" customWidth="1"/>
    <col min="7972" max="7972" width="18.42578125" style="50" bestFit="1" customWidth="1"/>
    <col min="7973" max="7973" width="8.42578125" style="50" customWidth="1"/>
    <col min="7974" max="7974" width="18.42578125" style="50" bestFit="1" customWidth="1"/>
    <col min="7975" max="7975" width="5.7109375" style="50" customWidth="1"/>
    <col min="7976" max="7976" width="18.42578125" style="50" bestFit="1" customWidth="1"/>
    <col min="7977" max="7977" width="4.7109375" style="50" customWidth="1"/>
    <col min="7978" max="7978" width="23" style="50" bestFit="1" customWidth="1"/>
    <col min="7979" max="7979" width="10.85546875" style="50"/>
    <col min="7980" max="7980" width="18.42578125" style="50" bestFit="1" customWidth="1"/>
    <col min="7981" max="7981" width="16.140625" style="50" customWidth="1"/>
    <col min="7982" max="8195" width="10.85546875" style="50"/>
    <col min="8196" max="8196" width="42" style="50" customWidth="1"/>
    <col min="8197" max="8197" width="21.7109375" style="50" customWidth="1"/>
    <col min="8198" max="8209" width="20.7109375" style="50" customWidth="1"/>
    <col min="8210" max="8210" width="16.140625" style="50" customWidth="1"/>
    <col min="8211" max="8222" width="18.140625" style="50" customWidth="1"/>
    <col min="8223" max="8223" width="22.7109375" style="50" customWidth="1"/>
    <col min="8224" max="8224" width="19" style="50" customWidth="1"/>
    <col min="8225" max="8225" width="19.42578125" style="50" customWidth="1"/>
    <col min="8226" max="8226" width="6.28515625" style="50" bestFit="1" customWidth="1"/>
    <col min="8227" max="8227" width="22.85546875" style="50" customWidth="1"/>
    <col min="8228" max="8228" width="18.42578125" style="50" bestFit="1" customWidth="1"/>
    <col min="8229" max="8229" width="8.42578125" style="50" customWidth="1"/>
    <col min="8230" max="8230" width="18.42578125" style="50" bestFit="1" customWidth="1"/>
    <col min="8231" max="8231" width="5.7109375" style="50" customWidth="1"/>
    <col min="8232" max="8232" width="18.42578125" style="50" bestFit="1" customWidth="1"/>
    <col min="8233" max="8233" width="4.7109375" style="50" customWidth="1"/>
    <col min="8234" max="8234" width="23" style="50" bestFit="1" customWidth="1"/>
    <col min="8235" max="8235" width="10.85546875" style="50"/>
    <col min="8236" max="8236" width="18.42578125" style="50" bestFit="1" customWidth="1"/>
    <col min="8237" max="8237" width="16.140625" style="50" customWidth="1"/>
    <col min="8238" max="8451" width="10.85546875" style="50"/>
    <col min="8452" max="8452" width="42" style="50" customWidth="1"/>
    <col min="8453" max="8453" width="21.7109375" style="50" customWidth="1"/>
    <col min="8454" max="8465" width="20.7109375" style="50" customWidth="1"/>
    <col min="8466" max="8466" width="16.140625" style="50" customWidth="1"/>
    <col min="8467" max="8478" width="18.140625" style="50" customWidth="1"/>
    <col min="8479" max="8479" width="22.7109375" style="50" customWidth="1"/>
    <col min="8480" max="8480" width="19" style="50" customWidth="1"/>
    <col min="8481" max="8481" width="19.42578125" style="50" customWidth="1"/>
    <col min="8482" max="8482" width="6.28515625" style="50" bestFit="1" customWidth="1"/>
    <col min="8483" max="8483" width="22.85546875" style="50" customWidth="1"/>
    <col min="8484" max="8484" width="18.42578125" style="50" bestFit="1" customWidth="1"/>
    <col min="8485" max="8485" width="8.42578125" style="50" customWidth="1"/>
    <col min="8486" max="8486" width="18.42578125" style="50" bestFit="1" customWidth="1"/>
    <col min="8487" max="8487" width="5.7109375" style="50" customWidth="1"/>
    <col min="8488" max="8488" width="18.42578125" style="50" bestFit="1" customWidth="1"/>
    <col min="8489" max="8489" width="4.7109375" style="50" customWidth="1"/>
    <col min="8490" max="8490" width="23" style="50" bestFit="1" customWidth="1"/>
    <col min="8491" max="8491" width="10.85546875" style="50"/>
    <col min="8492" max="8492" width="18.42578125" style="50" bestFit="1" customWidth="1"/>
    <col min="8493" max="8493" width="16.140625" style="50" customWidth="1"/>
    <col min="8494" max="8707" width="10.85546875" style="50"/>
    <col min="8708" max="8708" width="42" style="50" customWidth="1"/>
    <col min="8709" max="8709" width="21.7109375" style="50" customWidth="1"/>
    <col min="8710" max="8721" width="20.7109375" style="50" customWidth="1"/>
    <col min="8722" max="8722" width="16.140625" style="50" customWidth="1"/>
    <col min="8723" max="8734" width="18.140625" style="50" customWidth="1"/>
    <col min="8735" max="8735" width="22.7109375" style="50" customWidth="1"/>
    <col min="8736" max="8736" width="19" style="50" customWidth="1"/>
    <col min="8737" max="8737" width="19.42578125" style="50" customWidth="1"/>
    <col min="8738" max="8738" width="6.28515625" style="50" bestFit="1" customWidth="1"/>
    <col min="8739" max="8739" width="22.85546875" style="50" customWidth="1"/>
    <col min="8740" max="8740" width="18.42578125" style="50" bestFit="1" customWidth="1"/>
    <col min="8741" max="8741" width="8.42578125" style="50" customWidth="1"/>
    <col min="8742" max="8742" width="18.42578125" style="50" bestFit="1" customWidth="1"/>
    <col min="8743" max="8743" width="5.7109375" style="50" customWidth="1"/>
    <col min="8744" max="8744" width="18.42578125" style="50" bestFit="1" customWidth="1"/>
    <col min="8745" max="8745" width="4.7109375" style="50" customWidth="1"/>
    <col min="8746" max="8746" width="23" style="50" bestFit="1" customWidth="1"/>
    <col min="8747" max="8747" width="10.85546875" style="50"/>
    <col min="8748" max="8748" width="18.42578125" style="50" bestFit="1" customWidth="1"/>
    <col min="8749" max="8749" width="16.140625" style="50" customWidth="1"/>
    <col min="8750" max="8963" width="10.85546875" style="50"/>
    <col min="8964" max="8964" width="42" style="50" customWidth="1"/>
    <col min="8965" max="8965" width="21.7109375" style="50" customWidth="1"/>
    <col min="8966" max="8977" width="20.7109375" style="50" customWidth="1"/>
    <col min="8978" max="8978" width="16.140625" style="50" customWidth="1"/>
    <col min="8979" max="8990" width="18.140625" style="50" customWidth="1"/>
    <col min="8991" max="8991" width="22.7109375" style="50" customWidth="1"/>
    <col min="8992" max="8992" width="19" style="50" customWidth="1"/>
    <col min="8993" max="8993" width="19.42578125" style="50" customWidth="1"/>
    <col min="8994" max="8994" width="6.28515625" style="50" bestFit="1" customWidth="1"/>
    <col min="8995" max="8995" width="22.85546875" style="50" customWidth="1"/>
    <col min="8996" max="8996" width="18.42578125" style="50" bestFit="1" customWidth="1"/>
    <col min="8997" max="8997" width="8.42578125" style="50" customWidth="1"/>
    <col min="8998" max="8998" width="18.42578125" style="50" bestFit="1" customWidth="1"/>
    <col min="8999" max="8999" width="5.7109375" style="50" customWidth="1"/>
    <col min="9000" max="9000" width="18.42578125" style="50" bestFit="1" customWidth="1"/>
    <col min="9001" max="9001" width="4.7109375" style="50" customWidth="1"/>
    <col min="9002" max="9002" width="23" style="50" bestFit="1" customWidth="1"/>
    <col min="9003" max="9003" width="10.85546875" style="50"/>
    <col min="9004" max="9004" width="18.42578125" style="50" bestFit="1" customWidth="1"/>
    <col min="9005" max="9005" width="16.140625" style="50" customWidth="1"/>
    <col min="9006" max="9219" width="10.85546875" style="50"/>
    <col min="9220" max="9220" width="42" style="50" customWidth="1"/>
    <col min="9221" max="9221" width="21.7109375" style="50" customWidth="1"/>
    <col min="9222" max="9233" width="20.7109375" style="50" customWidth="1"/>
    <col min="9234" max="9234" width="16.140625" style="50" customWidth="1"/>
    <col min="9235" max="9246" width="18.140625" style="50" customWidth="1"/>
    <col min="9247" max="9247" width="22.7109375" style="50" customWidth="1"/>
    <col min="9248" max="9248" width="19" style="50" customWidth="1"/>
    <col min="9249" max="9249" width="19.42578125" style="50" customWidth="1"/>
    <col min="9250" max="9250" width="6.28515625" style="50" bestFit="1" customWidth="1"/>
    <col min="9251" max="9251" width="22.85546875" style="50" customWidth="1"/>
    <col min="9252" max="9252" width="18.42578125" style="50" bestFit="1" customWidth="1"/>
    <col min="9253" max="9253" width="8.42578125" style="50" customWidth="1"/>
    <col min="9254" max="9254" width="18.42578125" style="50" bestFit="1" customWidth="1"/>
    <col min="9255" max="9255" width="5.7109375" style="50" customWidth="1"/>
    <col min="9256" max="9256" width="18.42578125" style="50" bestFit="1" customWidth="1"/>
    <col min="9257" max="9257" width="4.7109375" style="50" customWidth="1"/>
    <col min="9258" max="9258" width="23" style="50" bestFit="1" customWidth="1"/>
    <col min="9259" max="9259" width="10.85546875" style="50"/>
    <col min="9260" max="9260" width="18.42578125" style="50" bestFit="1" customWidth="1"/>
    <col min="9261" max="9261" width="16.140625" style="50" customWidth="1"/>
    <col min="9262" max="9475" width="10.85546875" style="50"/>
    <col min="9476" max="9476" width="42" style="50" customWidth="1"/>
    <col min="9477" max="9477" width="21.7109375" style="50" customWidth="1"/>
    <col min="9478" max="9489" width="20.7109375" style="50" customWidth="1"/>
    <col min="9490" max="9490" width="16.140625" style="50" customWidth="1"/>
    <col min="9491" max="9502" width="18.140625" style="50" customWidth="1"/>
    <col min="9503" max="9503" width="22.7109375" style="50" customWidth="1"/>
    <col min="9504" max="9504" width="19" style="50" customWidth="1"/>
    <col min="9505" max="9505" width="19.42578125" style="50" customWidth="1"/>
    <col min="9506" max="9506" width="6.28515625" style="50" bestFit="1" customWidth="1"/>
    <col min="9507" max="9507" width="22.85546875" style="50" customWidth="1"/>
    <col min="9508" max="9508" width="18.42578125" style="50" bestFit="1" customWidth="1"/>
    <col min="9509" max="9509" width="8.42578125" style="50" customWidth="1"/>
    <col min="9510" max="9510" width="18.42578125" style="50" bestFit="1" customWidth="1"/>
    <col min="9511" max="9511" width="5.7109375" style="50" customWidth="1"/>
    <col min="9512" max="9512" width="18.42578125" style="50" bestFit="1" customWidth="1"/>
    <col min="9513" max="9513" width="4.7109375" style="50" customWidth="1"/>
    <col min="9514" max="9514" width="23" style="50" bestFit="1" customWidth="1"/>
    <col min="9515" max="9515" width="10.85546875" style="50"/>
    <col min="9516" max="9516" width="18.42578125" style="50" bestFit="1" customWidth="1"/>
    <col min="9517" max="9517" width="16.140625" style="50" customWidth="1"/>
    <col min="9518" max="9731" width="10.85546875" style="50"/>
    <col min="9732" max="9732" width="42" style="50" customWidth="1"/>
    <col min="9733" max="9733" width="21.7109375" style="50" customWidth="1"/>
    <col min="9734" max="9745" width="20.7109375" style="50" customWidth="1"/>
    <col min="9746" max="9746" width="16.140625" style="50" customWidth="1"/>
    <col min="9747" max="9758" width="18.140625" style="50" customWidth="1"/>
    <col min="9759" max="9759" width="22.7109375" style="50" customWidth="1"/>
    <col min="9760" max="9760" width="19" style="50" customWidth="1"/>
    <col min="9761" max="9761" width="19.42578125" style="50" customWidth="1"/>
    <col min="9762" max="9762" width="6.28515625" style="50" bestFit="1" customWidth="1"/>
    <col min="9763" max="9763" width="22.85546875" style="50" customWidth="1"/>
    <col min="9764" max="9764" width="18.42578125" style="50" bestFit="1" customWidth="1"/>
    <col min="9765" max="9765" width="8.42578125" style="50" customWidth="1"/>
    <col min="9766" max="9766" width="18.42578125" style="50" bestFit="1" customWidth="1"/>
    <col min="9767" max="9767" width="5.7109375" style="50" customWidth="1"/>
    <col min="9768" max="9768" width="18.42578125" style="50" bestFit="1" customWidth="1"/>
    <col min="9769" max="9769" width="4.7109375" style="50" customWidth="1"/>
    <col min="9770" max="9770" width="23" style="50" bestFit="1" customWidth="1"/>
    <col min="9771" max="9771" width="10.85546875" style="50"/>
    <col min="9772" max="9772" width="18.42578125" style="50" bestFit="1" customWidth="1"/>
    <col min="9773" max="9773" width="16.140625" style="50" customWidth="1"/>
    <col min="9774" max="9987" width="10.85546875" style="50"/>
    <col min="9988" max="9988" width="42" style="50" customWidth="1"/>
    <col min="9989" max="9989" width="21.7109375" style="50" customWidth="1"/>
    <col min="9990" max="10001" width="20.7109375" style="50" customWidth="1"/>
    <col min="10002" max="10002" width="16.140625" style="50" customWidth="1"/>
    <col min="10003" max="10014" width="18.140625" style="50" customWidth="1"/>
    <col min="10015" max="10015" width="22.7109375" style="50" customWidth="1"/>
    <col min="10016" max="10016" width="19" style="50" customWidth="1"/>
    <col min="10017" max="10017" width="19.42578125" style="50" customWidth="1"/>
    <col min="10018" max="10018" width="6.28515625" style="50" bestFit="1" customWidth="1"/>
    <col min="10019" max="10019" width="22.85546875" style="50" customWidth="1"/>
    <col min="10020" max="10020" width="18.42578125" style="50" bestFit="1" customWidth="1"/>
    <col min="10021" max="10021" width="8.42578125" style="50" customWidth="1"/>
    <col min="10022" max="10022" width="18.42578125" style="50" bestFit="1" customWidth="1"/>
    <col min="10023" max="10023" width="5.7109375" style="50" customWidth="1"/>
    <col min="10024" max="10024" width="18.42578125" style="50" bestFit="1" customWidth="1"/>
    <col min="10025" max="10025" width="4.7109375" style="50" customWidth="1"/>
    <col min="10026" max="10026" width="23" style="50" bestFit="1" customWidth="1"/>
    <col min="10027" max="10027" width="10.85546875" style="50"/>
    <col min="10028" max="10028" width="18.42578125" style="50" bestFit="1" customWidth="1"/>
    <col min="10029" max="10029" width="16.140625" style="50" customWidth="1"/>
    <col min="10030" max="10243" width="10.85546875" style="50"/>
    <col min="10244" max="10244" width="42" style="50" customWidth="1"/>
    <col min="10245" max="10245" width="21.7109375" style="50" customWidth="1"/>
    <col min="10246" max="10257" width="20.7109375" style="50" customWidth="1"/>
    <col min="10258" max="10258" width="16.140625" style="50" customWidth="1"/>
    <col min="10259" max="10270" width="18.140625" style="50" customWidth="1"/>
    <col min="10271" max="10271" width="22.7109375" style="50" customWidth="1"/>
    <col min="10272" max="10272" width="19" style="50" customWidth="1"/>
    <col min="10273" max="10273" width="19.42578125" style="50" customWidth="1"/>
    <col min="10274" max="10274" width="6.28515625" style="50" bestFit="1" customWidth="1"/>
    <col min="10275" max="10275" width="22.85546875" style="50" customWidth="1"/>
    <col min="10276" max="10276" width="18.42578125" style="50" bestFit="1" customWidth="1"/>
    <col min="10277" max="10277" width="8.42578125" style="50" customWidth="1"/>
    <col min="10278" max="10278" width="18.42578125" style="50" bestFit="1" customWidth="1"/>
    <col min="10279" max="10279" width="5.7109375" style="50" customWidth="1"/>
    <col min="10280" max="10280" width="18.42578125" style="50" bestFit="1" customWidth="1"/>
    <col min="10281" max="10281" width="4.7109375" style="50" customWidth="1"/>
    <col min="10282" max="10282" width="23" style="50" bestFit="1" customWidth="1"/>
    <col min="10283" max="10283" width="10.85546875" style="50"/>
    <col min="10284" max="10284" width="18.42578125" style="50" bestFit="1" customWidth="1"/>
    <col min="10285" max="10285" width="16.140625" style="50" customWidth="1"/>
    <col min="10286" max="10499" width="10.85546875" style="50"/>
    <col min="10500" max="10500" width="42" style="50" customWidth="1"/>
    <col min="10501" max="10501" width="21.7109375" style="50" customWidth="1"/>
    <col min="10502" max="10513" width="20.7109375" style="50" customWidth="1"/>
    <col min="10514" max="10514" width="16.140625" style="50" customWidth="1"/>
    <col min="10515" max="10526" width="18.140625" style="50" customWidth="1"/>
    <col min="10527" max="10527" width="22.7109375" style="50" customWidth="1"/>
    <col min="10528" max="10528" width="19" style="50" customWidth="1"/>
    <col min="10529" max="10529" width="19.42578125" style="50" customWidth="1"/>
    <col min="10530" max="10530" width="6.28515625" style="50" bestFit="1" customWidth="1"/>
    <col min="10531" max="10531" width="22.85546875" style="50" customWidth="1"/>
    <col min="10532" max="10532" width="18.42578125" style="50" bestFit="1" customWidth="1"/>
    <col min="10533" max="10533" width="8.42578125" style="50" customWidth="1"/>
    <col min="10534" max="10534" width="18.42578125" style="50" bestFit="1" customWidth="1"/>
    <col min="10535" max="10535" width="5.7109375" style="50" customWidth="1"/>
    <col min="10536" max="10536" width="18.42578125" style="50" bestFit="1" customWidth="1"/>
    <col min="10537" max="10537" width="4.7109375" style="50" customWidth="1"/>
    <col min="10538" max="10538" width="23" style="50" bestFit="1" customWidth="1"/>
    <col min="10539" max="10539" width="10.85546875" style="50"/>
    <col min="10540" max="10540" width="18.42578125" style="50" bestFit="1" customWidth="1"/>
    <col min="10541" max="10541" width="16.140625" style="50" customWidth="1"/>
    <col min="10542" max="10755" width="10.85546875" style="50"/>
    <col min="10756" max="10756" width="42" style="50" customWidth="1"/>
    <col min="10757" max="10757" width="21.7109375" style="50" customWidth="1"/>
    <col min="10758" max="10769" width="20.7109375" style="50" customWidth="1"/>
    <col min="10770" max="10770" width="16.140625" style="50" customWidth="1"/>
    <col min="10771" max="10782" width="18.140625" style="50" customWidth="1"/>
    <col min="10783" max="10783" width="22.7109375" style="50" customWidth="1"/>
    <col min="10784" max="10784" width="19" style="50" customWidth="1"/>
    <col min="10785" max="10785" width="19.42578125" style="50" customWidth="1"/>
    <col min="10786" max="10786" width="6.28515625" style="50" bestFit="1" customWidth="1"/>
    <col min="10787" max="10787" width="22.85546875" style="50" customWidth="1"/>
    <col min="10788" max="10788" width="18.42578125" style="50" bestFit="1" customWidth="1"/>
    <col min="10789" max="10789" width="8.42578125" style="50" customWidth="1"/>
    <col min="10790" max="10790" width="18.42578125" style="50" bestFit="1" customWidth="1"/>
    <col min="10791" max="10791" width="5.7109375" style="50" customWidth="1"/>
    <col min="10792" max="10792" width="18.42578125" style="50" bestFit="1" customWidth="1"/>
    <col min="10793" max="10793" width="4.7109375" style="50" customWidth="1"/>
    <col min="10794" max="10794" width="23" style="50" bestFit="1" customWidth="1"/>
    <col min="10795" max="10795" width="10.85546875" style="50"/>
    <col min="10796" max="10796" width="18.42578125" style="50" bestFit="1" customWidth="1"/>
    <col min="10797" max="10797" width="16.140625" style="50" customWidth="1"/>
    <col min="10798" max="11011" width="10.85546875" style="50"/>
    <col min="11012" max="11012" width="42" style="50" customWidth="1"/>
    <col min="11013" max="11013" width="21.7109375" style="50" customWidth="1"/>
    <col min="11014" max="11025" width="20.7109375" style="50" customWidth="1"/>
    <col min="11026" max="11026" width="16.140625" style="50" customWidth="1"/>
    <col min="11027" max="11038" width="18.140625" style="50" customWidth="1"/>
    <col min="11039" max="11039" width="22.7109375" style="50" customWidth="1"/>
    <col min="11040" max="11040" width="19" style="50" customWidth="1"/>
    <col min="11041" max="11041" width="19.42578125" style="50" customWidth="1"/>
    <col min="11042" max="11042" width="6.28515625" style="50" bestFit="1" customWidth="1"/>
    <col min="11043" max="11043" width="22.85546875" style="50" customWidth="1"/>
    <col min="11044" max="11044" width="18.42578125" style="50" bestFit="1" customWidth="1"/>
    <col min="11045" max="11045" width="8.42578125" style="50" customWidth="1"/>
    <col min="11046" max="11046" width="18.42578125" style="50" bestFit="1" customWidth="1"/>
    <col min="11047" max="11047" width="5.7109375" style="50" customWidth="1"/>
    <col min="11048" max="11048" width="18.42578125" style="50" bestFit="1" customWidth="1"/>
    <col min="11049" max="11049" width="4.7109375" style="50" customWidth="1"/>
    <col min="11050" max="11050" width="23" style="50" bestFit="1" customWidth="1"/>
    <col min="11051" max="11051" width="10.85546875" style="50"/>
    <col min="11052" max="11052" width="18.42578125" style="50" bestFit="1" customWidth="1"/>
    <col min="11053" max="11053" width="16.140625" style="50" customWidth="1"/>
    <col min="11054" max="11267" width="10.85546875" style="50"/>
    <col min="11268" max="11268" width="42" style="50" customWidth="1"/>
    <col min="11269" max="11269" width="21.7109375" style="50" customWidth="1"/>
    <col min="11270" max="11281" width="20.7109375" style="50" customWidth="1"/>
    <col min="11282" max="11282" width="16.140625" style="50" customWidth="1"/>
    <col min="11283" max="11294" width="18.140625" style="50" customWidth="1"/>
    <col min="11295" max="11295" width="22.7109375" style="50" customWidth="1"/>
    <col min="11296" max="11296" width="19" style="50" customWidth="1"/>
    <col min="11297" max="11297" width="19.42578125" style="50" customWidth="1"/>
    <col min="11298" max="11298" width="6.28515625" style="50" bestFit="1" customWidth="1"/>
    <col min="11299" max="11299" width="22.85546875" style="50" customWidth="1"/>
    <col min="11300" max="11300" width="18.42578125" style="50" bestFit="1" customWidth="1"/>
    <col min="11301" max="11301" width="8.42578125" style="50" customWidth="1"/>
    <col min="11302" max="11302" width="18.42578125" style="50" bestFit="1" customWidth="1"/>
    <col min="11303" max="11303" width="5.7109375" style="50" customWidth="1"/>
    <col min="11304" max="11304" width="18.42578125" style="50" bestFit="1" customWidth="1"/>
    <col min="11305" max="11305" width="4.7109375" style="50" customWidth="1"/>
    <col min="11306" max="11306" width="23" style="50" bestFit="1" customWidth="1"/>
    <col min="11307" max="11307" width="10.85546875" style="50"/>
    <col min="11308" max="11308" width="18.42578125" style="50" bestFit="1" customWidth="1"/>
    <col min="11309" max="11309" width="16.140625" style="50" customWidth="1"/>
    <col min="11310" max="11523" width="10.85546875" style="50"/>
    <col min="11524" max="11524" width="42" style="50" customWidth="1"/>
    <col min="11525" max="11525" width="21.7109375" style="50" customWidth="1"/>
    <col min="11526" max="11537" width="20.7109375" style="50" customWidth="1"/>
    <col min="11538" max="11538" width="16.140625" style="50" customWidth="1"/>
    <col min="11539" max="11550" width="18.140625" style="50" customWidth="1"/>
    <col min="11551" max="11551" width="22.7109375" style="50" customWidth="1"/>
    <col min="11552" max="11552" width="19" style="50" customWidth="1"/>
    <col min="11553" max="11553" width="19.42578125" style="50" customWidth="1"/>
    <col min="11554" max="11554" width="6.28515625" style="50" bestFit="1" customWidth="1"/>
    <col min="11555" max="11555" width="22.85546875" style="50" customWidth="1"/>
    <col min="11556" max="11556" width="18.42578125" style="50" bestFit="1" customWidth="1"/>
    <col min="11557" max="11557" width="8.42578125" style="50" customWidth="1"/>
    <col min="11558" max="11558" width="18.42578125" style="50" bestFit="1" customWidth="1"/>
    <col min="11559" max="11559" width="5.7109375" style="50" customWidth="1"/>
    <col min="11560" max="11560" width="18.42578125" style="50" bestFit="1" customWidth="1"/>
    <col min="11561" max="11561" width="4.7109375" style="50" customWidth="1"/>
    <col min="11562" max="11562" width="23" style="50" bestFit="1" customWidth="1"/>
    <col min="11563" max="11563" width="10.85546875" style="50"/>
    <col min="11564" max="11564" width="18.42578125" style="50" bestFit="1" customWidth="1"/>
    <col min="11565" max="11565" width="16.140625" style="50" customWidth="1"/>
    <col min="11566" max="11779" width="10.85546875" style="50"/>
    <col min="11780" max="11780" width="42" style="50" customWidth="1"/>
    <col min="11781" max="11781" width="21.7109375" style="50" customWidth="1"/>
    <col min="11782" max="11793" width="20.7109375" style="50" customWidth="1"/>
    <col min="11794" max="11794" width="16.140625" style="50" customWidth="1"/>
    <col min="11795" max="11806" width="18.140625" style="50" customWidth="1"/>
    <col min="11807" max="11807" width="22.7109375" style="50" customWidth="1"/>
    <col min="11808" max="11808" width="19" style="50" customWidth="1"/>
    <col min="11809" max="11809" width="19.42578125" style="50" customWidth="1"/>
    <col min="11810" max="11810" width="6.28515625" style="50" bestFit="1" customWidth="1"/>
    <col min="11811" max="11811" width="22.85546875" style="50" customWidth="1"/>
    <col min="11812" max="11812" width="18.42578125" style="50" bestFit="1" customWidth="1"/>
    <col min="11813" max="11813" width="8.42578125" style="50" customWidth="1"/>
    <col min="11814" max="11814" width="18.42578125" style="50" bestFit="1" customWidth="1"/>
    <col min="11815" max="11815" width="5.7109375" style="50" customWidth="1"/>
    <col min="11816" max="11816" width="18.42578125" style="50" bestFit="1" customWidth="1"/>
    <col min="11817" max="11817" width="4.7109375" style="50" customWidth="1"/>
    <col min="11818" max="11818" width="23" style="50" bestFit="1" customWidth="1"/>
    <col min="11819" max="11819" width="10.85546875" style="50"/>
    <col min="11820" max="11820" width="18.42578125" style="50" bestFit="1" customWidth="1"/>
    <col min="11821" max="11821" width="16.140625" style="50" customWidth="1"/>
    <col min="11822" max="12035" width="10.85546875" style="50"/>
    <col min="12036" max="12036" width="42" style="50" customWidth="1"/>
    <col min="12037" max="12037" width="21.7109375" style="50" customWidth="1"/>
    <col min="12038" max="12049" width="20.7109375" style="50" customWidth="1"/>
    <col min="12050" max="12050" width="16.140625" style="50" customWidth="1"/>
    <col min="12051" max="12062" width="18.140625" style="50" customWidth="1"/>
    <col min="12063" max="12063" width="22.7109375" style="50" customWidth="1"/>
    <col min="12064" max="12064" width="19" style="50" customWidth="1"/>
    <col min="12065" max="12065" width="19.42578125" style="50" customWidth="1"/>
    <col min="12066" max="12066" width="6.28515625" style="50" bestFit="1" customWidth="1"/>
    <col min="12067" max="12067" width="22.85546875" style="50" customWidth="1"/>
    <col min="12068" max="12068" width="18.42578125" style="50" bestFit="1" customWidth="1"/>
    <col min="12069" max="12069" width="8.42578125" style="50" customWidth="1"/>
    <col min="12070" max="12070" width="18.42578125" style="50" bestFit="1" customWidth="1"/>
    <col min="12071" max="12071" width="5.7109375" style="50" customWidth="1"/>
    <col min="12072" max="12072" width="18.42578125" style="50" bestFit="1" customWidth="1"/>
    <col min="12073" max="12073" width="4.7109375" style="50" customWidth="1"/>
    <col min="12074" max="12074" width="23" style="50" bestFit="1" customWidth="1"/>
    <col min="12075" max="12075" width="10.85546875" style="50"/>
    <col min="12076" max="12076" width="18.42578125" style="50" bestFit="1" customWidth="1"/>
    <col min="12077" max="12077" width="16.140625" style="50" customWidth="1"/>
    <col min="12078" max="12291" width="10.85546875" style="50"/>
    <col min="12292" max="12292" width="42" style="50" customWidth="1"/>
    <col min="12293" max="12293" width="21.7109375" style="50" customWidth="1"/>
    <col min="12294" max="12305" width="20.7109375" style="50" customWidth="1"/>
    <col min="12306" max="12306" width="16.140625" style="50" customWidth="1"/>
    <col min="12307" max="12318" width="18.140625" style="50" customWidth="1"/>
    <col min="12319" max="12319" width="22.7109375" style="50" customWidth="1"/>
    <col min="12320" max="12320" width="19" style="50" customWidth="1"/>
    <col min="12321" max="12321" width="19.42578125" style="50" customWidth="1"/>
    <col min="12322" max="12322" width="6.28515625" style="50" bestFit="1" customWidth="1"/>
    <col min="12323" max="12323" width="22.85546875" style="50" customWidth="1"/>
    <col min="12324" max="12324" width="18.42578125" style="50" bestFit="1" customWidth="1"/>
    <col min="12325" max="12325" width="8.42578125" style="50" customWidth="1"/>
    <col min="12326" max="12326" width="18.42578125" style="50" bestFit="1" customWidth="1"/>
    <col min="12327" max="12327" width="5.7109375" style="50" customWidth="1"/>
    <col min="12328" max="12328" width="18.42578125" style="50" bestFit="1" customWidth="1"/>
    <col min="12329" max="12329" width="4.7109375" style="50" customWidth="1"/>
    <col min="12330" max="12330" width="23" style="50" bestFit="1" customWidth="1"/>
    <col min="12331" max="12331" width="10.85546875" style="50"/>
    <col min="12332" max="12332" width="18.42578125" style="50" bestFit="1" customWidth="1"/>
    <col min="12333" max="12333" width="16.140625" style="50" customWidth="1"/>
    <col min="12334" max="12547" width="10.85546875" style="50"/>
    <col min="12548" max="12548" width="42" style="50" customWidth="1"/>
    <col min="12549" max="12549" width="21.7109375" style="50" customWidth="1"/>
    <col min="12550" max="12561" width="20.7109375" style="50" customWidth="1"/>
    <col min="12562" max="12562" width="16.140625" style="50" customWidth="1"/>
    <col min="12563" max="12574" width="18.140625" style="50" customWidth="1"/>
    <col min="12575" max="12575" width="22.7109375" style="50" customWidth="1"/>
    <col min="12576" max="12576" width="19" style="50" customWidth="1"/>
    <col min="12577" max="12577" width="19.42578125" style="50" customWidth="1"/>
    <col min="12578" max="12578" width="6.28515625" style="50" bestFit="1" customWidth="1"/>
    <col min="12579" max="12579" width="22.85546875" style="50" customWidth="1"/>
    <col min="12580" max="12580" width="18.42578125" style="50" bestFit="1" customWidth="1"/>
    <col min="12581" max="12581" width="8.42578125" style="50" customWidth="1"/>
    <col min="12582" max="12582" width="18.42578125" style="50" bestFit="1" customWidth="1"/>
    <col min="12583" max="12583" width="5.7109375" style="50" customWidth="1"/>
    <col min="12584" max="12584" width="18.42578125" style="50" bestFit="1" customWidth="1"/>
    <col min="12585" max="12585" width="4.7109375" style="50" customWidth="1"/>
    <col min="12586" max="12586" width="23" style="50" bestFit="1" customWidth="1"/>
    <col min="12587" max="12587" width="10.85546875" style="50"/>
    <col min="12588" max="12588" width="18.42578125" style="50" bestFit="1" customWidth="1"/>
    <col min="12589" max="12589" width="16.140625" style="50" customWidth="1"/>
    <col min="12590" max="12803" width="10.85546875" style="50"/>
    <col min="12804" max="12804" width="42" style="50" customWidth="1"/>
    <col min="12805" max="12805" width="21.7109375" style="50" customWidth="1"/>
    <col min="12806" max="12817" width="20.7109375" style="50" customWidth="1"/>
    <col min="12818" max="12818" width="16.140625" style="50" customWidth="1"/>
    <col min="12819" max="12830" width="18.140625" style="50" customWidth="1"/>
    <col min="12831" max="12831" width="22.7109375" style="50" customWidth="1"/>
    <col min="12832" max="12832" width="19" style="50" customWidth="1"/>
    <col min="12833" max="12833" width="19.42578125" style="50" customWidth="1"/>
    <col min="12834" max="12834" width="6.28515625" style="50" bestFit="1" customWidth="1"/>
    <col min="12835" max="12835" width="22.85546875" style="50" customWidth="1"/>
    <col min="12836" max="12836" width="18.42578125" style="50" bestFit="1" customWidth="1"/>
    <col min="12837" max="12837" width="8.42578125" style="50" customWidth="1"/>
    <col min="12838" max="12838" width="18.42578125" style="50" bestFit="1" customWidth="1"/>
    <col min="12839" max="12839" width="5.7109375" style="50" customWidth="1"/>
    <col min="12840" max="12840" width="18.42578125" style="50" bestFit="1" customWidth="1"/>
    <col min="12841" max="12841" width="4.7109375" style="50" customWidth="1"/>
    <col min="12842" max="12842" width="23" style="50" bestFit="1" customWidth="1"/>
    <col min="12843" max="12843" width="10.85546875" style="50"/>
    <col min="12844" max="12844" width="18.42578125" style="50" bestFit="1" customWidth="1"/>
    <col min="12845" max="12845" width="16.140625" style="50" customWidth="1"/>
    <col min="12846" max="13059" width="10.85546875" style="50"/>
    <col min="13060" max="13060" width="42" style="50" customWidth="1"/>
    <col min="13061" max="13061" width="21.7109375" style="50" customWidth="1"/>
    <col min="13062" max="13073" width="20.7109375" style="50" customWidth="1"/>
    <col min="13074" max="13074" width="16.140625" style="50" customWidth="1"/>
    <col min="13075" max="13086" width="18.140625" style="50" customWidth="1"/>
    <col min="13087" max="13087" width="22.7109375" style="50" customWidth="1"/>
    <col min="13088" max="13088" width="19" style="50" customWidth="1"/>
    <col min="13089" max="13089" width="19.42578125" style="50" customWidth="1"/>
    <col min="13090" max="13090" width="6.28515625" style="50" bestFit="1" customWidth="1"/>
    <col min="13091" max="13091" width="22.85546875" style="50" customWidth="1"/>
    <col min="13092" max="13092" width="18.42578125" style="50" bestFit="1" customWidth="1"/>
    <col min="13093" max="13093" width="8.42578125" style="50" customWidth="1"/>
    <col min="13094" max="13094" width="18.42578125" style="50" bestFit="1" customWidth="1"/>
    <col min="13095" max="13095" width="5.7109375" style="50" customWidth="1"/>
    <col min="13096" max="13096" width="18.42578125" style="50" bestFit="1" customWidth="1"/>
    <col min="13097" max="13097" width="4.7109375" style="50" customWidth="1"/>
    <col min="13098" max="13098" width="23" style="50" bestFit="1" customWidth="1"/>
    <col min="13099" max="13099" width="10.85546875" style="50"/>
    <col min="13100" max="13100" width="18.42578125" style="50" bestFit="1" customWidth="1"/>
    <col min="13101" max="13101" width="16.140625" style="50" customWidth="1"/>
    <col min="13102" max="13315" width="10.85546875" style="50"/>
    <col min="13316" max="13316" width="42" style="50" customWidth="1"/>
    <col min="13317" max="13317" width="21.7109375" style="50" customWidth="1"/>
    <col min="13318" max="13329" width="20.7109375" style="50" customWidth="1"/>
    <col min="13330" max="13330" width="16.140625" style="50" customWidth="1"/>
    <col min="13331" max="13342" width="18.140625" style="50" customWidth="1"/>
    <col min="13343" max="13343" width="22.7109375" style="50" customWidth="1"/>
    <col min="13344" max="13344" width="19" style="50" customWidth="1"/>
    <col min="13345" max="13345" width="19.42578125" style="50" customWidth="1"/>
    <col min="13346" max="13346" width="6.28515625" style="50" bestFit="1" customWidth="1"/>
    <col min="13347" max="13347" width="22.85546875" style="50" customWidth="1"/>
    <col min="13348" max="13348" width="18.42578125" style="50" bestFit="1" customWidth="1"/>
    <col min="13349" max="13349" width="8.42578125" style="50" customWidth="1"/>
    <col min="13350" max="13350" width="18.42578125" style="50" bestFit="1" customWidth="1"/>
    <col min="13351" max="13351" width="5.7109375" style="50" customWidth="1"/>
    <col min="13352" max="13352" width="18.42578125" style="50" bestFit="1" customWidth="1"/>
    <col min="13353" max="13353" width="4.7109375" style="50" customWidth="1"/>
    <col min="13354" max="13354" width="23" style="50" bestFit="1" customWidth="1"/>
    <col min="13355" max="13355" width="10.85546875" style="50"/>
    <col min="13356" max="13356" width="18.42578125" style="50" bestFit="1" customWidth="1"/>
    <col min="13357" max="13357" width="16.140625" style="50" customWidth="1"/>
    <col min="13358" max="13571" width="10.85546875" style="50"/>
    <col min="13572" max="13572" width="42" style="50" customWidth="1"/>
    <col min="13573" max="13573" width="21.7109375" style="50" customWidth="1"/>
    <col min="13574" max="13585" width="20.7109375" style="50" customWidth="1"/>
    <col min="13586" max="13586" width="16.140625" style="50" customWidth="1"/>
    <col min="13587" max="13598" width="18.140625" style="50" customWidth="1"/>
    <col min="13599" max="13599" width="22.7109375" style="50" customWidth="1"/>
    <col min="13600" max="13600" width="19" style="50" customWidth="1"/>
    <col min="13601" max="13601" width="19.42578125" style="50" customWidth="1"/>
    <col min="13602" max="13602" width="6.28515625" style="50" bestFit="1" customWidth="1"/>
    <col min="13603" max="13603" width="22.85546875" style="50" customWidth="1"/>
    <col min="13604" max="13604" width="18.42578125" style="50" bestFit="1" customWidth="1"/>
    <col min="13605" max="13605" width="8.42578125" style="50" customWidth="1"/>
    <col min="13606" max="13606" width="18.42578125" style="50" bestFit="1" customWidth="1"/>
    <col min="13607" max="13607" width="5.7109375" style="50" customWidth="1"/>
    <col min="13608" max="13608" width="18.42578125" style="50" bestFit="1" customWidth="1"/>
    <col min="13609" max="13609" width="4.7109375" style="50" customWidth="1"/>
    <col min="13610" max="13610" width="23" style="50" bestFit="1" customWidth="1"/>
    <col min="13611" max="13611" width="10.85546875" style="50"/>
    <col min="13612" max="13612" width="18.42578125" style="50" bestFit="1" customWidth="1"/>
    <col min="13613" max="13613" width="16.140625" style="50" customWidth="1"/>
    <col min="13614" max="13827" width="10.85546875" style="50"/>
    <col min="13828" max="13828" width="42" style="50" customWidth="1"/>
    <col min="13829" max="13829" width="21.7109375" style="50" customWidth="1"/>
    <col min="13830" max="13841" width="20.7109375" style="50" customWidth="1"/>
    <col min="13842" max="13842" width="16.140625" style="50" customWidth="1"/>
    <col min="13843" max="13854" width="18.140625" style="50" customWidth="1"/>
    <col min="13855" max="13855" width="22.7109375" style="50" customWidth="1"/>
    <col min="13856" max="13856" width="19" style="50" customWidth="1"/>
    <col min="13857" max="13857" width="19.42578125" style="50" customWidth="1"/>
    <col min="13858" max="13858" width="6.28515625" style="50" bestFit="1" customWidth="1"/>
    <col min="13859" max="13859" width="22.85546875" style="50" customWidth="1"/>
    <col min="13860" max="13860" width="18.42578125" style="50" bestFit="1" customWidth="1"/>
    <col min="13861" max="13861" width="8.42578125" style="50" customWidth="1"/>
    <col min="13862" max="13862" width="18.42578125" style="50" bestFit="1" customWidth="1"/>
    <col min="13863" max="13863" width="5.7109375" style="50" customWidth="1"/>
    <col min="13864" max="13864" width="18.42578125" style="50" bestFit="1" customWidth="1"/>
    <col min="13865" max="13865" width="4.7109375" style="50" customWidth="1"/>
    <col min="13866" max="13866" width="23" style="50" bestFit="1" customWidth="1"/>
    <col min="13867" max="13867" width="10.85546875" style="50"/>
    <col min="13868" max="13868" width="18.42578125" style="50" bestFit="1" customWidth="1"/>
    <col min="13869" max="13869" width="16.140625" style="50" customWidth="1"/>
    <col min="13870" max="14083" width="10.85546875" style="50"/>
    <col min="14084" max="14084" width="42" style="50" customWidth="1"/>
    <col min="14085" max="14085" width="21.7109375" style="50" customWidth="1"/>
    <col min="14086" max="14097" width="20.7109375" style="50" customWidth="1"/>
    <col min="14098" max="14098" width="16.140625" style="50" customWidth="1"/>
    <col min="14099" max="14110" width="18.140625" style="50" customWidth="1"/>
    <col min="14111" max="14111" width="22.7109375" style="50" customWidth="1"/>
    <col min="14112" max="14112" width="19" style="50" customWidth="1"/>
    <col min="14113" max="14113" width="19.42578125" style="50" customWidth="1"/>
    <col min="14114" max="14114" width="6.28515625" style="50" bestFit="1" customWidth="1"/>
    <col min="14115" max="14115" width="22.85546875" style="50" customWidth="1"/>
    <col min="14116" max="14116" width="18.42578125" style="50" bestFit="1" customWidth="1"/>
    <col min="14117" max="14117" width="8.42578125" style="50" customWidth="1"/>
    <col min="14118" max="14118" width="18.42578125" style="50" bestFit="1" customWidth="1"/>
    <col min="14119" max="14119" width="5.7109375" style="50" customWidth="1"/>
    <col min="14120" max="14120" width="18.42578125" style="50" bestFit="1" customWidth="1"/>
    <col min="14121" max="14121" width="4.7109375" style="50" customWidth="1"/>
    <col min="14122" max="14122" width="23" style="50" bestFit="1" customWidth="1"/>
    <col min="14123" max="14123" width="10.85546875" style="50"/>
    <col min="14124" max="14124" width="18.42578125" style="50" bestFit="1" customWidth="1"/>
    <col min="14125" max="14125" width="16.140625" style="50" customWidth="1"/>
    <col min="14126" max="14339" width="10.85546875" style="50"/>
    <col min="14340" max="14340" width="42" style="50" customWidth="1"/>
    <col min="14341" max="14341" width="21.7109375" style="50" customWidth="1"/>
    <col min="14342" max="14353" width="20.7109375" style="50" customWidth="1"/>
    <col min="14354" max="14354" width="16.140625" style="50" customWidth="1"/>
    <col min="14355" max="14366" width="18.140625" style="50" customWidth="1"/>
    <col min="14367" max="14367" width="22.7109375" style="50" customWidth="1"/>
    <col min="14368" max="14368" width="19" style="50" customWidth="1"/>
    <col min="14369" max="14369" width="19.42578125" style="50" customWidth="1"/>
    <col min="14370" max="14370" width="6.28515625" style="50" bestFit="1" customWidth="1"/>
    <col min="14371" max="14371" width="22.85546875" style="50" customWidth="1"/>
    <col min="14372" max="14372" width="18.42578125" style="50" bestFit="1" customWidth="1"/>
    <col min="14373" max="14373" width="8.42578125" style="50" customWidth="1"/>
    <col min="14374" max="14374" width="18.42578125" style="50" bestFit="1" customWidth="1"/>
    <col min="14375" max="14375" width="5.7109375" style="50" customWidth="1"/>
    <col min="14376" max="14376" width="18.42578125" style="50" bestFit="1" customWidth="1"/>
    <col min="14377" max="14377" width="4.7109375" style="50" customWidth="1"/>
    <col min="14378" max="14378" width="23" style="50" bestFit="1" customWidth="1"/>
    <col min="14379" max="14379" width="10.85546875" style="50"/>
    <col min="14380" max="14380" width="18.42578125" style="50" bestFit="1" customWidth="1"/>
    <col min="14381" max="14381" width="16.140625" style="50" customWidth="1"/>
    <col min="14382" max="14595" width="10.85546875" style="50"/>
    <col min="14596" max="14596" width="42" style="50" customWidth="1"/>
    <col min="14597" max="14597" width="21.7109375" style="50" customWidth="1"/>
    <col min="14598" max="14609" width="20.7109375" style="50" customWidth="1"/>
    <col min="14610" max="14610" width="16.140625" style="50" customWidth="1"/>
    <col min="14611" max="14622" width="18.140625" style="50" customWidth="1"/>
    <col min="14623" max="14623" width="22.7109375" style="50" customWidth="1"/>
    <col min="14624" max="14624" width="19" style="50" customWidth="1"/>
    <col min="14625" max="14625" width="19.42578125" style="50" customWidth="1"/>
    <col min="14626" max="14626" width="6.28515625" style="50" bestFit="1" customWidth="1"/>
    <col min="14627" max="14627" width="22.85546875" style="50" customWidth="1"/>
    <col min="14628" max="14628" width="18.42578125" style="50" bestFit="1" customWidth="1"/>
    <col min="14629" max="14629" width="8.42578125" style="50" customWidth="1"/>
    <col min="14630" max="14630" width="18.42578125" style="50" bestFit="1" customWidth="1"/>
    <col min="14631" max="14631" width="5.7109375" style="50" customWidth="1"/>
    <col min="14632" max="14632" width="18.42578125" style="50" bestFit="1" customWidth="1"/>
    <col min="14633" max="14633" width="4.7109375" style="50" customWidth="1"/>
    <col min="14634" max="14634" width="23" style="50" bestFit="1" customWidth="1"/>
    <col min="14635" max="14635" width="10.85546875" style="50"/>
    <col min="14636" max="14636" width="18.42578125" style="50" bestFit="1" customWidth="1"/>
    <col min="14637" max="14637" width="16.140625" style="50" customWidth="1"/>
    <col min="14638" max="14851" width="10.85546875" style="50"/>
    <col min="14852" max="14852" width="42" style="50" customWidth="1"/>
    <col min="14853" max="14853" width="21.7109375" style="50" customWidth="1"/>
    <col min="14854" max="14865" width="20.7109375" style="50" customWidth="1"/>
    <col min="14866" max="14866" width="16.140625" style="50" customWidth="1"/>
    <col min="14867" max="14878" width="18.140625" style="50" customWidth="1"/>
    <col min="14879" max="14879" width="22.7109375" style="50" customWidth="1"/>
    <col min="14880" max="14880" width="19" style="50" customWidth="1"/>
    <col min="14881" max="14881" width="19.42578125" style="50" customWidth="1"/>
    <col min="14882" max="14882" width="6.28515625" style="50" bestFit="1" customWidth="1"/>
    <col min="14883" max="14883" width="22.85546875" style="50" customWidth="1"/>
    <col min="14884" max="14884" width="18.42578125" style="50" bestFit="1" customWidth="1"/>
    <col min="14885" max="14885" width="8.42578125" style="50" customWidth="1"/>
    <col min="14886" max="14886" width="18.42578125" style="50" bestFit="1" customWidth="1"/>
    <col min="14887" max="14887" width="5.7109375" style="50" customWidth="1"/>
    <col min="14888" max="14888" width="18.42578125" style="50" bestFit="1" customWidth="1"/>
    <col min="14889" max="14889" width="4.7109375" style="50" customWidth="1"/>
    <col min="14890" max="14890" width="23" style="50" bestFit="1" customWidth="1"/>
    <col min="14891" max="14891" width="10.85546875" style="50"/>
    <col min="14892" max="14892" width="18.42578125" style="50" bestFit="1" customWidth="1"/>
    <col min="14893" max="14893" width="16.140625" style="50" customWidth="1"/>
    <col min="14894" max="15107" width="10.85546875" style="50"/>
    <col min="15108" max="15108" width="42" style="50" customWidth="1"/>
    <col min="15109" max="15109" width="21.7109375" style="50" customWidth="1"/>
    <col min="15110" max="15121" width="20.7109375" style="50" customWidth="1"/>
    <col min="15122" max="15122" width="16.140625" style="50" customWidth="1"/>
    <col min="15123" max="15134" width="18.140625" style="50" customWidth="1"/>
    <col min="15135" max="15135" width="22.7109375" style="50" customWidth="1"/>
    <col min="15136" max="15136" width="19" style="50" customWidth="1"/>
    <col min="15137" max="15137" width="19.42578125" style="50" customWidth="1"/>
    <col min="15138" max="15138" width="6.28515625" style="50" bestFit="1" customWidth="1"/>
    <col min="15139" max="15139" width="22.85546875" style="50" customWidth="1"/>
    <col min="15140" max="15140" width="18.42578125" style="50" bestFit="1" customWidth="1"/>
    <col min="15141" max="15141" width="8.42578125" style="50" customWidth="1"/>
    <col min="15142" max="15142" width="18.42578125" style="50" bestFit="1" customWidth="1"/>
    <col min="15143" max="15143" width="5.7109375" style="50" customWidth="1"/>
    <col min="15144" max="15144" width="18.42578125" style="50" bestFit="1" customWidth="1"/>
    <col min="15145" max="15145" width="4.7109375" style="50" customWidth="1"/>
    <col min="15146" max="15146" width="23" style="50" bestFit="1" customWidth="1"/>
    <col min="15147" max="15147" width="10.85546875" style="50"/>
    <col min="15148" max="15148" width="18.42578125" style="50" bestFit="1" customWidth="1"/>
    <col min="15149" max="15149" width="16.140625" style="50" customWidth="1"/>
    <col min="15150" max="15363" width="10.85546875" style="50"/>
    <col min="15364" max="15364" width="42" style="50" customWidth="1"/>
    <col min="15365" max="15365" width="21.7109375" style="50" customWidth="1"/>
    <col min="15366" max="15377" width="20.7109375" style="50" customWidth="1"/>
    <col min="15378" max="15378" width="16.140625" style="50" customWidth="1"/>
    <col min="15379" max="15390" width="18.140625" style="50" customWidth="1"/>
    <col min="15391" max="15391" width="22.7109375" style="50" customWidth="1"/>
    <col min="15392" max="15392" width="19" style="50" customWidth="1"/>
    <col min="15393" max="15393" width="19.42578125" style="50" customWidth="1"/>
    <col min="15394" max="15394" width="6.28515625" style="50" bestFit="1" customWidth="1"/>
    <col min="15395" max="15395" width="22.85546875" style="50" customWidth="1"/>
    <col min="15396" max="15396" width="18.42578125" style="50" bestFit="1" customWidth="1"/>
    <col min="15397" max="15397" width="8.42578125" style="50" customWidth="1"/>
    <col min="15398" max="15398" width="18.42578125" style="50" bestFit="1" customWidth="1"/>
    <col min="15399" max="15399" width="5.7109375" style="50" customWidth="1"/>
    <col min="15400" max="15400" width="18.42578125" style="50" bestFit="1" customWidth="1"/>
    <col min="15401" max="15401" width="4.7109375" style="50" customWidth="1"/>
    <col min="15402" max="15402" width="23" style="50" bestFit="1" customWidth="1"/>
    <col min="15403" max="15403" width="10.85546875" style="50"/>
    <col min="15404" max="15404" width="18.42578125" style="50" bestFit="1" customWidth="1"/>
    <col min="15405" max="15405" width="16.140625" style="50" customWidth="1"/>
    <col min="15406" max="15619" width="10.85546875" style="50"/>
    <col min="15620" max="15620" width="42" style="50" customWidth="1"/>
    <col min="15621" max="15621" width="21.7109375" style="50" customWidth="1"/>
    <col min="15622" max="15633" width="20.7109375" style="50" customWidth="1"/>
    <col min="15634" max="15634" width="16.140625" style="50" customWidth="1"/>
    <col min="15635" max="15646" width="18.140625" style="50" customWidth="1"/>
    <col min="15647" max="15647" width="22.7109375" style="50" customWidth="1"/>
    <col min="15648" max="15648" width="19" style="50" customWidth="1"/>
    <col min="15649" max="15649" width="19.42578125" style="50" customWidth="1"/>
    <col min="15650" max="15650" width="6.28515625" style="50" bestFit="1" customWidth="1"/>
    <col min="15651" max="15651" width="22.85546875" style="50" customWidth="1"/>
    <col min="15652" max="15652" width="18.42578125" style="50" bestFit="1" customWidth="1"/>
    <col min="15653" max="15653" width="8.42578125" style="50" customWidth="1"/>
    <col min="15654" max="15654" width="18.42578125" style="50" bestFit="1" customWidth="1"/>
    <col min="15655" max="15655" width="5.7109375" style="50" customWidth="1"/>
    <col min="15656" max="15656" width="18.42578125" style="50" bestFit="1" customWidth="1"/>
    <col min="15657" max="15657" width="4.7109375" style="50" customWidth="1"/>
    <col min="15658" max="15658" width="23" style="50" bestFit="1" customWidth="1"/>
    <col min="15659" max="15659" width="10.85546875" style="50"/>
    <col min="15660" max="15660" width="18.42578125" style="50" bestFit="1" customWidth="1"/>
    <col min="15661" max="15661" width="16.140625" style="50" customWidth="1"/>
    <col min="15662" max="15875" width="10.85546875" style="50"/>
    <col min="15876" max="15876" width="42" style="50" customWidth="1"/>
    <col min="15877" max="15877" width="21.7109375" style="50" customWidth="1"/>
    <col min="15878" max="15889" width="20.7109375" style="50" customWidth="1"/>
    <col min="15890" max="15890" width="16.140625" style="50" customWidth="1"/>
    <col min="15891" max="15902" width="18.140625" style="50" customWidth="1"/>
    <col min="15903" max="15903" width="22.7109375" style="50" customWidth="1"/>
    <col min="15904" max="15904" width="19" style="50" customWidth="1"/>
    <col min="15905" max="15905" width="19.42578125" style="50" customWidth="1"/>
    <col min="15906" max="15906" width="6.28515625" style="50" bestFit="1" customWidth="1"/>
    <col min="15907" max="15907" width="22.85546875" style="50" customWidth="1"/>
    <col min="15908" max="15908" width="18.42578125" style="50" bestFit="1" customWidth="1"/>
    <col min="15909" max="15909" width="8.42578125" style="50" customWidth="1"/>
    <col min="15910" max="15910" width="18.42578125" style="50" bestFit="1" customWidth="1"/>
    <col min="15911" max="15911" width="5.7109375" style="50" customWidth="1"/>
    <col min="15912" max="15912" width="18.42578125" style="50" bestFit="1" customWidth="1"/>
    <col min="15913" max="15913" width="4.7109375" style="50" customWidth="1"/>
    <col min="15914" max="15914" width="23" style="50" bestFit="1" customWidth="1"/>
    <col min="15915" max="15915" width="10.85546875" style="50"/>
    <col min="15916" max="15916" width="18.42578125" style="50" bestFit="1" customWidth="1"/>
    <col min="15917" max="15917" width="16.140625" style="50" customWidth="1"/>
    <col min="15918" max="16131" width="10.85546875" style="50"/>
    <col min="16132" max="16132" width="42" style="50" customWidth="1"/>
    <col min="16133" max="16133" width="21.7109375" style="50" customWidth="1"/>
    <col min="16134" max="16145" width="20.7109375" style="50" customWidth="1"/>
    <col min="16146" max="16146" width="16.140625" style="50" customWidth="1"/>
    <col min="16147" max="16158" width="18.140625" style="50" customWidth="1"/>
    <col min="16159" max="16159" width="22.7109375" style="50" customWidth="1"/>
    <col min="16160" max="16160" width="19" style="50" customWidth="1"/>
    <col min="16161" max="16161" width="19.42578125" style="50" customWidth="1"/>
    <col min="16162" max="16162" width="6.28515625" style="50" bestFit="1" customWidth="1"/>
    <col min="16163" max="16163" width="22.85546875" style="50" customWidth="1"/>
    <col min="16164" max="16164" width="18.42578125" style="50" bestFit="1" customWidth="1"/>
    <col min="16165" max="16165" width="8.42578125" style="50" customWidth="1"/>
    <col min="16166" max="16166" width="18.42578125" style="50" bestFit="1" customWidth="1"/>
    <col min="16167" max="16167" width="5.7109375" style="50" customWidth="1"/>
    <col min="16168" max="16168" width="18.42578125" style="50" bestFit="1" customWidth="1"/>
    <col min="16169" max="16169" width="4.7109375" style="50" customWidth="1"/>
    <col min="16170" max="16170" width="23" style="50" bestFit="1" customWidth="1"/>
    <col min="16171" max="16171" width="10.85546875" style="50"/>
    <col min="16172" max="16172" width="18.42578125" style="50" bestFit="1" customWidth="1"/>
    <col min="16173" max="16173" width="16.140625" style="50" customWidth="1"/>
    <col min="16174" max="16384" width="10.85546875" style="50"/>
  </cols>
  <sheetData>
    <row r="1" spans="1:44" ht="32.25" customHeight="1">
      <c r="A1" s="793"/>
      <c r="B1" s="796" t="s">
        <v>0</v>
      </c>
      <c r="C1" s="797"/>
      <c r="D1" s="797"/>
      <c r="E1" s="797"/>
      <c r="F1" s="797"/>
      <c r="G1" s="797"/>
      <c r="H1" s="797"/>
      <c r="I1" s="797"/>
      <c r="J1" s="797"/>
      <c r="K1" s="797"/>
      <c r="L1" s="797"/>
      <c r="M1" s="797"/>
      <c r="N1" s="797"/>
      <c r="O1" s="797"/>
      <c r="P1" s="797"/>
      <c r="Q1" s="797"/>
      <c r="R1" s="797"/>
      <c r="S1" s="797"/>
      <c r="T1" s="797"/>
      <c r="U1" s="797"/>
      <c r="V1" s="797"/>
      <c r="W1" s="797"/>
      <c r="X1" s="797"/>
      <c r="Y1" s="797"/>
      <c r="Z1" s="797"/>
      <c r="AA1" s="798"/>
      <c r="AB1" s="799" t="s">
        <v>1</v>
      </c>
      <c r="AC1" s="800"/>
      <c r="AD1" s="801"/>
      <c r="AH1" s="512"/>
      <c r="AI1" s="50"/>
      <c r="AM1" s="531"/>
      <c r="AR1" s="512"/>
    </row>
    <row r="2" spans="1:44" ht="30.75" customHeight="1">
      <c r="A2" s="794"/>
      <c r="B2" s="802" t="s">
        <v>2</v>
      </c>
      <c r="C2" s="803"/>
      <c r="D2" s="803"/>
      <c r="E2" s="803"/>
      <c r="F2" s="803"/>
      <c r="G2" s="803"/>
      <c r="H2" s="803"/>
      <c r="I2" s="803"/>
      <c r="J2" s="803"/>
      <c r="K2" s="803"/>
      <c r="L2" s="803"/>
      <c r="M2" s="803"/>
      <c r="N2" s="803"/>
      <c r="O2" s="803"/>
      <c r="P2" s="803"/>
      <c r="Q2" s="803"/>
      <c r="R2" s="803"/>
      <c r="S2" s="803"/>
      <c r="T2" s="803"/>
      <c r="U2" s="803"/>
      <c r="V2" s="803"/>
      <c r="W2" s="803"/>
      <c r="X2" s="803"/>
      <c r="Y2" s="803"/>
      <c r="Z2" s="803"/>
      <c r="AA2" s="804"/>
      <c r="AB2" s="805" t="s">
        <v>3</v>
      </c>
      <c r="AC2" s="806"/>
      <c r="AD2" s="807"/>
    </row>
    <row r="3" spans="1:44" ht="24" customHeight="1">
      <c r="A3" s="794"/>
      <c r="B3" s="808" t="s">
        <v>4</v>
      </c>
      <c r="C3" s="809"/>
      <c r="D3" s="809"/>
      <c r="E3" s="809"/>
      <c r="F3" s="809"/>
      <c r="G3" s="809"/>
      <c r="H3" s="809"/>
      <c r="I3" s="809"/>
      <c r="J3" s="809"/>
      <c r="K3" s="809"/>
      <c r="L3" s="809"/>
      <c r="M3" s="809"/>
      <c r="N3" s="809"/>
      <c r="O3" s="809"/>
      <c r="P3" s="809"/>
      <c r="Q3" s="809"/>
      <c r="R3" s="809"/>
      <c r="S3" s="809"/>
      <c r="T3" s="809"/>
      <c r="U3" s="809"/>
      <c r="V3" s="809"/>
      <c r="W3" s="809"/>
      <c r="X3" s="809"/>
      <c r="Y3" s="809"/>
      <c r="Z3" s="809"/>
      <c r="AA3" s="810"/>
      <c r="AB3" s="805" t="s">
        <v>5</v>
      </c>
      <c r="AC3" s="806"/>
      <c r="AD3" s="807"/>
    </row>
    <row r="4" spans="1:44" ht="21.95" customHeight="1" thickBot="1">
      <c r="A4" s="795"/>
      <c r="B4" s="811"/>
      <c r="C4" s="812"/>
      <c r="D4" s="812"/>
      <c r="E4" s="812"/>
      <c r="F4" s="812"/>
      <c r="G4" s="812"/>
      <c r="H4" s="812"/>
      <c r="I4" s="812"/>
      <c r="J4" s="812"/>
      <c r="K4" s="812"/>
      <c r="L4" s="812"/>
      <c r="M4" s="812"/>
      <c r="N4" s="812"/>
      <c r="O4" s="812"/>
      <c r="P4" s="812"/>
      <c r="Q4" s="812"/>
      <c r="R4" s="812"/>
      <c r="S4" s="812"/>
      <c r="T4" s="812"/>
      <c r="U4" s="812"/>
      <c r="V4" s="812"/>
      <c r="W4" s="812"/>
      <c r="X4" s="812"/>
      <c r="Y4" s="812"/>
      <c r="Z4" s="812"/>
      <c r="AA4" s="813"/>
      <c r="AB4" s="814" t="s">
        <v>6</v>
      </c>
      <c r="AC4" s="815"/>
      <c r="AD4" s="816"/>
    </row>
    <row r="5" spans="1:44"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4"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4" ht="15" customHeight="1">
      <c r="A7" s="817" t="s">
        <v>7</v>
      </c>
      <c r="B7" s="818"/>
      <c r="C7" s="826" t="s">
        <v>37</v>
      </c>
      <c r="D7" s="817" t="s">
        <v>9</v>
      </c>
      <c r="E7" s="829"/>
      <c r="F7" s="829"/>
      <c r="G7" s="829"/>
      <c r="H7" s="818"/>
      <c r="I7" s="832">
        <v>44839</v>
      </c>
      <c r="J7" s="833"/>
      <c r="K7" s="817" t="s">
        <v>10</v>
      </c>
      <c r="L7" s="818"/>
      <c r="M7" s="838" t="s">
        <v>11</v>
      </c>
      <c r="N7" s="839"/>
      <c r="O7" s="843"/>
      <c r="P7" s="844"/>
      <c r="Q7" s="54"/>
      <c r="R7" s="54"/>
      <c r="S7" s="54"/>
      <c r="T7" s="54"/>
      <c r="U7" s="54"/>
      <c r="V7" s="54"/>
      <c r="W7" s="54"/>
      <c r="X7" s="54"/>
      <c r="Y7" s="54"/>
      <c r="Z7" s="55"/>
      <c r="AA7" s="54"/>
      <c r="AB7" s="54"/>
      <c r="AC7" s="60"/>
      <c r="AD7" s="61"/>
    </row>
    <row r="8" spans="1:44" ht="15" customHeight="1">
      <c r="A8" s="819"/>
      <c r="B8" s="820"/>
      <c r="C8" s="827"/>
      <c r="D8" s="819"/>
      <c r="E8" s="830"/>
      <c r="F8" s="830"/>
      <c r="G8" s="830"/>
      <c r="H8" s="820"/>
      <c r="I8" s="834"/>
      <c r="J8" s="835"/>
      <c r="K8" s="819"/>
      <c r="L8" s="820"/>
      <c r="M8" s="845" t="s">
        <v>12</v>
      </c>
      <c r="N8" s="846"/>
      <c r="O8" s="847"/>
      <c r="P8" s="848"/>
      <c r="Q8" s="54"/>
      <c r="R8" s="54"/>
      <c r="S8" s="54"/>
      <c r="T8" s="54"/>
      <c r="U8" s="54"/>
      <c r="V8" s="54"/>
      <c r="W8" s="54"/>
      <c r="X8" s="54"/>
      <c r="Y8" s="54"/>
      <c r="Z8" s="55"/>
      <c r="AA8" s="54"/>
      <c r="AB8" s="54"/>
      <c r="AC8" s="60"/>
      <c r="AD8" s="61"/>
    </row>
    <row r="9" spans="1:44" ht="15.75" customHeight="1" thickBot="1">
      <c r="A9" s="821"/>
      <c r="B9" s="822"/>
      <c r="C9" s="828"/>
      <c r="D9" s="821"/>
      <c r="E9" s="831"/>
      <c r="F9" s="831"/>
      <c r="G9" s="831"/>
      <c r="H9" s="822"/>
      <c r="I9" s="836"/>
      <c r="J9" s="837"/>
      <c r="K9" s="821"/>
      <c r="L9" s="822"/>
      <c r="M9" s="849" t="s">
        <v>13</v>
      </c>
      <c r="N9" s="850"/>
      <c r="O9" s="851" t="s">
        <v>14</v>
      </c>
      <c r="P9" s="852"/>
      <c r="Q9" s="54"/>
      <c r="R9" s="54"/>
      <c r="S9" s="54"/>
      <c r="T9" s="54"/>
      <c r="U9" s="54"/>
      <c r="V9" s="54"/>
      <c r="W9" s="54"/>
      <c r="X9" s="54"/>
      <c r="Y9" s="54"/>
      <c r="Z9" s="55"/>
      <c r="AA9" s="54"/>
      <c r="AB9" s="54"/>
      <c r="AC9" s="60"/>
      <c r="AD9" s="61"/>
    </row>
    <row r="10" spans="1:44"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44" ht="15" customHeight="1">
      <c r="A11" s="817" t="s">
        <v>15</v>
      </c>
      <c r="B11" s="818"/>
      <c r="C11" s="823" t="s">
        <v>16</v>
      </c>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5"/>
    </row>
    <row r="12" spans="1:44" ht="15" customHeight="1">
      <c r="A12" s="819"/>
      <c r="B12" s="820"/>
      <c r="C12" s="808"/>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10"/>
    </row>
    <row r="13" spans="1:44" ht="15" customHeight="1" thickBot="1">
      <c r="A13" s="821"/>
      <c r="B13" s="822"/>
      <c r="C13" s="811"/>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3"/>
    </row>
    <row r="14" spans="1:44"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4" ht="39" customHeight="1" thickBot="1">
      <c r="A15" s="853" t="s">
        <v>17</v>
      </c>
      <c r="B15" s="854"/>
      <c r="C15" s="840" t="s">
        <v>18</v>
      </c>
      <c r="D15" s="841"/>
      <c r="E15" s="841"/>
      <c r="F15" s="841"/>
      <c r="G15" s="841"/>
      <c r="H15" s="841"/>
      <c r="I15" s="841"/>
      <c r="J15" s="841"/>
      <c r="K15" s="842"/>
      <c r="L15" s="855" t="s">
        <v>19</v>
      </c>
      <c r="M15" s="856"/>
      <c r="N15" s="856"/>
      <c r="O15" s="856"/>
      <c r="P15" s="856"/>
      <c r="Q15" s="857"/>
      <c r="R15" s="858" t="s">
        <v>20</v>
      </c>
      <c r="S15" s="859"/>
      <c r="T15" s="859"/>
      <c r="U15" s="859"/>
      <c r="V15" s="859"/>
      <c r="W15" s="859"/>
      <c r="X15" s="860"/>
      <c r="Y15" s="855" t="s">
        <v>21</v>
      </c>
      <c r="Z15" s="857"/>
      <c r="AA15" s="840" t="s">
        <v>22</v>
      </c>
      <c r="AB15" s="841"/>
      <c r="AC15" s="841"/>
      <c r="AD15" s="842"/>
    </row>
    <row r="16" spans="1:44" ht="9" customHeight="1" thickBot="1">
      <c r="A16" s="59"/>
      <c r="B16" s="54"/>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863"/>
      <c r="AC16" s="73"/>
      <c r="AD16" s="74"/>
    </row>
    <row r="17" spans="1:46" s="76" customFormat="1" ht="37.5" customHeight="1" thickBot="1">
      <c r="A17" s="853" t="s">
        <v>23</v>
      </c>
      <c r="B17" s="854"/>
      <c r="C17" s="864" t="s">
        <v>24</v>
      </c>
      <c r="D17" s="865"/>
      <c r="E17" s="865"/>
      <c r="F17" s="865"/>
      <c r="G17" s="865"/>
      <c r="H17" s="865"/>
      <c r="I17" s="865"/>
      <c r="J17" s="865"/>
      <c r="K17" s="865"/>
      <c r="L17" s="865"/>
      <c r="M17" s="865"/>
      <c r="N17" s="865"/>
      <c r="O17" s="865"/>
      <c r="P17" s="865"/>
      <c r="Q17" s="866"/>
      <c r="R17" s="855" t="s">
        <v>25</v>
      </c>
      <c r="S17" s="856"/>
      <c r="T17" s="856"/>
      <c r="U17" s="856"/>
      <c r="V17" s="857"/>
      <c r="W17" s="867">
        <v>7000</v>
      </c>
      <c r="X17" s="868"/>
      <c r="Y17" s="856" t="s">
        <v>26</v>
      </c>
      <c r="Z17" s="856"/>
      <c r="AA17" s="856"/>
      <c r="AB17" s="857"/>
      <c r="AC17" s="869">
        <v>0.3</v>
      </c>
      <c r="AD17" s="870"/>
      <c r="AI17" s="532"/>
      <c r="AJ17" s="532"/>
      <c r="AK17" s="532"/>
      <c r="AL17" s="532"/>
      <c r="AM17" s="513"/>
      <c r="AN17" s="513"/>
      <c r="AO17" s="513"/>
      <c r="AP17" s="513"/>
      <c r="AQ17" s="513"/>
    </row>
    <row r="18" spans="1:46"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6" ht="32.1" hidden="1" customHeight="1" thickBot="1">
      <c r="A19" s="855" t="s">
        <v>27</v>
      </c>
      <c r="B19" s="856"/>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7"/>
      <c r="AE19" s="83"/>
      <c r="AF19" s="83"/>
      <c r="AG19" s="83"/>
      <c r="AH19" s="83"/>
      <c r="AI19" s="533"/>
    </row>
    <row r="20" spans="1:46" ht="32.1" customHeight="1" thickBot="1">
      <c r="A20" s="82"/>
      <c r="B20" s="60"/>
      <c r="C20" s="871" t="s">
        <v>28</v>
      </c>
      <c r="D20" s="872"/>
      <c r="E20" s="872"/>
      <c r="F20" s="872"/>
      <c r="G20" s="872"/>
      <c r="H20" s="872"/>
      <c r="I20" s="872"/>
      <c r="J20" s="872"/>
      <c r="K20" s="872"/>
      <c r="L20" s="872"/>
      <c r="M20" s="872"/>
      <c r="N20" s="872"/>
      <c r="O20" s="872"/>
      <c r="P20" s="873"/>
      <c r="Q20" s="871" t="s">
        <v>29</v>
      </c>
      <c r="R20" s="872"/>
      <c r="S20" s="872"/>
      <c r="T20" s="872"/>
      <c r="U20" s="872"/>
      <c r="V20" s="872"/>
      <c r="W20" s="872"/>
      <c r="X20" s="872"/>
      <c r="Y20" s="872"/>
      <c r="Z20" s="872"/>
      <c r="AA20" s="872"/>
      <c r="AB20" s="872"/>
      <c r="AC20" s="872"/>
      <c r="AD20" s="873"/>
      <c r="AE20" s="83"/>
      <c r="AF20" s="83"/>
      <c r="AG20" s="83"/>
      <c r="AH20" s="83"/>
      <c r="AI20" s="533"/>
    </row>
    <row r="21" spans="1:46" ht="32.1" customHeight="1" thickBot="1">
      <c r="A21" s="359"/>
      <c r="B21" s="56"/>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c r="AG21" s="3"/>
      <c r="AH21" s="3"/>
      <c r="AI21" s="534"/>
    </row>
    <row r="22" spans="1:46" ht="32.1" customHeight="1">
      <c r="A22" s="874" t="s">
        <v>43</v>
      </c>
      <c r="B22" s="875"/>
      <c r="C22" s="635">
        <v>0</v>
      </c>
      <c r="D22" s="636">
        <v>0</v>
      </c>
      <c r="E22" s="636">
        <v>0</v>
      </c>
      <c r="F22" s="636">
        <v>0</v>
      </c>
      <c r="G22" s="636">
        <v>0</v>
      </c>
      <c r="H22" s="636">
        <v>0</v>
      </c>
      <c r="I22" s="636">
        <v>0</v>
      </c>
      <c r="J22" s="636">
        <v>0</v>
      </c>
      <c r="K22" s="636">
        <v>0</v>
      </c>
      <c r="L22" s="636">
        <v>0</v>
      </c>
      <c r="M22" s="636">
        <v>0</v>
      </c>
      <c r="N22" s="636">
        <v>0</v>
      </c>
      <c r="O22" s="636">
        <f>SUM(C22:N22)</f>
        <v>0</v>
      </c>
      <c r="P22" s="637"/>
      <c r="Q22" s="739">
        <v>1390832000</v>
      </c>
      <c r="R22" s="740">
        <v>0</v>
      </c>
      <c r="S22" s="741">
        <v>5539000</v>
      </c>
      <c r="T22" s="741">
        <f>(5500000*91%)+3360000+(150000000*33%)</f>
        <v>57865000</v>
      </c>
      <c r="U22" s="741">
        <f>(471340694*95%)+14783248</f>
        <v>462556907.29999995</v>
      </c>
      <c r="V22" s="741">
        <f>(58000000*86%)+(5117000*71%)+20000000+(71651306*81%)</f>
        <v>131550627.86000001</v>
      </c>
      <c r="W22" s="741">
        <f>157760500+92608376+92608376-61226236-6423637</f>
        <v>275327379</v>
      </c>
      <c r="X22" s="740">
        <v>0</v>
      </c>
      <c r="Y22" s="741">
        <v>10550000</v>
      </c>
      <c r="Z22" s="740">
        <v>0</v>
      </c>
      <c r="AA22" s="740">
        <v>0</v>
      </c>
      <c r="AB22" s="740">
        <v>0</v>
      </c>
      <c r="AC22" s="787">
        <f>SUM(Q22:AB22)</f>
        <v>2334220914.1599998</v>
      </c>
      <c r="AD22" s="742"/>
      <c r="AE22" s="3"/>
      <c r="AF22" s="3"/>
      <c r="AG22" s="3"/>
      <c r="AH22" s="3"/>
      <c r="AI22" s="534"/>
      <c r="AJ22" s="535"/>
    </row>
    <row r="23" spans="1:46" ht="32.1" customHeight="1">
      <c r="A23" s="861" t="s">
        <v>44</v>
      </c>
      <c r="B23" s="862"/>
      <c r="C23" s="638">
        <v>0</v>
      </c>
      <c r="D23" s="639">
        <v>0</v>
      </c>
      <c r="E23" s="639">
        <v>0</v>
      </c>
      <c r="F23" s="639">
        <v>0</v>
      </c>
      <c r="G23" s="639">
        <v>0</v>
      </c>
      <c r="H23" s="639">
        <v>0</v>
      </c>
      <c r="I23" s="639">
        <v>0</v>
      </c>
      <c r="J23" s="639">
        <v>0</v>
      </c>
      <c r="K23" s="639">
        <v>0</v>
      </c>
      <c r="L23" s="639">
        <v>0</v>
      </c>
      <c r="M23" s="639">
        <v>0</v>
      </c>
      <c r="N23" s="639">
        <v>0</v>
      </c>
      <c r="O23" s="636">
        <f>SUM(C23:N23)</f>
        <v>0</v>
      </c>
      <c r="P23" s="640" t="str">
        <f>IFERROR(O23/(SUMIF(C23:N23,"&gt;0",C22:N22))," ")</f>
        <v xml:space="preserve"> </v>
      </c>
      <c r="Q23" s="739">
        <v>1351177000</v>
      </c>
      <c r="R23" s="740">
        <v>0</v>
      </c>
      <c r="S23" s="741">
        <v>41519667</v>
      </c>
      <c r="T23" s="743">
        <v>-360500</v>
      </c>
      <c r="U23" s="743">
        <v>103130142</v>
      </c>
      <c r="V23" s="743">
        <v>84937295</v>
      </c>
      <c r="W23" s="743">
        <v>21630000</v>
      </c>
      <c r="X23" s="740">
        <v>0</v>
      </c>
      <c r="Y23" s="766">
        <f>-1442000+420718101</f>
        <v>419276101</v>
      </c>
      <c r="Z23" s="740">
        <v>0</v>
      </c>
      <c r="AA23" s="740">
        <v>0</v>
      </c>
      <c r="AB23" s="740">
        <v>0</v>
      </c>
      <c r="AC23" s="788">
        <f>SUM(Q23:AB23)</f>
        <v>2021309705</v>
      </c>
      <c r="AD23" s="744">
        <f>AC23/AC22</f>
        <v>0.8659461890424347</v>
      </c>
      <c r="AE23" s="536" t="s">
        <v>45</v>
      </c>
      <c r="AF23" s="3"/>
      <c r="AG23" s="3"/>
      <c r="AH23" s="622"/>
      <c r="AJ23" s="535"/>
    </row>
    <row r="24" spans="1:46" ht="32.1" customHeight="1">
      <c r="A24" s="861" t="s">
        <v>46</v>
      </c>
      <c r="B24" s="862"/>
      <c r="C24" s="638">
        <v>0</v>
      </c>
      <c r="D24" s="641">
        <v>101788233</v>
      </c>
      <c r="E24" s="641">
        <v>124895643</v>
      </c>
      <c r="F24" s="642">
        <f>277514964+10440572-4759996</f>
        <v>283195540</v>
      </c>
      <c r="G24" s="642">
        <v>-4167765</v>
      </c>
      <c r="H24" s="639">
        <v>0</v>
      </c>
      <c r="I24" s="639">
        <v>0</v>
      </c>
      <c r="J24" s="639">
        <v>0</v>
      </c>
      <c r="K24" s="639">
        <v>0</v>
      </c>
      <c r="L24" s="639">
        <v>0</v>
      </c>
      <c r="M24" s="639">
        <v>0</v>
      </c>
      <c r="N24" s="639">
        <v>0</v>
      </c>
      <c r="O24" s="692">
        <f>SUM(C24:N24)</f>
        <v>505711651</v>
      </c>
      <c r="P24" s="644"/>
      <c r="Q24" s="739">
        <v>0</v>
      </c>
      <c r="R24" s="741">
        <v>93098268.096666679</v>
      </c>
      <c r="S24" s="741">
        <v>167652934.76333335</v>
      </c>
      <c r="T24" s="741">
        <v>167652934.76333335</v>
      </c>
      <c r="U24" s="743">
        <v>167652934.76333299</v>
      </c>
      <c r="V24" s="743">
        <v>168278559.76333335</v>
      </c>
      <c r="W24" s="743">
        <v>213550774.04904768</v>
      </c>
      <c r="X24" s="743">
        <v>202142440.71571437</v>
      </c>
      <c r="Y24" s="743">
        <v>218642440.71571437</v>
      </c>
      <c r="Z24" s="743">
        <v>216925688.71571437</v>
      </c>
      <c r="AA24" s="743">
        <v>311250816.71571434</v>
      </c>
      <c r="AB24" s="743">
        <f>300289816.715714+174733177.382381-61226236-6423637</f>
        <v>407373121.09809494</v>
      </c>
      <c r="AC24" s="788">
        <f>SUM(Q24:AB24)</f>
        <v>2334220914.1599998</v>
      </c>
      <c r="AD24" s="744"/>
      <c r="AE24" s="3"/>
      <c r="AF24" s="3"/>
      <c r="AG24" s="3"/>
      <c r="AH24" s="622"/>
      <c r="AI24" s="534"/>
      <c r="AJ24" s="535"/>
    </row>
    <row r="25" spans="1:46" ht="32.1" customHeight="1" thickBot="1">
      <c r="A25" s="876" t="s">
        <v>47</v>
      </c>
      <c r="B25" s="877"/>
      <c r="C25" s="645">
        <v>26967057.460000001</v>
      </c>
      <c r="D25" s="646">
        <v>9406242.5399999991</v>
      </c>
      <c r="E25" s="646">
        <v>180802209.08000001</v>
      </c>
      <c r="F25" s="646">
        <f>31500000</f>
        <v>31500000</v>
      </c>
      <c r="G25" s="646">
        <f>3500000+2946700+53646371.52</f>
        <v>60093071.520000003</v>
      </c>
      <c r="H25" s="646">
        <f>1750000+(29338503*94%)</f>
        <v>29328192.82</v>
      </c>
      <c r="I25" s="646">
        <f>35681367*94%</f>
        <v>33540484.979999997</v>
      </c>
      <c r="J25" s="745">
        <f>26958669*94%</f>
        <v>25341148.859999999</v>
      </c>
      <c r="K25" s="769">
        <f>15550416*94%</f>
        <v>14617391.039999999</v>
      </c>
      <c r="L25" s="647">
        <v>0</v>
      </c>
      <c r="M25" s="647">
        <v>0</v>
      </c>
      <c r="N25" s="647">
        <v>0</v>
      </c>
      <c r="O25" s="695">
        <f>SUM(C25:N25)</f>
        <v>411595798.30000007</v>
      </c>
      <c r="P25" s="470">
        <f>O25/O24</f>
        <v>0.81389423693542717</v>
      </c>
      <c r="Q25" s="746">
        <v>0</v>
      </c>
      <c r="R25" s="746">
        <v>30987234</v>
      </c>
      <c r="S25" s="746">
        <v>121617000</v>
      </c>
      <c r="T25" s="746">
        <v>107712000</v>
      </c>
      <c r="U25" s="746">
        <v>139342000</v>
      </c>
      <c r="V25" s="746">
        <v>207524257</v>
      </c>
      <c r="W25" s="746">
        <v>134775385</v>
      </c>
      <c r="X25" s="747">
        <v>133729594</v>
      </c>
      <c r="Y25" s="767">
        <v>145598341</v>
      </c>
      <c r="Z25" s="748">
        <v>0</v>
      </c>
      <c r="AA25" s="748">
        <v>0</v>
      </c>
      <c r="AB25" s="748">
        <v>0</v>
      </c>
      <c r="AC25" s="791">
        <f>SUM(Q25:AB25)</f>
        <v>1021285811</v>
      </c>
      <c r="AD25" s="749">
        <f>AC25/AC24</f>
        <v>0.43752748713911815</v>
      </c>
      <c r="AE25" s="484"/>
      <c r="AF25" s="484">
        <v>741957876</v>
      </c>
      <c r="AG25" s="3"/>
      <c r="AH25" s="622"/>
      <c r="AI25" s="537"/>
      <c r="AJ25" s="535"/>
    </row>
    <row r="26" spans="1:46" ht="32.1" customHeight="1" thickBot="1">
      <c r="A26" s="59"/>
      <c r="B26" s="54"/>
      <c r="C26" s="80"/>
      <c r="D26" s="543"/>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E26" s="484"/>
      <c r="AF26" s="484">
        <v>15550416</v>
      </c>
      <c r="AH26" s="768">
        <f>AF26*94%</f>
        <v>14617391.039999999</v>
      </c>
      <c r="AI26" s="535"/>
      <c r="AK26" s="535"/>
    </row>
    <row r="27" spans="1:46" ht="33.950000000000003" customHeight="1">
      <c r="A27" s="878" t="s">
        <v>48</v>
      </c>
      <c r="B27" s="879"/>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0"/>
      <c r="AA27" s="880"/>
      <c r="AB27" s="880"/>
      <c r="AC27" s="880"/>
      <c r="AD27" s="881"/>
      <c r="AH27" s="768">
        <f>AF26*6%</f>
        <v>933024.96</v>
      </c>
    </row>
    <row r="28" spans="1:46" ht="15" customHeight="1">
      <c r="A28" s="882" t="s">
        <v>49</v>
      </c>
      <c r="B28" s="884" t="s">
        <v>50</v>
      </c>
      <c r="C28" s="885"/>
      <c r="D28" s="888" t="s">
        <v>51</v>
      </c>
      <c r="E28" s="889"/>
      <c r="F28" s="889"/>
      <c r="G28" s="889"/>
      <c r="H28" s="889"/>
      <c r="I28" s="889"/>
      <c r="J28" s="889"/>
      <c r="K28" s="889"/>
      <c r="L28" s="889"/>
      <c r="M28" s="889"/>
      <c r="N28" s="889"/>
      <c r="O28" s="890"/>
      <c r="P28" s="891" t="s">
        <v>41</v>
      </c>
      <c r="Q28" s="891" t="s">
        <v>52</v>
      </c>
      <c r="R28" s="891"/>
      <c r="S28" s="891"/>
      <c r="T28" s="891"/>
      <c r="U28" s="891"/>
      <c r="V28" s="891"/>
      <c r="W28" s="891"/>
      <c r="X28" s="891"/>
      <c r="Y28" s="891"/>
      <c r="Z28" s="891"/>
      <c r="AA28" s="891"/>
      <c r="AB28" s="891"/>
      <c r="AC28" s="891"/>
      <c r="AD28" s="862"/>
    </row>
    <row r="29" spans="1:46" ht="27" customHeight="1">
      <c r="A29" s="883"/>
      <c r="B29" s="886"/>
      <c r="C29" s="887"/>
      <c r="D29" s="88" t="s">
        <v>30</v>
      </c>
      <c r="E29" s="88" t="s">
        <v>31</v>
      </c>
      <c r="F29" s="88" t="s">
        <v>32</v>
      </c>
      <c r="G29" s="88" t="s">
        <v>33</v>
      </c>
      <c r="H29" s="88" t="s">
        <v>34</v>
      </c>
      <c r="I29" s="88" t="s">
        <v>35</v>
      </c>
      <c r="J29" s="88" t="s">
        <v>36</v>
      </c>
      <c r="K29" s="88" t="s">
        <v>8</v>
      </c>
      <c r="L29" s="88" t="s">
        <v>37</v>
      </c>
      <c r="M29" s="88" t="s">
        <v>38</v>
      </c>
      <c r="N29" s="88" t="s">
        <v>39</v>
      </c>
      <c r="O29" s="88" t="s">
        <v>40</v>
      </c>
      <c r="P29" s="890"/>
      <c r="Q29" s="891"/>
      <c r="R29" s="891"/>
      <c r="S29" s="891"/>
      <c r="T29" s="891"/>
      <c r="U29" s="891"/>
      <c r="V29" s="891"/>
      <c r="W29" s="891"/>
      <c r="X29" s="891"/>
      <c r="Y29" s="891"/>
      <c r="Z29" s="891"/>
      <c r="AA29" s="891"/>
      <c r="AB29" s="891"/>
      <c r="AC29" s="891"/>
      <c r="AD29" s="862"/>
      <c r="AF29" s="50">
        <v>0</v>
      </c>
    </row>
    <row r="30" spans="1:46" ht="114" customHeight="1" thickBot="1">
      <c r="A30" s="618" t="str">
        <f>C17</f>
        <v>Formar 26.100 mujeres en sus derechos a través de procesos de desarrollo de capacidades en el uso TIC</v>
      </c>
      <c r="B30" s="892"/>
      <c r="C30" s="893"/>
      <c r="D30" s="167"/>
      <c r="E30" s="89"/>
      <c r="F30" s="89"/>
      <c r="G30" s="89"/>
      <c r="H30" s="89"/>
      <c r="I30" s="89"/>
      <c r="J30" s="89"/>
      <c r="K30" s="89"/>
      <c r="L30" s="89"/>
      <c r="M30" s="89"/>
      <c r="N30" s="89"/>
      <c r="O30" s="89"/>
      <c r="P30" s="86">
        <f>SUM(D30:O30)</f>
        <v>0</v>
      </c>
      <c r="Q30" s="894" t="s">
        <v>1264</v>
      </c>
      <c r="R30" s="895"/>
      <c r="S30" s="895"/>
      <c r="T30" s="895"/>
      <c r="U30" s="895"/>
      <c r="V30" s="895"/>
      <c r="W30" s="895"/>
      <c r="X30" s="895"/>
      <c r="Y30" s="895"/>
      <c r="Z30" s="895"/>
      <c r="AA30" s="895"/>
      <c r="AB30" s="895"/>
      <c r="AC30" s="895"/>
      <c r="AD30" s="896"/>
      <c r="AF30" s="770" t="s">
        <v>53</v>
      </c>
    </row>
    <row r="31" spans="1:46" ht="45" customHeight="1">
      <c r="A31" s="897" t="s">
        <v>54</v>
      </c>
      <c r="B31" s="89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9"/>
    </row>
    <row r="32" spans="1:46" ht="23.1" customHeight="1">
      <c r="A32" s="861" t="s">
        <v>55</v>
      </c>
      <c r="B32" s="891" t="s">
        <v>56</v>
      </c>
      <c r="C32" s="891" t="s">
        <v>50</v>
      </c>
      <c r="D32" s="891" t="s">
        <v>57</v>
      </c>
      <c r="E32" s="891"/>
      <c r="F32" s="891"/>
      <c r="G32" s="891"/>
      <c r="H32" s="891"/>
      <c r="I32" s="891"/>
      <c r="J32" s="891"/>
      <c r="K32" s="891"/>
      <c r="L32" s="891"/>
      <c r="M32" s="891"/>
      <c r="N32" s="891"/>
      <c r="O32" s="891"/>
      <c r="P32" s="891"/>
      <c r="Q32" s="891" t="s">
        <v>58</v>
      </c>
      <c r="R32" s="891"/>
      <c r="S32" s="891"/>
      <c r="T32" s="891"/>
      <c r="U32" s="891"/>
      <c r="V32" s="891"/>
      <c r="W32" s="891"/>
      <c r="X32" s="891"/>
      <c r="Y32" s="891"/>
      <c r="Z32" s="891"/>
      <c r="AA32" s="891"/>
      <c r="AB32" s="891"/>
      <c r="AC32" s="891"/>
      <c r="AD32" s="862"/>
      <c r="AI32" s="538"/>
      <c r="AJ32" s="538"/>
      <c r="AK32" s="538"/>
      <c r="AL32" s="539"/>
      <c r="AR32" s="157"/>
      <c r="AS32" s="157"/>
      <c r="AT32" s="511"/>
    </row>
    <row r="33" spans="1:44" ht="23.1" customHeight="1">
      <c r="A33" s="861"/>
      <c r="B33" s="891"/>
      <c r="C33" s="900"/>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86" t="s">
        <v>59</v>
      </c>
      <c r="R33" s="901"/>
      <c r="S33" s="901"/>
      <c r="T33" s="901"/>
      <c r="U33" s="901"/>
      <c r="V33" s="887"/>
      <c r="W33" s="886" t="s">
        <v>60</v>
      </c>
      <c r="X33" s="901"/>
      <c r="Y33" s="901"/>
      <c r="Z33" s="887"/>
      <c r="AA33" s="886" t="s">
        <v>61</v>
      </c>
      <c r="AB33" s="901"/>
      <c r="AC33" s="901"/>
      <c r="AD33" s="910"/>
      <c r="AI33" s="540" t="s">
        <v>62</v>
      </c>
      <c r="AJ33" s="541" t="s">
        <v>63</v>
      </c>
      <c r="AK33" s="541" t="s">
        <v>64</v>
      </c>
      <c r="AL33" s="541" t="s">
        <v>65</v>
      </c>
      <c r="AM33" s="541" t="s">
        <v>66</v>
      </c>
      <c r="AN33" s="541" t="s">
        <v>67</v>
      </c>
      <c r="AO33" s="541" t="s">
        <v>68</v>
      </c>
      <c r="AP33" s="713" t="s">
        <v>69</v>
      </c>
      <c r="AQ33" s="436"/>
      <c r="AR33" s="87"/>
    </row>
    <row r="34" spans="1:44" ht="274.5" customHeight="1">
      <c r="A34" s="911" t="str">
        <f>A30</f>
        <v>Formar 26.100 mujeres en sus derechos a través de procesos de desarrollo de capacidades en el uso TIC</v>
      </c>
      <c r="B34" s="913">
        <f>B38+B40+B42+B44+B46+B48</f>
        <v>0.3</v>
      </c>
      <c r="C34" s="90" t="s">
        <v>70</v>
      </c>
      <c r="D34" s="167">
        <v>0</v>
      </c>
      <c r="E34" s="89">
        <v>500</v>
      </c>
      <c r="F34" s="89">
        <v>700</v>
      </c>
      <c r="G34" s="89">
        <v>700</v>
      </c>
      <c r="H34" s="89">
        <v>700</v>
      </c>
      <c r="I34" s="89">
        <v>700</v>
      </c>
      <c r="J34" s="89">
        <v>700</v>
      </c>
      <c r="K34" s="89">
        <v>700</v>
      </c>
      <c r="L34" s="89">
        <v>700</v>
      </c>
      <c r="M34" s="89">
        <v>700</v>
      </c>
      <c r="N34" s="89">
        <v>700</v>
      </c>
      <c r="O34" s="89">
        <v>200</v>
      </c>
      <c r="P34" s="89">
        <f>SUM(D34:O34)</f>
        <v>7000</v>
      </c>
      <c r="Q34" s="915" t="s">
        <v>1265</v>
      </c>
      <c r="R34" s="916"/>
      <c r="S34" s="916"/>
      <c r="T34" s="916"/>
      <c r="U34" s="916"/>
      <c r="V34" s="917"/>
      <c r="W34" s="921" t="s">
        <v>1266</v>
      </c>
      <c r="X34" s="922"/>
      <c r="Y34" s="922"/>
      <c r="Z34" s="923"/>
      <c r="AA34" s="927" t="s">
        <v>1267</v>
      </c>
      <c r="AB34" s="928"/>
      <c r="AC34" s="928"/>
      <c r="AD34" s="928"/>
      <c r="AI34" s="531" t="s">
        <v>71</v>
      </c>
      <c r="AJ34" s="531" t="s">
        <v>72</v>
      </c>
      <c r="AK34" s="531" t="s">
        <v>73</v>
      </c>
      <c r="AL34" s="531" t="s">
        <v>74</v>
      </c>
      <c r="AM34" s="531" t="s">
        <v>75</v>
      </c>
      <c r="AN34" s="531" t="s">
        <v>76</v>
      </c>
      <c r="AO34" s="531" t="s">
        <v>77</v>
      </c>
      <c r="AP34" s="531" t="s">
        <v>78</v>
      </c>
      <c r="AQ34" s="518"/>
      <c r="AR34" s="87"/>
    </row>
    <row r="35" spans="1:44" ht="274.5" customHeight="1">
      <c r="A35" s="912"/>
      <c r="B35" s="914"/>
      <c r="C35" s="168" t="s">
        <v>79</v>
      </c>
      <c r="D35" s="415">
        <v>0</v>
      </c>
      <c r="E35" s="416">
        <v>531</v>
      </c>
      <c r="F35" s="416">
        <v>950</v>
      </c>
      <c r="G35" s="416">
        <v>740</v>
      </c>
      <c r="H35" s="416">
        <v>922</v>
      </c>
      <c r="I35" s="416">
        <v>701</v>
      </c>
      <c r="J35" s="416">
        <v>738</v>
      </c>
      <c r="K35" s="416">
        <v>729</v>
      </c>
      <c r="L35" s="771">
        <v>728</v>
      </c>
      <c r="M35" s="417"/>
      <c r="N35" s="417"/>
      <c r="O35" s="417"/>
      <c r="P35" s="659">
        <f>SUM(D35:O35)</f>
        <v>6039</v>
      </c>
      <c r="Q35" s="918"/>
      <c r="R35" s="919"/>
      <c r="S35" s="919"/>
      <c r="T35" s="919"/>
      <c r="U35" s="919"/>
      <c r="V35" s="920"/>
      <c r="W35" s="924"/>
      <c r="X35" s="925"/>
      <c r="Y35" s="925"/>
      <c r="Z35" s="926"/>
      <c r="AA35" s="929"/>
      <c r="AB35" s="930"/>
      <c r="AC35" s="930"/>
      <c r="AD35" s="930"/>
      <c r="AE35" s="49"/>
      <c r="AF35" s="49"/>
      <c r="AG35" s="49"/>
      <c r="AH35" s="49"/>
      <c r="AI35" s="542">
        <f t="shared" ref="AI35:AP35" si="0">LEN(AI34)</f>
        <v>294</v>
      </c>
      <c r="AJ35" s="542">
        <f t="shared" si="0"/>
        <v>296</v>
      </c>
      <c r="AK35" s="542">
        <f t="shared" si="0"/>
        <v>295</v>
      </c>
      <c r="AL35" s="542">
        <f t="shared" si="0"/>
        <v>300</v>
      </c>
      <c r="AM35" s="542">
        <f t="shared" si="0"/>
        <v>297</v>
      </c>
      <c r="AN35" s="542">
        <f t="shared" si="0"/>
        <v>293</v>
      </c>
      <c r="AO35" s="542">
        <f t="shared" si="0"/>
        <v>256</v>
      </c>
      <c r="AP35" s="542">
        <f t="shared" si="0"/>
        <v>299</v>
      </c>
      <c r="AQ35" s="518"/>
      <c r="AR35" s="87"/>
    </row>
    <row r="36" spans="1:44" ht="26.1" customHeight="1">
      <c r="A36" s="891" t="s">
        <v>80</v>
      </c>
      <c r="B36" s="891" t="s">
        <v>81</v>
      </c>
      <c r="C36" s="891" t="s">
        <v>82</v>
      </c>
      <c r="D36" s="891"/>
      <c r="E36" s="891"/>
      <c r="F36" s="891"/>
      <c r="G36" s="891"/>
      <c r="H36" s="891"/>
      <c r="I36" s="891"/>
      <c r="J36" s="891"/>
      <c r="K36" s="891"/>
      <c r="L36" s="891"/>
      <c r="M36" s="891"/>
      <c r="N36" s="891"/>
      <c r="O36" s="891"/>
      <c r="P36" s="891"/>
      <c r="Q36" s="891" t="s">
        <v>83</v>
      </c>
      <c r="R36" s="891"/>
      <c r="S36" s="891"/>
      <c r="T36" s="891"/>
      <c r="U36" s="891"/>
      <c r="V36" s="891"/>
      <c r="W36" s="891"/>
      <c r="X36" s="891"/>
      <c r="Y36" s="891"/>
      <c r="Z36" s="891"/>
      <c r="AA36" s="891"/>
      <c r="AB36" s="891"/>
      <c r="AC36" s="891"/>
      <c r="AD36" s="891"/>
      <c r="AJ36" s="538"/>
      <c r="AK36" s="538"/>
      <c r="AL36" s="538"/>
      <c r="AM36" s="518"/>
      <c r="AN36" s="518"/>
      <c r="AO36" s="518"/>
      <c r="AP36" s="518"/>
      <c r="AQ36" s="518"/>
      <c r="AR36" s="87"/>
    </row>
    <row r="37" spans="1:44" ht="26.1" customHeight="1">
      <c r="A37" s="891"/>
      <c r="B37" s="891"/>
      <c r="C37" s="88" t="s">
        <v>84</v>
      </c>
      <c r="D37" s="88" t="s">
        <v>85</v>
      </c>
      <c r="E37" s="88" t="s">
        <v>86</v>
      </c>
      <c r="F37" s="88" t="s">
        <v>87</v>
      </c>
      <c r="G37" s="88" t="s">
        <v>88</v>
      </c>
      <c r="H37" s="88" t="s">
        <v>89</v>
      </c>
      <c r="I37" s="88" t="s">
        <v>90</v>
      </c>
      <c r="J37" s="88" t="s">
        <v>91</v>
      </c>
      <c r="K37" s="88" t="s">
        <v>92</v>
      </c>
      <c r="L37" s="88" t="s">
        <v>93</v>
      </c>
      <c r="M37" s="88" t="s">
        <v>94</v>
      </c>
      <c r="N37" s="88" t="s">
        <v>95</v>
      </c>
      <c r="O37" s="88" t="s">
        <v>96</v>
      </c>
      <c r="P37" s="88" t="s">
        <v>97</v>
      </c>
      <c r="Q37" s="891" t="s">
        <v>98</v>
      </c>
      <c r="R37" s="891"/>
      <c r="S37" s="891"/>
      <c r="T37" s="891"/>
      <c r="U37" s="891"/>
      <c r="V37" s="891"/>
      <c r="W37" s="891"/>
      <c r="X37" s="891"/>
      <c r="Y37" s="891"/>
      <c r="Z37" s="891"/>
      <c r="AA37" s="891"/>
      <c r="AB37" s="891"/>
      <c r="AC37" s="891"/>
      <c r="AD37" s="891"/>
      <c r="AJ37" s="539"/>
      <c r="AK37" s="539"/>
      <c r="AL37" s="539"/>
      <c r="AM37" s="519"/>
      <c r="AN37" s="519"/>
      <c r="AO37" s="519"/>
      <c r="AP37" s="519"/>
      <c r="AQ37" s="519"/>
      <c r="AR37" s="94"/>
    </row>
    <row r="38" spans="1:44" ht="178.5" customHeight="1">
      <c r="A38" s="902" t="s">
        <v>99</v>
      </c>
      <c r="B38" s="903">
        <v>0.05</v>
      </c>
      <c r="C38" s="102" t="s">
        <v>70</v>
      </c>
      <c r="D38" s="103">
        <v>0</v>
      </c>
      <c r="E38" s="103">
        <v>0.05</v>
      </c>
      <c r="F38" s="103">
        <v>0.1</v>
      </c>
      <c r="G38" s="103">
        <v>0.1</v>
      </c>
      <c r="H38" s="103">
        <v>0.1</v>
      </c>
      <c r="I38" s="103">
        <v>0.1</v>
      </c>
      <c r="J38" s="103">
        <v>0.1</v>
      </c>
      <c r="K38" s="701">
        <v>0.1</v>
      </c>
      <c r="L38" s="103">
        <v>0.1</v>
      </c>
      <c r="M38" s="103">
        <v>0.1</v>
      </c>
      <c r="N38" s="103">
        <v>0.1</v>
      </c>
      <c r="O38" s="103">
        <v>0.05</v>
      </c>
      <c r="P38" s="169">
        <f t="shared" ref="P38:P46" si="1">SUM(D38:O38)</f>
        <v>0.99999999999999989</v>
      </c>
      <c r="Q38" s="904" t="s">
        <v>1268</v>
      </c>
      <c r="R38" s="905"/>
      <c r="S38" s="905"/>
      <c r="T38" s="905"/>
      <c r="U38" s="905"/>
      <c r="V38" s="905"/>
      <c r="W38" s="905"/>
      <c r="X38" s="905"/>
      <c r="Y38" s="905"/>
      <c r="Z38" s="905"/>
      <c r="AA38" s="905"/>
      <c r="AB38" s="905"/>
      <c r="AC38" s="905"/>
      <c r="AD38" s="906"/>
      <c r="AE38" s="523">
        <f>LEN(Q38)</f>
        <v>2052</v>
      </c>
      <c r="AF38" s="523"/>
      <c r="AG38" s="523"/>
      <c r="AH38" s="523"/>
    </row>
    <row r="39" spans="1:44" ht="178.5" customHeight="1">
      <c r="A39" s="902"/>
      <c r="B39" s="903"/>
      <c r="C39" s="99" t="s">
        <v>79</v>
      </c>
      <c r="D39" s="100">
        <v>0</v>
      </c>
      <c r="E39" s="100">
        <v>0.05</v>
      </c>
      <c r="F39" s="100">
        <v>0.1</v>
      </c>
      <c r="G39" s="100">
        <v>0.1</v>
      </c>
      <c r="H39" s="100">
        <v>0.1</v>
      </c>
      <c r="I39" s="100">
        <v>0.1</v>
      </c>
      <c r="J39" s="100">
        <v>0.1</v>
      </c>
      <c r="K39" s="702">
        <v>0.1</v>
      </c>
      <c r="L39" s="100">
        <v>0.1</v>
      </c>
      <c r="M39" s="100"/>
      <c r="N39" s="100"/>
      <c r="O39" s="100"/>
      <c r="P39" s="169">
        <f t="shared" si="1"/>
        <v>0.74999999999999989</v>
      </c>
      <c r="Q39" s="907"/>
      <c r="R39" s="908"/>
      <c r="S39" s="908"/>
      <c r="T39" s="908"/>
      <c r="U39" s="908"/>
      <c r="V39" s="908"/>
      <c r="W39" s="908"/>
      <c r="X39" s="908"/>
      <c r="Y39" s="908"/>
      <c r="Z39" s="908"/>
      <c r="AA39" s="908"/>
      <c r="AB39" s="908"/>
      <c r="AC39" s="908"/>
      <c r="AD39" s="909"/>
      <c r="AE39" s="97"/>
      <c r="AF39" s="97"/>
      <c r="AG39" s="97"/>
      <c r="AH39" s="97"/>
    </row>
    <row r="40" spans="1:44" ht="122.25" customHeight="1">
      <c r="A40" s="902" t="s">
        <v>100</v>
      </c>
      <c r="B40" s="903">
        <v>0.05</v>
      </c>
      <c r="C40" s="102" t="s">
        <v>70</v>
      </c>
      <c r="D40" s="103">
        <v>0</v>
      </c>
      <c r="E40" s="103">
        <v>0.05</v>
      </c>
      <c r="F40" s="103">
        <v>0.2</v>
      </c>
      <c r="G40" s="103">
        <v>0.2</v>
      </c>
      <c r="H40" s="103">
        <v>0.2</v>
      </c>
      <c r="I40" s="103">
        <v>0.1</v>
      </c>
      <c r="J40" s="103">
        <v>0.05</v>
      </c>
      <c r="K40" s="703">
        <v>0.05</v>
      </c>
      <c r="L40" s="103">
        <v>0.05</v>
      </c>
      <c r="M40" s="103">
        <v>0.05</v>
      </c>
      <c r="N40" s="103">
        <v>0.05</v>
      </c>
      <c r="O40" s="103">
        <v>0</v>
      </c>
      <c r="P40" s="169">
        <f t="shared" si="1"/>
        <v>1.0000000000000002</v>
      </c>
      <c r="Q40" s="931" t="s">
        <v>1269</v>
      </c>
      <c r="R40" s="932"/>
      <c r="S40" s="932"/>
      <c r="T40" s="932"/>
      <c r="U40" s="932"/>
      <c r="V40" s="932"/>
      <c r="W40" s="932"/>
      <c r="X40" s="932"/>
      <c r="Y40" s="932"/>
      <c r="Z40" s="932"/>
      <c r="AA40" s="932"/>
      <c r="AB40" s="932"/>
      <c r="AC40" s="932"/>
      <c r="AD40" s="933"/>
      <c r="AE40" s="523">
        <f>LEN(Q40)</f>
        <v>1305</v>
      </c>
      <c r="AF40" s="523"/>
      <c r="AG40" s="523"/>
      <c r="AH40" s="523"/>
    </row>
    <row r="41" spans="1:44" ht="122.25" customHeight="1">
      <c r="A41" s="902"/>
      <c r="B41" s="903"/>
      <c r="C41" s="99" t="s">
        <v>79</v>
      </c>
      <c r="D41" s="100">
        <v>0</v>
      </c>
      <c r="E41" s="100">
        <v>0.05</v>
      </c>
      <c r="F41" s="100">
        <v>0.2</v>
      </c>
      <c r="G41" s="100">
        <v>0.2</v>
      </c>
      <c r="H41" s="100">
        <v>0.2</v>
      </c>
      <c r="I41" s="100">
        <v>0.1</v>
      </c>
      <c r="J41" s="100">
        <v>0.05</v>
      </c>
      <c r="K41" s="702">
        <v>0.05</v>
      </c>
      <c r="L41" s="100">
        <v>0.05</v>
      </c>
      <c r="M41" s="100"/>
      <c r="N41" s="100"/>
      <c r="O41" s="100"/>
      <c r="P41" s="169">
        <f t="shared" si="1"/>
        <v>0.90000000000000013</v>
      </c>
      <c r="Q41" s="934"/>
      <c r="R41" s="935"/>
      <c r="S41" s="935"/>
      <c r="T41" s="935"/>
      <c r="U41" s="935"/>
      <c r="V41" s="935"/>
      <c r="W41" s="935"/>
      <c r="X41" s="935"/>
      <c r="Y41" s="935"/>
      <c r="Z41" s="935"/>
      <c r="AA41" s="935"/>
      <c r="AB41" s="935"/>
      <c r="AC41" s="935"/>
      <c r="AD41" s="936"/>
      <c r="AE41" s="97"/>
      <c r="AF41" s="97"/>
      <c r="AG41" s="97"/>
      <c r="AH41" s="97"/>
    </row>
    <row r="42" spans="1:44" ht="229.5" customHeight="1">
      <c r="A42" s="902" t="s">
        <v>101</v>
      </c>
      <c r="B42" s="903">
        <v>0.05</v>
      </c>
      <c r="C42" s="102" t="s">
        <v>70</v>
      </c>
      <c r="D42" s="103">
        <v>0</v>
      </c>
      <c r="E42" s="103">
        <v>9.0999999999999998E-2</v>
      </c>
      <c r="F42" s="103">
        <v>9.0999999999999998E-2</v>
      </c>
      <c r="G42" s="103">
        <v>9.0999999999999998E-2</v>
      </c>
      <c r="H42" s="103">
        <v>9.0999999999999998E-2</v>
      </c>
      <c r="I42" s="103">
        <v>9.0999999999999998E-2</v>
      </c>
      <c r="J42" s="103">
        <v>9.0999999999999998E-2</v>
      </c>
      <c r="K42" s="703">
        <v>0.09</v>
      </c>
      <c r="L42" s="103">
        <v>9.0999999999999998E-2</v>
      </c>
      <c r="M42" s="103">
        <v>9.0999999999999998E-2</v>
      </c>
      <c r="N42" s="103">
        <v>9.0999999999999998E-2</v>
      </c>
      <c r="O42" s="103">
        <v>9.0999999999999998E-2</v>
      </c>
      <c r="P42" s="169">
        <f t="shared" si="1"/>
        <v>0.99999999999999978</v>
      </c>
      <c r="Q42" s="904" t="s">
        <v>1270</v>
      </c>
      <c r="R42" s="905"/>
      <c r="S42" s="905"/>
      <c r="T42" s="905"/>
      <c r="U42" s="905"/>
      <c r="V42" s="905"/>
      <c r="W42" s="905"/>
      <c r="X42" s="905"/>
      <c r="Y42" s="905"/>
      <c r="Z42" s="905"/>
      <c r="AA42" s="905"/>
      <c r="AB42" s="905"/>
      <c r="AC42" s="905"/>
      <c r="AD42" s="906"/>
      <c r="AE42" s="523">
        <f>LEN(Q42)</f>
        <v>2071</v>
      </c>
      <c r="AF42" s="523"/>
      <c r="AG42" s="523"/>
      <c r="AH42" s="523"/>
    </row>
    <row r="43" spans="1:44" ht="229.5" customHeight="1">
      <c r="A43" s="902"/>
      <c r="B43" s="903"/>
      <c r="C43" s="99" t="s">
        <v>79</v>
      </c>
      <c r="D43" s="100">
        <v>0</v>
      </c>
      <c r="E43" s="100">
        <v>9.0999999999999998E-2</v>
      </c>
      <c r="F43" s="100">
        <v>0.09</v>
      </c>
      <c r="G43" s="100">
        <v>0.09</v>
      </c>
      <c r="H43" s="100">
        <v>0.09</v>
      </c>
      <c r="I43" s="100">
        <v>0.09</v>
      </c>
      <c r="J43" s="100">
        <v>0.09</v>
      </c>
      <c r="K43" s="702">
        <v>0.09</v>
      </c>
      <c r="L43" s="100">
        <v>0.09</v>
      </c>
      <c r="M43" s="100"/>
      <c r="N43" s="100"/>
      <c r="O43" s="100"/>
      <c r="P43" s="169">
        <f t="shared" si="1"/>
        <v>0.72099999999999986</v>
      </c>
      <c r="Q43" s="907"/>
      <c r="R43" s="908"/>
      <c r="S43" s="908"/>
      <c r="T43" s="908"/>
      <c r="U43" s="908"/>
      <c r="V43" s="908"/>
      <c r="W43" s="908"/>
      <c r="X43" s="908"/>
      <c r="Y43" s="908"/>
      <c r="Z43" s="908"/>
      <c r="AA43" s="908"/>
      <c r="AB43" s="908"/>
      <c r="AC43" s="908"/>
      <c r="AD43" s="909"/>
      <c r="AE43" s="97"/>
      <c r="AF43" s="97"/>
      <c r="AG43" s="97"/>
      <c r="AH43" s="97"/>
    </row>
    <row r="44" spans="1:44" ht="165" customHeight="1">
      <c r="A44" s="902" t="s">
        <v>102</v>
      </c>
      <c r="B44" s="903">
        <v>0.05</v>
      </c>
      <c r="C44" s="102" t="s">
        <v>70</v>
      </c>
      <c r="D44" s="103">
        <v>0</v>
      </c>
      <c r="E44" s="103">
        <v>0</v>
      </c>
      <c r="F44" s="103">
        <v>0.25</v>
      </c>
      <c r="G44" s="103">
        <v>0</v>
      </c>
      <c r="H44" s="103">
        <v>0</v>
      </c>
      <c r="I44" s="103">
        <v>0.25</v>
      </c>
      <c r="J44" s="103">
        <v>0</v>
      </c>
      <c r="K44" s="703">
        <v>0</v>
      </c>
      <c r="L44" s="103">
        <v>0.25</v>
      </c>
      <c r="M44" s="103">
        <v>0</v>
      </c>
      <c r="N44" s="103">
        <v>0</v>
      </c>
      <c r="O44" s="103">
        <v>0.25</v>
      </c>
      <c r="P44" s="169">
        <f t="shared" si="1"/>
        <v>1</v>
      </c>
      <c r="Q44" s="904" t="s">
        <v>1271</v>
      </c>
      <c r="R44" s="905"/>
      <c r="S44" s="905"/>
      <c r="T44" s="905"/>
      <c r="U44" s="905"/>
      <c r="V44" s="905"/>
      <c r="W44" s="905"/>
      <c r="X44" s="905"/>
      <c r="Y44" s="905"/>
      <c r="Z44" s="905"/>
      <c r="AA44" s="905"/>
      <c r="AB44" s="905"/>
      <c r="AC44" s="905"/>
      <c r="AD44" s="906"/>
      <c r="AE44" s="523">
        <f>LEN(Q44)</f>
        <v>1523</v>
      </c>
      <c r="AF44" s="523"/>
      <c r="AG44" s="523"/>
      <c r="AH44" s="523"/>
    </row>
    <row r="45" spans="1:44" ht="165" customHeight="1">
      <c r="A45" s="902"/>
      <c r="B45" s="903"/>
      <c r="C45" s="99" t="s">
        <v>79</v>
      </c>
      <c r="D45" s="100">
        <v>0</v>
      </c>
      <c r="E45" s="100">
        <v>0</v>
      </c>
      <c r="F45" s="100">
        <v>0.1</v>
      </c>
      <c r="G45" s="100">
        <v>0.15</v>
      </c>
      <c r="H45" s="100">
        <v>0</v>
      </c>
      <c r="I45" s="100">
        <v>0.25</v>
      </c>
      <c r="J45" s="100">
        <v>0</v>
      </c>
      <c r="K45" s="702">
        <v>0.25</v>
      </c>
      <c r="L45" s="100">
        <v>0</v>
      </c>
      <c r="M45" s="100"/>
      <c r="N45" s="100"/>
      <c r="O45" s="100"/>
      <c r="P45" s="169">
        <f t="shared" si="1"/>
        <v>0.75</v>
      </c>
      <c r="Q45" s="907"/>
      <c r="R45" s="908"/>
      <c r="S45" s="908"/>
      <c r="T45" s="908"/>
      <c r="U45" s="908"/>
      <c r="V45" s="908"/>
      <c r="W45" s="908"/>
      <c r="X45" s="908"/>
      <c r="Y45" s="908"/>
      <c r="Z45" s="908"/>
      <c r="AA45" s="908"/>
      <c r="AB45" s="908"/>
      <c r="AC45" s="908"/>
      <c r="AD45" s="909"/>
      <c r="AE45" s="97"/>
      <c r="AF45" s="97"/>
      <c r="AG45" s="97"/>
      <c r="AH45" s="97"/>
      <c r="AN45" s="520"/>
    </row>
    <row r="46" spans="1:44" ht="192.75" customHeight="1">
      <c r="A46" s="902" t="s">
        <v>103</v>
      </c>
      <c r="B46" s="903">
        <v>0.05</v>
      </c>
      <c r="C46" s="102" t="s">
        <v>70</v>
      </c>
      <c r="D46" s="103">
        <v>0</v>
      </c>
      <c r="E46" s="103">
        <v>0.2</v>
      </c>
      <c r="F46" s="103">
        <v>0.2</v>
      </c>
      <c r="G46" s="103">
        <v>0.2</v>
      </c>
      <c r="H46" s="103">
        <v>0.2</v>
      </c>
      <c r="I46" s="103">
        <v>0.1</v>
      </c>
      <c r="J46" s="103">
        <v>0.1</v>
      </c>
      <c r="K46" s="703">
        <v>0</v>
      </c>
      <c r="L46" s="103">
        <v>0</v>
      </c>
      <c r="M46" s="103">
        <v>0</v>
      </c>
      <c r="N46" s="103">
        <v>0</v>
      </c>
      <c r="O46" s="103">
        <v>0</v>
      </c>
      <c r="P46" s="169">
        <f t="shared" si="1"/>
        <v>1</v>
      </c>
      <c r="Q46" s="904" t="s">
        <v>1272</v>
      </c>
      <c r="R46" s="905"/>
      <c r="S46" s="905"/>
      <c r="T46" s="905"/>
      <c r="U46" s="905"/>
      <c r="V46" s="905"/>
      <c r="W46" s="905"/>
      <c r="X46" s="905"/>
      <c r="Y46" s="905"/>
      <c r="Z46" s="905"/>
      <c r="AA46" s="905"/>
      <c r="AB46" s="905"/>
      <c r="AC46" s="905"/>
      <c r="AD46" s="906"/>
      <c r="AE46" s="523">
        <f>LEN(Q46)</f>
        <v>2108</v>
      </c>
      <c r="AF46" s="523"/>
      <c r="AG46" s="523"/>
      <c r="AH46" s="523"/>
    </row>
    <row r="47" spans="1:44" ht="192.75" customHeight="1">
      <c r="A47" s="902"/>
      <c r="B47" s="903"/>
      <c r="C47" s="99" t="s">
        <v>79</v>
      </c>
      <c r="D47" s="100">
        <v>0</v>
      </c>
      <c r="E47" s="100">
        <v>0.2</v>
      </c>
      <c r="F47" s="100">
        <v>0.05</v>
      </c>
      <c r="G47" s="100">
        <v>0.2</v>
      </c>
      <c r="H47" s="100">
        <v>0.2</v>
      </c>
      <c r="I47" s="100">
        <v>0.1</v>
      </c>
      <c r="J47" s="100">
        <v>0.1</v>
      </c>
      <c r="K47" s="702">
        <v>0.05</v>
      </c>
      <c r="L47" s="100">
        <v>0.05</v>
      </c>
      <c r="M47" s="100"/>
      <c r="N47" s="100"/>
      <c r="O47" s="100"/>
      <c r="P47" s="169">
        <f t="shared" ref="P47:P49" si="2">SUM(D47:O47)</f>
        <v>0.95000000000000007</v>
      </c>
      <c r="Q47" s="907"/>
      <c r="R47" s="908"/>
      <c r="S47" s="908"/>
      <c r="T47" s="908"/>
      <c r="U47" s="908"/>
      <c r="V47" s="908"/>
      <c r="W47" s="908"/>
      <c r="X47" s="908"/>
      <c r="Y47" s="908"/>
      <c r="Z47" s="908"/>
      <c r="AA47" s="908"/>
      <c r="AB47" s="908"/>
      <c r="AC47" s="908"/>
      <c r="AD47" s="909"/>
      <c r="AE47" s="97"/>
      <c r="AF47" s="97"/>
      <c r="AG47" s="97"/>
      <c r="AH47" s="97"/>
    </row>
    <row r="48" spans="1:44" ht="98.25" customHeight="1">
      <c r="A48" s="902" t="s">
        <v>104</v>
      </c>
      <c r="B48" s="903">
        <v>0.05</v>
      </c>
      <c r="C48" s="102" t="s">
        <v>70</v>
      </c>
      <c r="D48" s="103">
        <v>0</v>
      </c>
      <c r="E48" s="103">
        <v>0</v>
      </c>
      <c r="F48" s="103">
        <v>0</v>
      </c>
      <c r="G48" s="103">
        <v>0</v>
      </c>
      <c r="H48" s="103">
        <v>0</v>
      </c>
      <c r="I48" s="103">
        <v>0</v>
      </c>
      <c r="J48" s="103">
        <v>0.2</v>
      </c>
      <c r="K48" s="703">
        <v>0.2</v>
      </c>
      <c r="L48" s="103">
        <v>0.2</v>
      </c>
      <c r="M48" s="103">
        <v>0.2</v>
      </c>
      <c r="N48" s="103">
        <v>0.1</v>
      </c>
      <c r="O48" s="103">
        <v>0.1</v>
      </c>
      <c r="P48" s="169">
        <f t="shared" si="2"/>
        <v>1</v>
      </c>
      <c r="Q48" s="904" t="s">
        <v>1273</v>
      </c>
      <c r="R48" s="905"/>
      <c r="S48" s="905"/>
      <c r="T48" s="905"/>
      <c r="U48" s="905"/>
      <c r="V48" s="905"/>
      <c r="W48" s="905"/>
      <c r="X48" s="905"/>
      <c r="Y48" s="905"/>
      <c r="Z48" s="905"/>
      <c r="AA48" s="905"/>
      <c r="AB48" s="905"/>
      <c r="AC48" s="905"/>
      <c r="AD48" s="906"/>
      <c r="AE48" s="523">
        <f>LEN(Q48)</f>
        <v>1231</v>
      </c>
      <c r="AF48" s="523"/>
      <c r="AG48" s="523"/>
      <c r="AH48" s="523"/>
    </row>
    <row r="49" spans="1:34" ht="98.25" customHeight="1">
      <c r="A49" s="902"/>
      <c r="B49" s="903"/>
      <c r="C49" s="99" t="s">
        <v>79</v>
      </c>
      <c r="D49" s="100">
        <v>0</v>
      </c>
      <c r="E49" s="100">
        <v>0</v>
      </c>
      <c r="F49" s="100">
        <v>0</v>
      </c>
      <c r="G49" s="100">
        <v>0</v>
      </c>
      <c r="H49" s="100">
        <v>0</v>
      </c>
      <c r="I49" s="100">
        <v>0</v>
      </c>
      <c r="J49" s="100">
        <v>0.2</v>
      </c>
      <c r="K49" s="702">
        <v>0.2</v>
      </c>
      <c r="L49" s="100">
        <v>0.2</v>
      </c>
      <c r="M49" s="100"/>
      <c r="N49" s="100"/>
      <c r="O49" s="100"/>
      <c r="P49" s="169">
        <f t="shared" si="2"/>
        <v>0.60000000000000009</v>
      </c>
      <c r="Q49" s="907"/>
      <c r="R49" s="908"/>
      <c r="S49" s="908"/>
      <c r="T49" s="908"/>
      <c r="U49" s="908"/>
      <c r="V49" s="908"/>
      <c r="W49" s="908"/>
      <c r="X49" s="908"/>
      <c r="Y49" s="908"/>
      <c r="Z49" s="908"/>
      <c r="AA49" s="908"/>
      <c r="AB49" s="908"/>
      <c r="AC49" s="908"/>
      <c r="AD49" s="909"/>
      <c r="AE49" s="97"/>
      <c r="AF49" s="97"/>
      <c r="AG49" s="97"/>
      <c r="AH49" s="97"/>
    </row>
    <row r="50" spans="1:34">
      <c r="A50" s="50" t="s">
        <v>105</v>
      </c>
    </row>
    <row r="51" spans="1:34">
      <c r="B51" s="365">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disablePrompts="1" count="3">
    <dataValidation type="list" allowBlank="1" showInputMessage="1" showErrorMessage="1" sqref="WVN983047:WVN98304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C7:C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P983070:KC983070 TL983070:TY983070 ADH983070:ADU983070 AND983070:ANQ983070 AWZ983070:AXM983070 BGV983070:BHI983070 BQR983070:BRE983070 CAN983070:CBA983070 CKJ983070:CKW983070 CUF983070:CUS983070 DEB983070:DEO983070 DNX983070:DOK983070 DXT983070:DYG983070 EHP983070:EIC983070 ERL983070:ERY983070 FBH983070:FBU983070 FLD983070:FLQ983070 FUZ983070:FVM983070 GEV983070:GFI983070 GOR983070:GPE983070 GYN983070:GZA983070 HIJ983070:HIW983070 HSF983070:HSS983070 ICB983070:ICO983070 ILX983070:IMK983070 IVT983070:IWG983070 JFP983070:JGC983070 JPL983070:JPY983070 JZH983070:JZU983070 KJD983070:KJQ983070 KSZ983070:KTM983070 LCV983070:LDI983070 LMR983070:LNE983070 LWN983070:LXA983070 MGJ983070:MGW983070 MQF983070:MQS983070 NAB983070:NAO983070 NJX983070:NKK983070 NTT983070:NUG983070 ODP983070:OEC983070 ONL983070:ONY983070 OXH983070:OXU983070 PHD983070:PHQ983070 PQZ983070:PRM983070 QAV983070:QBI983070 QKR983070:QLE983070 QUN983070:QVA983070 REJ983070:REW983070 ROF983070:ROS983070 RYB983070:RYO983070 SHX983070:SIK983070 SRT983070:SSG983070 TBP983070:TCC983070 TLL983070:TLY983070 TVH983070:TVU983070 UFD983070:UFQ983070 UOZ983070:UPM983070 UYV983070:UZI983070 VIR983070:VJE983070 VSN983070:VTA983070 WCJ983070:WCW983070 WMF983070:WMS983070 WWB983070:WWO983070 Q65566:AD65566 JP65566:KC65566 TL65566:TY65566 ADH65566:ADU65566 AND65566:ANQ65566 AWZ65566:AXM65566 BGV65566:BHI65566 BQR65566:BRE65566 CAN65566:CBA65566 CKJ65566:CKW65566 CUF65566:CUS65566 DEB65566:DEO65566 DNX65566:DOK65566 DXT65566:DYG65566 EHP65566:EIC65566 ERL65566:ERY65566 FBH65566:FBU65566 FLD65566:FLQ65566 FUZ65566:FVM65566 GEV65566:GFI65566 GOR65566:GPE65566 GYN65566:GZA65566 HIJ65566:HIW65566 HSF65566:HSS65566 ICB65566:ICO65566 ILX65566:IMK65566 IVT65566:IWG65566 JFP65566:JGC65566 JPL65566:JPY65566 JZH65566:JZU65566 KJD65566:KJQ65566 KSZ65566:KTM65566 LCV65566:LDI65566 LMR65566:LNE65566 LWN65566:LXA65566 MGJ65566:MGW65566 MQF65566:MQS65566 NAB65566:NAO65566 NJX65566:NKK65566 NTT65566:NUG65566 ODP65566:OEC65566 ONL65566:ONY65566 OXH65566:OXU65566 PHD65566:PHQ65566 PQZ65566:PRM65566 QAV65566:QBI65566 QKR65566:QLE65566 QUN65566:QVA65566 REJ65566:REW65566 ROF65566:ROS65566 RYB65566:RYO65566 SHX65566:SIK65566 SRT65566:SSG65566 TBP65566:TCC65566 TLL65566:TLY65566 TVH65566:TVU65566 UFD65566:UFQ65566 UOZ65566:UPM65566 UYV65566:UZI65566 VIR65566:VJE65566 VSN65566:VTA65566 WCJ65566:WCW65566 WMF65566:WMS65566 WWB65566:WWO65566 Q131102:AD131102 JP131102:KC131102 TL131102:TY131102 ADH131102:ADU131102 AND131102:ANQ131102 AWZ131102:AXM131102 BGV131102:BHI131102 BQR131102:BRE131102 CAN131102:CBA131102 CKJ131102:CKW131102 CUF131102:CUS131102 DEB131102:DEO131102 DNX131102:DOK131102 DXT131102:DYG131102 EHP131102:EIC131102 ERL131102:ERY131102 FBH131102:FBU131102 FLD131102:FLQ131102 FUZ131102:FVM131102 GEV131102:GFI131102 GOR131102:GPE131102 GYN131102:GZA131102 HIJ131102:HIW131102 HSF131102:HSS131102 ICB131102:ICO131102 ILX131102:IMK131102 IVT131102:IWG131102 JFP131102:JGC131102 JPL131102:JPY131102 JZH131102:JZU131102 KJD131102:KJQ131102 KSZ131102:KTM131102 LCV131102:LDI131102 LMR131102:LNE131102 LWN131102:LXA131102 MGJ131102:MGW131102 MQF131102:MQS131102 NAB131102:NAO131102 NJX131102:NKK131102 NTT131102:NUG131102 ODP131102:OEC131102 ONL131102:ONY131102 OXH131102:OXU131102 PHD131102:PHQ131102 PQZ131102:PRM131102 QAV131102:QBI131102 QKR131102:QLE131102 QUN131102:QVA131102 REJ131102:REW131102 ROF131102:ROS131102 RYB131102:RYO131102 SHX131102:SIK131102 SRT131102:SSG131102 TBP131102:TCC131102 TLL131102:TLY131102 TVH131102:TVU131102 UFD131102:UFQ131102 UOZ131102:UPM131102 UYV131102:UZI131102 VIR131102:VJE131102 VSN131102:VTA131102 WCJ131102:WCW131102 WMF131102:WMS131102 WWB131102:WWO131102 Q196638:AD196638 JP196638:KC196638 TL196638:TY196638 ADH196638:ADU196638 AND196638:ANQ196638 AWZ196638:AXM196638 BGV196638:BHI196638 BQR196638:BRE196638 CAN196638:CBA196638 CKJ196638:CKW196638 CUF196638:CUS196638 DEB196638:DEO196638 DNX196638:DOK196638 DXT196638:DYG196638 EHP196638:EIC196638 ERL196638:ERY196638 FBH196638:FBU196638 FLD196638:FLQ196638 FUZ196638:FVM196638 GEV196638:GFI196638 GOR196638:GPE196638 GYN196638:GZA196638 HIJ196638:HIW196638 HSF196638:HSS196638 ICB196638:ICO196638 ILX196638:IMK196638 IVT196638:IWG196638 JFP196638:JGC196638 JPL196638:JPY196638 JZH196638:JZU196638 KJD196638:KJQ196638 KSZ196638:KTM196638 LCV196638:LDI196638 LMR196638:LNE196638 LWN196638:LXA196638 MGJ196638:MGW196638 MQF196638:MQS196638 NAB196638:NAO196638 NJX196638:NKK196638 NTT196638:NUG196638 ODP196638:OEC196638 ONL196638:ONY196638 OXH196638:OXU196638 PHD196638:PHQ196638 PQZ196638:PRM196638 QAV196638:QBI196638 QKR196638:QLE196638 QUN196638:QVA196638 REJ196638:REW196638 ROF196638:ROS196638 RYB196638:RYO196638 SHX196638:SIK196638 SRT196638:SSG196638 TBP196638:TCC196638 TLL196638:TLY196638 TVH196638:TVU196638 UFD196638:UFQ196638 UOZ196638:UPM196638 UYV196638:UZI196638 VIR196638:VJE196638 VSN196638:VTA196638 WCJ196638:WCW196638 WMF196638:WMS196638 WWB196638:WWO196638 Q262174:AD262174 JP262174:KC262174 TL262174:TY262174 ADH262174:ADU262174 AND262174:ANQ262174 AWZ262174:AXM262174 BGV262174:BHI262174 BQR262174:BRE262174 CAN262174:CBA262174 CKJ262174:CKW262174 CUF262174:CUS262174 DEB262174:DEO262174 DNX262174:DOK262174 DXT262174:DYG262174 EHP262174:EIC262174 ERL262174:ERY262174 FBH262174:FBU262174 FLD262174:FLQ262174 FUZ262174:FVM262174 GEV262174:GFI262174 GOR262174:GPE262174 GYN262174:GZA262174 HIJ262174:HIW262174 HSF262174:HSS262174 ICB262174:ICO262174 ILX262174:IMK262174 IVT262174:IWG262174 JFP262174:JGC262174 JPL262174:JPY262174 JZH262174:JZU262174 KJD262174:KJQ262174 KSZ262174:KTM262174 LCV262174:LDI262174 LMR262174:LNE262174 LWN262174:LXA262174 MGJ262174:MGW262174 MQF262174:MQS262174 NAB262174:NAO262174 NJX262174:NKK262174 NTT262174:NUG262174 ODP262174:OEC262174 ONL262174:ONY262174 OXH262174:OXU262174 PHD262174:PHQ262174 PQZ262174:PRM262174 QAV262174:QBI262174 QKR262174:QLE262174 QUN262174:QVA262174 REJ262174:REW262174 ROF262174:ROS262174 RYB262174:RYO262174 SHX262174:SIK262174 SRT262174:SSG262174 TBP262174:TCC262174 TLL262174:TLY262174 TVH262174:TVU262174 UFD262174:UFQ262174 UOZ262174:UPM262174 UYV262174:UZI262174 VIR262174:VJE262174 VSN262174:VTA262174 WCJ262174:WCW262174 WMF262174:WMS262174 WWB262174:WWO262174 Q327710:AD327710 JP327710:KC327710 TL327710:TY327710 ADH327710:ADU327710 AND327710:ANQ327710 AWZ327710:AXM327710 BGV327710:BHI327710 BQR327710:BRE327710 CAN327710:CBA327710 CKJ327710:CKW327710 CUF327710:CUS327710 DEB327710:DEO327710 DNX327710:DOK327710 DXT327710:DYG327710 EHP327710:EIC327710 ERL327710:ERY327710 FBH327710:FBU327710 FLD327710:FLQ327710 FUZ327710:FVM327710 GEV327710:GFI327710 GOR327710:GPE327710 GYN327710:GZA327710 HIJ327710:HIW327710 HSF327710:HSS327710 ICB327710:ICO327710 ILX327710:IMK327710 IVT327710:IWG327710 JFP327710:JGC327710 JPL327710:JPY327710 JZH327710:JZU327710 KJD327710:KJQ327710 KSZ327710:KTM327710 LCV327710:LDI327710 LMR327710:LNE327710 LWN327710:LXA327710 MGJ327710:MGW327710 MQF327710:MQS327710 NAB327710:NAO327710 NJX327710:NKK327710 NTT327710:NUG327710 ODP327710:OEC327710 ONL327710:ONY327710 OXH327710:OXU327710 PHD327710:PHQ327710 PQZ327710:PRM327710 QAV327710:QBI327710 QKR327710:QLE327710 QUN327710:QVA327710 REJ327710:REW327710 ROF327710:ROS327710 RYB327710:RYO327710 SHX327710:SIK327710 SRT327710:SSG327710 TBP327710:TCC327710 TLL327710:TLY327710 TVH327710:TVU327710 UFD327710:UFQ327710 UOZ327710:UPM327710 UYV327710:UZI327710 VIR327710:VJE327710 VSN327710:VTA327710 WCJ327710:WCW327710 WMF327710:WMS327710 WWB327710:WWO327710 Q393246:AD393246 JP393246:KC393246 TL393246:TY393246 ADH393246:ADU393246 AND393246:ANQ393246 AWZ393246:AXM393246 BGV393246:BHI393246 BQR393246:BRE393246 CAN393246:CBA393246 CKJ393246:CKW393246 CUF393246:CUS393246 DEB393246:DEO393246 DNX393246:DOK393246 DXT393246:DYG393246 EHP393246:EIC393246 ERL393246:ERY393246 FBH393246:FBU393246 FLD393246:FLQ393246 FUZ393246:FVM393246 GEV393246:GFI393246 GOR393246:GPE393246 GYN393246:GZA393246 HIJ393246:HIW393246 HSF393246:HSS393246 ICB393246:ICO393246 ILX393246:IMK393246 IVT393246:IWG393246 JFP393246:JGC393246 JPL393246:JPY393246 JZH393246:JZU393246 KJD393246:KJQ393246 KSZ393246:KTM393246 LCV393246:LDI393246 LMR393246:LNE393246 LWN393246:LXA393246 MGJ393246:MGW393246 MQF393246:MQS393246 NAB393246:NAO393246 NJX393246:NKK393246 NTT393246:NUG393246 ODP393246:OEC393246 ONL393246:ONY393246 OXH393246:OXU393246 PHD393246:PHQ393246 PQZ393246:PRM393246 QAV393246:QBI393246 QKR393246:QLE393246 QUN393246:QVA393246 REJ393246:REW393246 ROF393246:ROS393246 RYB393246:RYO393246 SHX393246:SIK393246 SRT393246:SSG393246 TBP393246:TCC393246 TLL393246:TLY393246 TVH393246:TVU393246 UFD393246:UFQ393246 UOZ393246:UPM393246 UYV393246:UZI393246 VIR393246:VJE393246 VSN393246:VTA393246 WCJ393246:WCW393246 WMF393246:WMS393246 WWB393246:WWO393246 Q458782:AD458782 JP458782:KC458782 TL458782:TY458782 ADH458782:ADU458782 AND458782:ANQ458782 AWZ458782:AXM458782 BGV458782:BHI458782 BQR458782:BRE458782 CAN458782:CBA458782 CKJ458782:CKW458782 CUF458782:CUS458782 DEB458782:DEO458782 DNX458782:DOK458782 DXT458782:DYG458782 EHP458782:EIC458782 ERL458782:ERY458782 FBH458782:FBU458782 FLD458782:FLQ458782 FUZ458782:FVM458782 GEV458782:GFI458782 GOR458782:GPE458782 GYN458782:GZA458782 HIJ458782:HIW458782 HSF458782:HSS458782 ICB458782:ICO458782 ILX458782:IMK458782 IVT458782:IWG458782 JFP458782:JGC458782 JPL458782:JPY458782 JZH458782:JZU458782 KJD458782:KJQ458782 KSZ458782:KTM458782 LCV458782:LDI458782 LMR458782:LNE458782 LWN458782:LXA458782 MGJ458782:MGW458782 MQF458782:MQS458782 NAB458782:NAO458782 NJX458782:NKK458782 NTT458782:NUG458782 ODP458782:OEC458782 ONL458782:ONY458782 OXH458782:OXU458782 PHD458782:PHQ458782 PQZ458782:PRM458782 QAV458782:QBI458782 QKR458782:QLE458782 QUN458782:QVA458782 REJ458782:REW458782 ROF458782:ROS458782 RYB458782:RYO458782 SHX458782:SIK458782 SRT458782:SSG458782 TBP458782:TCC458782 TLL458782:TLY458782 TVH458782:TVU458782 UFD458782:UFQ458782 UOZ458782:UPM458782 UYV458782:UZI458782 VIR458782:VJE458782 VSN458782:VTA458782 WCJ458782:WCW458782 WMF458782:WMS458782 WWB458782:WWO458782 Q524318:AD524318 JP524318:KC524318 TL524318:TY524318 ADH524318:ADU524318 AND524318:ANQ524318 AWZ524318:AXM524318 BGV524318:BHI524318 BQR524318:BRE524318 CAN524318:CBA524318 CKJ524318:CKW524318 CUF524318:CUS524318 DEB524318:DEO524318 DNX524318:DOK524318 DXT524318:DYG524318 EHP524318:EIC524318 ERL524318:ERY524318 FBH524318:FBU524318 FLD524318:FLQ524318 FUZ524318:FVM524318 GEV524318:GFI524318 GOR524318:GPE524318 GYN524318:GZA524318 HIJ524318:HIW524318 HSF524318:HSS524318 ICB524318:ICO524318 ILX524318:IMK524318 IVT524318:IWG524318 JFP524318:JGC524318 JPL524318:JPY524318 JZH524318:JZU524318 KJD524318:KJQ524318 KSZ524318:KTM524318 LCV524318:LDI524318 LMR524318:LNE524318 LWN524318:LXA524318 MGJ524318:MGW524318 MQF524318:MQS524318 NAB524318:NAO524318 NJX524318:NKK524318 NTT524318:NUG524318 ODP524318:OEC524318 ONL524318:ONY524318 OXH524318:OXU524318 PHD524318:PHQ524318 PQZ524318:PRM524318 QAV524318:QBI524318 QKR524318:QLE524318 QUN524318:QVA524318 REJ524318:REW524318 ROF524318:ROS524318 RYB524318:RYO524318 SHX524318:SIK524318 SRT524318:SSG524318 TBP524318:TCC524318 TLL524318:TLY524318 TVH524318:TVU524318 UFD524318:UFQ524318 UOZ524318:UPM524318 UYV524318:UZI524318 VIR524318:VJE524318 VSN524318:VTA524318 WCJ524318:WCW524318 WMF524318:WMS524318 WWB524318:WWO524318 Q589854:AD589854 JP589854:KC589854 TL589854:TY589854 ADH589854:ADU589854 AND589854:ANQ589854 AWZ589854:AXM589854 BGV589854:BHI589854 BQR589854:BRE589854 CAN589854:CBA589854 CKJ589854:CKW589854 CUF589854:CUS589854 DEB589854:DEO589854 DNX589854:DOK589854 DXT589854:DYG589854 EHP589854:EIC589854 ERL589854:ERY589854 FBH589854:FBU589854 FLD589854:FLQ589854 FUZ589854:FVM589854 GEV589854:GFI589854 GOR589854:GPE589854 GYN589854:GZA589854 HIJ589854:HIW589854 HSF589854:HSS589854 ICB589854:ICO589854 ILX589854:IMK589854 IVT589854:IWG589854 JFP589854:JGC589854 JPL589854:JPY589854 JZH589854:JZU589854 KJD589854:KJQ589854 KSZ589854:KTM589854 LCV589854:LDI589854 LMR589854:LNE589854 LWN589854:LXA589854 MGJ589854:MGW589854 MQF589854:MQS589854 NAB589854:NAO589854 NJX589854:NKK589854 NTT589854:NUG589854 ODP589854:OEC589854 ONL589854:ONY589854 OXH589854:OXU589854 PHD589854:PHQ589854 PQZ589854:PRM589854 QAV589854:QBI589854 QKR589854:QLE589854 QUN589854:QVA589854 REJ589854:REW589854 ROF589854:ROS589854 RYB589854:RYO589854 SHX589854:SIK589854 SRT589854:SSG589854 TBP589854:TCC589854 TLL589854:TLY589854 TVH589854:TVU589854 UFD589854:UFQ589854 UOZ589854:UPM589854 UYV589854:UZI589854 VIR589854:VJE589854 VSN589854:VTA589854 WCJ589854:WCW589854 WMF589854:WMS589854 WWB589854:WWO589854 Q655390:AD655390 JP655390:KC655390 TL655390:TY655390 ADH655390:ADU655390 AND655390:ANQ655390 AWZ655390:AXM655390 BGV655390:BHI655390 BQR655390:BRE655390 CAN655390:CBA655390 CKJ655390:CKW655390 CUF655390:CUS655390 DEB655390:DEO655390 DNX655390:DOK655390 DXT655390:DYG655390 EHP655390:EIC655390 ERL655390:ERY655390 FBH655390:FBU655390 FLD655390:FLQ655390 FUZ655390:FVM655390 GEV655390:GFI655390 GOR655390:GPE655390 GYN655390:GZA655390 HIJ655390:HIW655390 HSF655390:HSS655390 ICB655390:ICO655390 ILX655390:IMK655390 IVT655390:IWG655390 JFP655390:JGC655390 JPL655390:JPY655390 JZH655390:JZU655390 KJD655390:KJQ655390 KSZ655390:KTM655390 LCV655390:LDI655390 LMR655390:LNE655390 LWN655390:LXA655390 MGJ655390:MGW655390 MQF655390:MQS655390 NAB655390:NAO655390 NJX655390:NKK655390 NTT655390:NUG655390 ODP655390:OEC655390 ONL655390:ONY655390 OXH655390:OXU655390 PHD655390:PHQ655390 PQZ655390:PRM655390 QAV655390:QBI655390 QKR655390:QLE655390 QUN655390:QVA655390 REJ655390:REW655390 ROF655390:ROS655390 RYB655390:RYO655390 SHX655390:SIK655390 SRT655390:SSG655390 TBP655390:TCC655390 TLL655390:TLY655390 TVH655390:TVU655390 UFD655390:UFQ655390 UOZ655390:UPM655390 UYV655390:UZI655390 VIR655390:VJE655390 VSN655390:VTA655390 WCJ655390:WCW655390 WMF655390:WMS655390 WWB655390:WWO655390 Q720926:AD720926 JP720926:KC720926 TL720926:TY720926 ADH720926:ADU720926 AND720926:ANQ720926 AWZ720926:AXM720926 BGV720926:BHI720926 BQR720926:BRE720926 CAN720926:CBA720926 CKJ720926:CKW720926 CUF720926:CUS720926 DEB720926:DEO720926 DNX720926:DOK720926 DXT720926:DYG720926 EHP720926:EIC720926 ERL720926:ERY720926 FBH720926:FBU720926 FLD720926:FLQ720926 FUZ720926:FVM720926 GEV720926:GFI720926 GOR720926:GPE720926 GYN720926:GZA720926 HIJ720926:HIW720926 HSF720926:HSS720926 ICB720926:ICO720926 ILX720926:IMK720926 IVT720926:IWG720926 JFP720926:JGC720926 JPL720926:JPY720926 JZH720926:JZU720926 KJD720926:KJQ720926 KSZ720926:KTM720926 LCV720926:LDI720926 LMR720926:LNE720926 LWN720926:LXA720926 MGJ720926:MGW720926 MQF720926:MQS720926 NAB720926:NAO720926 NJX720926:NKK720926 NTT720926:NUG720926 ODP720926:OEC720926 ONL720926:ONY720926 OXH720926:OXU720926 PHD720926:PHQ720926 PQZ720926:PRM720926 QAV720926:QBI720926 QKR720926:QLE720926 QUN720926:QVA720926 REJ720926:REW720926 ROF720926:ROS720926 RYB720926:RYO720926 SHX720926:SIK720926 SRT720926:SSG720926 TBP720926:TCC720926 TLL720926:TLY720926 TVH720926:TVU720926 UFD720926:UFQ720926 UOZ720926:UPM720926 UYV720926:UZI720926 VIR720926:VJE720926 VSN720926:VTA720926 WCJ720926:WCW720926 WMF720926:WMS720926 WWB720926:WWO720926 Q786462:AD786462 JP786462:KC786462 TL786462:TY786462 ADH786462:ADU786462 AND786462:ANQ786462 AWZ786462:AXM786462 BGV786462:BHI786462 BQR786462:BRE786462 CAN786462:CBA786462 CKJ786462:CKW786462 CUF786462:CUS786462 DEB786462:DEO786462 DNX786462:DOK786462 DXT786462:DYG786462 EHP786462:EIC786462 ERL786462:ERY786462 FBH786462:FBU786462 FLD786462:FLQ786462 FUZ786462:FVM786462 GEV786462:GFI786462 GOR786462:GPE786462 GYN786462:GZA786462 HIJ786462:HIW786462 HSF786462:HSS786462 ICB786462:ICO786462 ILX786462:IMK786462 IVT786462:IWG786462 JFP786462:JGC786462 JPL786462:JPY786462 JZH786462:JZU786462 KJD786462:KJQ786462 KSZ786462:KTM786462 LCV786462:LDI786462 LMR786462:LNE786462 LWN786462:LXA786462 MGJ786462:MGW786462 MQF786462:MQS786462 NAB786462:NAO786462 NJX786462:NKK786462 NTT786462:NUG786462 ODP786462:OEC786462 ONL786462:ONY786462 OXH786462:OXU786462 PHD786462:PHQ786462 PQZ786462:PRM786462 QAV786462:QBI786462 QKR786462:QLE786462 QUN786462:QVA786462 REJ786462:REW786462 ROF786462:ROS786462 RYB786462:RYO786462 SHX786462:SIK786462 SRT786462:SSG786462 TBP786462:TCC786462 TLL786462:TLY786462 TVH786462:TVU786462 UFD786462:UFQ786462 UOZ786462:UPM786462 UYV786462:UZI786462 VIR786462:VJE786462 VSN786462:VTA786462 WCJ786462:WCW786462 WMF786462:WMS786462 WWB786462:WWO786462 Q851998:AD851998 JP851998:KC851998 TL851998:TY851998 ADH851998:ADU851998 AND851998:ANQ851998 AWZ851998:AXM851998 BGV851998:BHI851998 BQR851998:BRE851998 CAN851998:CBA851998 CKJ851998:CKW851998 CUF851998:CUS851998 DEB851998:DEO851998 DNX851998:DOK851998 DXT851998:DYG851998 EHP851998:EIC851998 ERL851998:ERY851998 FBH851998:FBU851998 FLD851998:FLQ851998 FUZ851998:FVM851998 GEV851998:GFI851998 GOR851998:GPE851998 GYN851998:GZA851998 HIJ851998:HIW851998 HSF851998:HSS851998 ICB851998:ICO851998 ILX851998:IMK851998 IVT851998:IWG851998 JFP851998:JGC851998 JPL851998:JPY851998 JZH851998:JZU851998 KJD851998:KJQ851998 KSZ851998:KTM851998 LCV851998:LDI851998 LMR851998:LNE851998 LWN851998:LXA851998 MGJ851998:MGW851998 MQF851998:MQS851998 NAB851998:NAO851998 NJX851998:NKK851998 NTT851998:NUG851998 ODP851998:OEC851998 ONL851998:ONY851998 OXH851998:OXU851998 PHD851998:PHQ851998 PQZ851998:PRM851998 QAV851998:QBI851998 QKR851998:QLE851998 QUN851998:QVA851998 REJ851998:REW851998 ROF851998:ROS851998 RYB851998:RYO851998 SHX851998:SIK851998 SRT851998:SSG851998 TBP851998:TCC851998 TLL851998:TLY851998 TVH851998:TVU851998 UFD851998:UFQ851998 UOZ851998:UPM851998 UYV851998:UZI851998 VIR851998:VJE851998 VSN851998:VTA851998 WCJ851998:WCW851998 WMF851998:WMS851998 WWB851998:WWO851998 Q917534:AD917534 JP917534:KC917534 TL917534:TY917534 ADH917534:ADU917534 AND917534:ANQ917534 AWZ917534:AXM917534 BGV917534:BHI917534 BQR917534:BRE917534 CAN917534:CBA917534 CKJ917534:CKW917534 CUF917534:CUS917534 DEB917534:DEO917534 DNX917534:DOK917534 DXT917534:DYG917534 EHP917534:EIC917534 ERL917534:ERY917534 FBH917534:FBU917534 FLD917534:FLQ917534 FUZ917534:FVM917534 GEV917534:GFI917534 GOR917534:GPE917534 GYN917534:GZA917534 HIJ917534:HIW917534 HSF917534:HSS917534 ICB917534:ICO917534 ILX917534:IMK917534 IVT917534:IWG917534 JFP917534:JGC917534 JPL917534:JPY917534 JZH917534:JZU917534 KJD917534:KJQ917534 KSZ917534:KTM917534 LCV917534:LDI917534 LMR917534:LNE917534 LWN917534:LXA917534 MGJ917534:MGW917534 MQF917534:MQS917534 NAB917534:NAO917534 NJX917534:NKK917534 NTT917534:NUG917534 ODP917534:OEC917534 ONL917534:ONY917534 OXH917534:OXU917534 PHD917534:PHQ917534 PQZ917534:PRM917534 QAV917534:QBI917534 QKR917534:QLE917534 QUN917534:QVA917534 REJ917534:REW917534 ROF917534:ROS917534 RYB917534:RYO917534 SHX917534:SIK917534 SRT917534:SSG917534 TBP917534:TCC917534 TLL917534:TLY917534 TVH917534:TVU917534 UFD917534:UFQ917534 UOZ917534:UPM917534 UYV917534:UZI917534 VIR917534:VJE917534 VSN917534:VTA917534 WCJ917534:WCW917534 WMF917534:WMS917534 WWB917534:WWO917534 JP30:KC30 TL30:TY30 ADH30:ADU30 AND30:ANQ30 AWZ30:AXM30 BGV30:BHI30 BQR30:BRE30 CAN30:CBA30 CKJ30:CKW30 CUF30:CUS30 DEB30:DEO30 DNX30:DOK30 DXT30:DYG30 EHP30:EIC30 ERL30:ERY30 FBH30:FBU30 FLD30:FLQ30 FUZ30:FVM30 GEV30:GFI30 GOR30:GPE30 GYN30:GZA30 HIJ30:HIW30 HSF30:HSS30 ICB30:ICO30 ILX30:IMK30 IVT30:IWG30 JFP30:JGC30 JPL30:JPY30 JZH30:JZU30 KJD30:KJQ30 KSZ30:KTM30 LCV30:LDI30 LMR30:LNE30 LWN30:LXA30 MGJ30:MGW30 MQF30:MQS30 NAB30:NAO30 NJX30:NKK30 NTT30:NUG30 ODP30:OEC30 ONL30:ONY30 OXH30:OXU30 PHD30:PHQ30 PQZ30:PRM30 QAV30:QBI30 QKR30:QLE30 QUN30:QVA30 REJ30:REW30 ROF30:ROS30 RYB30:RYO30 SHX30:SIK30 SRT30:SSG30 TBP30:TCC30 TLL30:TLY30 TVH30:TVU30 UFD30:UFQ30 UOZ30:UPM30 UYV30:UZI30 VIR30:VJE30 VSN30:VTA30 WCJ30:WCW30 WMF30:WMS30 WWB30:WWO30 Q30:AD30" xr:uid="{E09B5759-E503-4316-8062-6214A6937D52}">
      <formula1>2000</formula1>
    </dataValidation>
    <dataValidation type="textLength" operator="lessThanOrEqual" allowBlank="1" showInputMessage="1" showErrorMessage="1" errorTitle="Máximo 2.000 caracteres" error="Máximo 2.000 caracteres" sqref="Q786470:AD786481 JP786470:KC786481 TL786470:TY786481 ADH786470:ADU786481 AND786470:ANQ786481 AWZ786470:AXM786481 BGV786470:BHI786481 BQR786470:BRE786481 CAN786470:CBA786481 CKJ786470:CKW786481 CUF786470:CUS786481 DEB786470:DEO786481 DNX786470:DOK786481 DXT786470:DYG786481 EHP786470:EIC786481 ERL786470:ERY786481 FBH786470:FBU786481 FLD786470:FLQ786481 FUZ786470:FVM786481 GEV786470:GFI786481 GOR786470:GPE786481 GYN786470:GZA786481 HIJ786470:HIW786481 HSF786470:HSS786481 ICB786470:ICO786481 ILX786470:IMK786481 IVT786470:IWG786481 JFP786470:JGC786481 JPL786470:JPY786481 JZH786470:JZU786481 KJD786470:KJQ786481 KSZ786470:KTM786481 LCV786470:LDI786481 LMR786470:LNE786481 LWN786470:LXA786481 MGJ786470:MGW786481 MQF786470:MQS786481 NAB786470:NAO786481 NJX786470:NKK786481 NTT786470:NUG786481 ODP786470:OEC786481 ONL786470:ONY786481 OXH786470:OXU786481 PHD786470:PHQ786481 PQZ786470:PRM786481 QAV786470:QBI786481 QKR786470:QLE786481 QUN786470:QVA786481 REJ786470:REW786481 ROF786470:ROS786481 RYB786470:RYO786481 SHX786470:SIK786481 SRT786470:SSG786481 TBP786470:TCC786481 TLL786470:TLY786481 TVH786470:TVU786481 UFD786470:UFQ786481 UOZ786470:UPM786481 UYV786470:UZI786481 VIR786470:VJE786481 VSN786470:VTA786481 WCJ786470:WCW786481 WMF786470:WMS786481 WWB786470:WWO786481 AA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A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A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A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A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A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A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A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A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A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A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A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A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A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A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Q852006:AD852017 JP852006:KC852017 TL852006:TY852017 ADH852006:ADU852017 AND852006:ANQ852017 AWZ852006:AXM852017 BGV852006:BHI852017 BQR852006:BRE852017 CAN852006:CBA852017 CKJ852006:CKW852017 CUF852006:CUS852017 DEB852006:DEO852017 DNX852006:DOK852017 DXT852006:DYG852017 EHP852006:EIC852017 ERL852006:ERY852017 FBH852006:FBU852017 FLD852006:FLQ852017 FUZ852006:FVM852017 GEV852006:GFI852017 GOR852006:GPE852017 GYN852006:GZA852017 HIJ852006:HIW852017 HSF852006:HSS852017 ICB852006:ICO852017 ILX852006:IMK852017 IVT852006:IWG852017 JFP852006:JGC852017 JPL852006:JPY852017 JZH852006:JZU852017 KJD852006:KJQ852017 KSZ852006:KTM852017 LCV852006:LDI852017 LMR852006:LNE852017 LWN852006:LXA852017 MGJ852006:MGW852017 MQF852006:MQS852017 NAB852006:NAO852017 NJX852006:NKK852017 NTT852006:NUG852017 ODP852006:OEC852017 ONL852006:ONY852017 OXH852006:OXU852017 PHD852006:PHQ852017 PQZ852006:PRM852017 QAV852006:QBI852017 QKR852006:QLE852017 QUN852006:QVA852017 REJ852006:REW852017 ROF852006:ROS852017 RYB852006:RYO852017 SHX852006:SIK852017 SRT852006:SSG852017 TBP852006:TCC852017 TLL852006:TLY852017 TVH852006:TVU852017 UFD852006:UFQ852017 UOZ852006:UPM852017 UYV852006:UZI852017 VIR852006:VJE852017 VSN852006:VTA852017 WCJ852006:WCW852017 WMF852006:WMS852017 WWB852006:WWO852017 Q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Q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Q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Q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Q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Q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Q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Q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Q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Q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Q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Q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Q917542:AD917553 JP917542:KC917553 TL917542:TY917553 ADH917542:ADU917553 AND917542:ANQ917553 AWZ917542:AXM917553 BGV917542:BHI917553 BQR917542:BRE917553 CAN917542:CBA917553 CKJ917542:CKW917553 CUF917542:CUS917553 DEB917542:DEO917553 DNX917542:DOK917553 DXT917542:DYG917553 EHP917542:EIC917553 ERL917542:ERY917553 FBH917542:FBU917553 FLD917542:FLQ917553 FUZ917542:FVM917553 GEV917542:GFI917553 GOR917542:GPE917553 GYN917542:GZA917553 HIJ917542:HIW917553 HSF917542:HSS917553 ICB917542:ICO917553 ILX917542:IMK917553 IVT917542:IWG917553 JFP917542:JGC917553 JPL917542:JPY917553 JZH917542:JZU917553 KJD917542:KJQ917553 KSZ917542:KTM917553 LCV917542:LDI917553 LMR917542:LNE917553 LWN917542:LXA917553 MGJ917542:MGW917553 MQF917542:MQS917553 NAB917542:NAO917553 NJX917542:NKK917553 NTT917542:NUG917553 ODP917542:OEC917553 ONL917542:ONY917553 OXH917542:OXU917553 PHD917542:PHQ917553 PQZ917542:PRM917553 QAV917542:QBI917553 QKR917542:QLE917553 QUN917542:QVA917553 REJ917542:REW917553 ROF917542:ROS917553 RYB917542:RYO917553 SHX917542:SIK917553 SRT917542:SSG917553 TBP917542:TCC917553 TLL917542:TLY917553 TVH917542:TVU917553 UFD917542:UFQ917553 UOZ917542:UPM917553 UYV917542:UZI917553 VIR917542:VJE917553 VSN917542:VTA917553 WCJ917542:WCW917553 WMF917542:WMS917553 WWB917542:WWO917553 W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W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W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W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W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W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W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W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W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W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W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W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W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W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W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Q983078:AD983089 JP983078:KC983089 TL983078:TY983089 ADH983078:ADU983089 AND983078:ANQ983089 AWZ983078:AXM983089 BGV983078:BHI983089 BQR983078:BRE983089 CAN983078:CBA983089 CKJ983078:CKW983089 CUF983078:CUS983089 DEB983078:DEO983089 DNX983078:DOK983089 DXT983078:DYG983089 EHP983078:EIC983089 ERL983078:ERY983089 FBH983078:FBU983089 FLD983078:FLQ983089 FUZ983078:FVM983089 GEV983078:GFI983089 GOR983078:GPE983089 GYN983078:GZA983089 HIJ983078:HIW983089 HSF983078:HSS983089 ICB983078:ICO983089 ILX983078:IMK983089 IVT983078:IWG983089 JFP983078:JGC983089 JPL983078:JPY983089 JZH983078:JZU983089 KJD983078:KJQ983089 KSZ983078:KTM983089 LCV983078:LDI983089 LMR983078:LNE983089 LWN983078:LXA983089 MGJ983078:MGW983089 MQF983078:MQS983089 NAB983078:NAO983089 NJX983078:NKK983089 NTT983078:NUG983089 ODP983078:OEC983089 ONL983078:ONY983089 OXH983078:OXU983089 PHD983078:PHQ983089 PQZ983078:PRM983089 QAV983078:QBI983089 QKR983078:QLE983089 QUN983078:QVA983089 REJ983078:REW983089 ROF983078:ROS983089 RYB983078:RYO983089 SHX983078:SIK983089 SRT983078:SSG983089 TBP983078:TCC983089 TLL983078:TLY983089 TVH983078:TVU983089 UFD983078:UFQ983089 UOZ983078:UPM983089 UYV983078:UZI983089 VIR983078:VJE983089 VSN983078:VTA983089 WCJ983078:WCW983089 WMF983078:WMS983089 WWB983078:WWO983089 Q65574:AD65585 JP65574:KC65585 TL65574:TY65585 ADH65574:ADU65585 AND65574:ANQ65585 AWZ65574:AXM65585 BGV65574:BHI65585 BQR65574:BRE65585 CAN65574:CBA65585 CKJ65574:CKW65585 CUF65574:CUS65585 DEB65574:DEO65585 DNX65574:DOK65585 DXT65574:DYG65585 EHP65574:EIC65585 ERL65574:ERY65585 FBH65574:FBU65585 FLD65574:FLQ65585 FUZ65574:FVM65585 GEV65574:GFI65585 GOR65574:GPE65585 GYN65574:GZA65585 HIJ65574:HIW65585 HSF65574:HSS65585 ICB65574:ICO65585 ILX65574:IMK65585 IVT65574:IWG65585 JFP65574:JGC65585 JPL65574:JPY65585 JZH65574:JZU65585 KJD65574:KJQ65585 KSZ65574:KTM65585 LCV65574:LDI65585 LMR65574:LNE65585 LWN65574:LXA65585 MGJ65574:MGW65585 MQF65574:MQS65585 NAB65574:NAO65585 NJX65574:NKK65585 NTT65574:NUG65585 ODP65574:OEC65585 ONL65574:ONY65585 OXH65574:OXU65585 PHD65574:PHQ65585 PQZ65574:PRM65585 QAV65574:QBI65585 QKR65574:QLE65585 QUN65574:QVA65585 REJ65574:REW65585 ROF65574:ROS65585 RYB65574:RYO65585 SHX65574:SIK65585 SRT65574:SSG65585 TBP65574:TCC65585 TLL65574:TLY65585 TVH65574:TVU65585 UFD65574:UFQ65585 UOZ65574:UPM65585 UYV65574:UZI65585 VIR65574:VJE65585 VSN65574:VTA65585 WCJ65574:WCW65585 WMF65574:WMS65585 WWB65574:WWO65585 Q131110:AD131121 JP131110:KC131121 TL131110:TY131121 ADH131110:ADU131121 AND131110:ANQ131121 AWZ131110:AXM131121 BGV131110:BHI131121 BQR131110:BRE131121 CAN131110:CBA131121 CKJ131110:CKW131121 CUF131110:CUS131121 DEB131110:DEO131121 DNX131110:DOK131121 DXT131110:DYG131121 EHP131110:EIC131121 ERL131110:ERY131121 FBH131110:FBU131121 FLD131110:FLQ131121 FUZ131110:FVM131121 GEV131110:GFI131121 GOR131110:GPE131121 GYN131110:GZA131121 HIJ131110:HIW131121 HSF131110:HSS131121 ICB131110:ICO131121 ILX131110:IMK131121 IVT131110:IWG131121 JFP131110:JGC131121 JPL131110:JPY131121 JZH131110:JZU131121 KJD131110:KJQ131121 KSZ131110:KTM131121 LCV131110:LDI131121 LMR131110:LNE131121 LWN131110:LXA131121 MGJ131110:MGW131121 MQF131110:MQS131121 NAB131110:NAO131121 NJX131110:NKK131121 NTT131110:NUG131121 ODP131110:OEC131121 ONL131110:ONY131121 OXH131110:OXU131121 PHD131110:PHQ131121 PQZ131110:PRM131121 QAV131110:QBI131121 QKR131110:QLE131121 QUN131110:QVA131121 REJ131110:REW131121 ROF131110:ROS131121 RYB131110:RYO131121 SHX131110:SIK131121 SRT131110:SSG131121 TBP131110:TCC131121 TLL131110:TLY131121 TVH131110:TVU131121 UFD131110:UFQ131121 UOZ131110:UPM131121 UYV131110:UZI131121 VIR131110:VJE131121 VSN131110:VTA131121 WCJ131110:WCW131121 WMF131110:WMS131121 WWB131110:WWO131121 Q196646:AD196657 JP196646:KC196657 TL196646:TY196657 ADH196646:ADU196657 AND196646:ANQ196657 AWZ196646:AXM196657 BGV196646:BHI196657 BQR196646:BRE196657 CAN196646:CBA196657 CKJ196646:CKW196657 CUF196646:CUS196657 DEB196646:DEO196657 DNX196646:DOK196657 DXT196646:DYG196657 EHP196646:EIC196657 ERL196646:ERY196657 FBH196646:FBU196657 FLD196646:FLQ196657 FUZ196646:FVM196657 GEV196646:GFI196657 GOR196646:GPE196657 GYN196646:GZA196657 HIJ196646:HIW196657 HSF196646:HSS196657 ICB196646:ICO196657 ILX196646:IMK196657 IVT196646:IWG196657 JFP196646:JGC196657 JPL196646:JPY196657 JZH196646:JZU196657 KJD196646:KJQ196657 KSZ196646:KTM196657 LCV196646:LDI196657 LMR196646:LNE196657 LWN196646:LXA196657 MGJ196646:MGW196657 MQF196646:MQS196657 NAB196646:NAO196657 NJX196646:NKK196657 NTT196646:NUG196657 ODP196646:OEC196657 ONL196646:ONY196657 OXH196646:OXU196657 PHD196646:PHQ196657 PQZ196646:PRM196657 QAV196646:QBI196657 QKR196646:QLE196657 QUN196646:QVA196657 REJ196646:REW196657 ROF196646:ROS196657 RYB196646:RYO196657 SHX196646:SIK196657 SRT196646:SSG196657 TBP196646:TCC196657 TLL196646:TLY196657 TVH196646:TVU196657 UFD196646:UFQ196657 UOZ196646:UPM196657 UYV196646:UZI196657 VIR196646:VJE196657 VSN196646:VTA196657 WCJ196646:WCW196657 WMF196646:WMS196657 WWB196646:WWO196657 Q262182:AD262193 JP262182:KC262193 TL262182:TY262193 ADH262182:ADU262193 AND262182:ANQ262193 AWZ262182:AXM262193 BGV262182:BHI262193 BQR262182:BRE262193 CAN262182:CBA262193 CKJ262182:CKW262193 CUF262182:CUS262193 DEB262182:DEO262193 DNX262182:DOK262193 DXT262182:DYG262193 EHP262182:EIC262193 ERL262182:ERY262193 FBH262182:FBU262193 FLD262182:FLQ262193 FUZ262182:FVM262193 GEV262182:GFI262193 GOR262182:GPE262193 GYN262182:GZA262193 HIJ262182:HIW262193 HSF262182:HSS262193 ICB262182:ICO262193 ILX262182:IMK262193 IVT262182:IWG262193 JFP262182:JGC262193 JPL262182:JPY262193 JZH262182:JZU262193 KJD262182:KJQ262193 KSZ262182:KTM262193 LCV262182:LDI262193 LMR262182:LNE262193 LWN262182:LXA262193 MGJ262182:MGW262193 MQF262182:MQS262193 NAB262182:NAO262193 NJX262182:NKK262193 NTT262182:NUG262193 ODP262182:OEC262193 ONL262182:ONY262193 OXH262182:OXU262193 PHD262182:PHQ262193 PQZ262182:PRM262193 QAV262182:QBI262193 QKR262182:QLE262193 QUN262182:QVA262193 REJ262182:REW262193 ROF262182:ROS262193 RYB262182:RYO262193 SHX262182:SIK262193 SRT262182:SSG262193 TBP262182:TCC262193 TLL262182:TLY262193 TVH262182:TVU262193 UFD262182:UFQ262193 UOZ262182:UPM262193 UYV262182:UZI262193 VIR262182:VJE262193 VSN262182:VTA262193 WCJ262182:WCW262193 WMF262182:WMS262193 WWB262182:WWO262193 Q327718:AD327729 JP327718:KC327729 TL327718:TY327729 ADH327718:ADU327729 AND327718:ANQ327729 AWZ327718:AXM327729 BGV327718:BHI327729 BQR327718:BRE327729 CAN327718:CBA327729 CKJ327718:CKW327729 CUF327718:CUS327729 DEB327718:DEO327729 DNX327718:DOK327729 DXT327718:DYG327729 EHP327718:EIC327729 ERL327718:ERY327729 FBH327718:FBU327729 FLD327718:FLQ327729 FUZ327718:FVM327729 GEV327718:GFI327729 GOR327718:GPE327729 GYN327718:GZA327729 HIJ327718:HIW327729 HSF327718:HSS327729 ICB327718:ICO327729 ILX327718:IMK327729 IVT327718:IWG327729 JFP327718:JGC327729 JPL327718:JPY327729 JZH327718:JZU327729 KJD327718:KJQ327729 KSZ327718:KTM327729 LCV327718:LDI327729 LMR327718:LNE327729 LWN327718:LXA327729 MGJ327718:MGW327729 MQF327718:MQS327729 NAB327718:NAO327729 NJX327718:NKK327729 NTT327718:NUG327729 ODP327718:OEC327729 ONL327718:ONY327729 OXH327718:OXU327729 PHD327718:PHQ327729 PQZ327718:PRM327729 QAV327718:QBI327729 QKR327718:QLE327729 QUN327718:QVA327729 REJ327718:REW327729 ROF327718:ROS327729 RYB327718:RYO327729 SHX327718:SIK327729 SRT327718:SSG327729 TBP327718:TCC327729 TLL327718:TLY327729 TVH327718:TVU327729 UFD327718:UFQ327729 UOZ327718:UPM327729 UYV327718:UZI327729 VIR327718:VJE327729 VSN327718:VTA327729 WCJ327718:WCW327729 WMF327718:WMS327729 WWB327718:WWO327729 Q393254:AD393265 JP393254:KC393265 TL393254:TY393265 ADH393254:ADU393265 AND393254:ANQ393265 AWZ393254:AXM393265 BGV393254:BHI393265 BQR393254:BRE393265 CAN393254:CBA393265 CKJ393254:CKW393265 CUF393254:CUS393265 DEB393254:DEO393265 DNX393254:DOK393265 DXT393254:DYG393265 EHP393254:EIC393265 ERL393254:ERY393265 FBH393254:FBU393265 FLD393254:FLQ393265 FUZ393254:FVM393265 GEV393254:GFI393265 GOR393254:GPE393265 GYN393254:GZA393265 HIJ393254:HIW393265 HSF393254:HSS393265 ICB393254:ICO393265 ILX393254:IMK393265 IVT393254:IWG393265 JFP393254:JGC393265 JPL393254:JPY393265 JZH393254:JZU393265 KJD393254:KJQ393265 KSZ393254:KTM393265 LCV393254:LDI393265 LMR393254:LNE393265 LWN393254:LXA393265 MGJ393254:MGW393265 MQF393254:MQS393265 NAB393254:NAO393265 NJX393254:NKK393265 NTT393254:NUG393265 ODP393254:OEC393265 ONL393254:ONY393265 OXH393254:OXU393265 PHD393254:PHQ393265 PQZ393254:PRM393265 QAV393254:QBI393265 QKR393254:QLE393265 QUN393254:QVA393265 REJ393254:REW393265 ROF393254:ROS393265 RYB393254:RYO393265 SHX393254:SIK393265 SRT393254:SSG393265 TBP393254:TCC393265 TLL393254:TLY393265 TVH393254:TVU393265 UFD393254:UFQ393265 UOZ393254:UPM393265 UYV393254:UZI393265 VIR393254:VJE393265 VSN393254:VTA393265 WCJ393254:WCW393265 WMF393254:WMS393265 WWB393254:WWO393265 Q458790:AD458801 JP458790:KC458801 TL458790:TY458801 ADH458790:ADU458801 AND458790:ANQ458801 AWZ458790:AXM458801 BGV458790:BHI458801 BQR458790:BRE458801 CAN458790:CBA458801 CKJ458790:CKW458801 CUF458790:CUS458801 DEB458790:DEO458801 DNX458790:DOK458801 DXT458790:DYG458801 EHP458790:EIC458801 ERL458790:ERY458801 FBH458790:FBU458801 FLD458790:FLQ458801 FUZ458790:FVM458801 GEV458790:GFI458801 GOR458790:GPE458801 GYN458790:GZA458801 HIJ458790:HIW458801 HSF458790:HSS458801 ICB458790:ICO458801 ILX458790:IMK458801 IVT458790:IWG458801 JFP458790:JGC458801 JPL458790:JPY458801 JZH458790:JZU458801 KJD458790:KJQ458801 KSZ458790:KTM458801 LCV458790:LDI458801 LMR458790:LNE458801 LWN458790:LXA458801 MGJ458790:MGW458801 MQF458790:MQS458801 NAB458790:NAO458801 NJX458790:NKK458801 NTT458790:NUG458801 ODP458790:OEC458801 ONL458790:ONY458801 OXH458790:OXU458801 PHD458790:PHQ458801 PQZ458790:PRM458801 QAV458790:QBI458801 QKR458790:QLE458801 QUN458790:QVA458801 REJ458790:REW458801 ROF458790:ROS458801 RYB458790:RYO458801 SHX458790:SIK458801 SRT458790:SSG458801 TBP458790:TCC458801 TLL458790:TLY458801 TVH458790:TVU458801 UFD458790:UFQ458801 UOZ458790:UPM458801 UYV458790:UZI458801 VIR458790:VJE458801 VSN458790:VTA458801 WCJ458790:WCW458801 WMF458790:WMS458801 WWB458790:WWO458801 Q524326:AD524337 JP524326:KC524337 TL524326:TY524337 ADH524326:ADU524337 AND524326:ANQ524337 AWZ524326:AXM524337 BGV524326:BHI524337 BQR524326:BRE524337 CAN524326:CBA524337 CKJ524326:CKW524337 CUF524326:CUS524337 DEB524326:DEO524337 DNX524326:DOK524337 DXT524326:DYG524337 EHP524326:EIC524337 ERL524326:ERY524337 FBH524326:FBU524337 FLD524326:FLQ524337 FUZ524326:FVM524337 GEV524326:GFI524337 GOR524326:GPE524337 GYN524326:GZA524337 HIJ524326:HIW524337 HSF524326:HSS524337 ICB524326:ICO524337 ILX524326:IMK524337 IVT524326:IWG524337 JFP524326:JGC524337 JPL524326:JPY524337 JZH524326:JZU524337 KJD524326:KJQ524337 KSZ524326:KTM524337 LCV524326:LDI524337 LMR524326:LNE524337 LWN524326:LXA524337 MGJ524326:MGW524337 MQF524326:MQS524337 NAB524326:NAO524337 NJX524326:NKK524337 NTT524326:NUG524337 ODP524326:OEC524337 ONL524326:ONY524337 OXH524326:OXU524337 PHD524326:PHQ524337 PQZ524326:PRM524337 QAV524326:QBI524337 QKR524326:QLE524337 QUN524326:QVA524337 REJ524326:REW524337 ROF524326:ROS524337 RYB524326:RYO524337 SHX524326:SIK524337 SRT524326:SSG524337 TBP524326:TCC524337 TLL524326:TLY524337 TVH524326:TVU524337 UFD524326:UFQ524337 UOZ524326:UPM524337 UYV524326:UZI524337 VIR524326:VJE524337 VSN524326:VTA524337 WCJ524326:WCW524337 WMF524326:WMS524337 WWB524326:WWO524337 Q589862:AD589873 JP589862:KC589873 TL589862:TY589873 ADH589862:ADU589873 AND589862:ANQ589873 AWZ589862:AXM589873 BGV589862:BHI589873 BQR589862:BRE589873 CAN589862:CBA589873 CKJ589862:CKW589873 CUF589862:CUS589873 DEB589862:DEO589873 DNX589862:DOK589873 DXT589862:DYG589873 EHP589862:EIC589873 ERL589862:ERY589873 FBH589862:FBU589873 FLD589862:FLQ589873 FUZ589862:FVM589873 GEV589862:GFI589873 GOR589862:GPE589873 GYN589862:GZA589873 HIJ589862:HIW589873 HSF589862:HSS589873 ICB589862:ICO589873 ILX589862:IMK589873 IVT589862:IWG589873 JFP589862:JGC589873 JPL589862:JPY589873 JZH589862:JZU589873 KJD589862:KJQ589873 KSZ589862:KTM589873 LCV589862:LDI589873 LMR589862:LNE589873 LWN589862:LXA589873 MGJ589862:MGW589873 MQF589862:MQS589873 NAB589862:NAO589873 NJX589862:NKK589873 NTT589862:NUG589873 ODP589862:OEC589873 ONL589862:ONY589873 OXH589862:OXU589873 PHD589862:PHQ589873 PQZ589862:PRM589873 QAV589862:QBI589873 QKR589862:QLE589873 QUN589862:QVA589873 REJ589862:REW589873 ROF589862:ROS589873 RYB589862:RYO589873 SHX589862:SIK589873 SRT589862:SSG589873 TBP589862:TCC589873 TLL589862:TLY589873 TVH589862:TVU589873 UFD589862:UFQ589873 UOZ589862:UPM589873 UYV589862:UZI589873 VIR589862:VJE589873 VSN589862:VTA589873 WCJ589862:WCW589873 WMF589862:WMS589873 WWB589862:WWO589873 Q655398:AD655409 JP655398:KC655409 TL655398:TY655409 ADH655398:ADU655409 AND655398:ANQ655409 AWZ655398:AXM655409 BGV655398:BHI655409 BQR655398:BRE655409 CAN655398:CBA655409 CKJ655398:CKW655409 CUF655398:CUS655409 DEB655398:DEO655409 DNX655398:DOK655409 DXT655398:DYG655409 EHP655398:EIC655409 ERL655398:ERY655409 FBH655398:FBU655409 FLD655398:FLQ655409 FUZ655398:FVM655409 GEV655398:GFI655409 GOR655398:GPE655409 GYN655398:GZA655409 HIJ655398:HIW655409 HSF655398:HSS655409 ICB655398:ICO655409 ILX655398:IMK655409 IVT655398:IWG655409 JFP655398:JGC655409 JPL655398:JPY655409 JZH655398:JZU655409 KJD655398:KJQ655409 KSZ655398:KTM655409 LCV655398:LDI655409 LMR655398:LNE655409 LWN655398:LXA655409 MGJ655398:MGW655409 MQF655398:MQS655409 NAB655398:NAO655409 NJX655398:NKK655409 NTT655398:NUG655409 ODP655398:OEC655409 ONL655398:ONY655409 OXH655398:OXU655409 PHD655398:PHQ655409 PQZ655398:PRM655409 QAV655398:QBI655409 QKR655398:QLE655409 QUN655398:QVA655409 REJ655398:REW655409 ROF655398:ROS655409 RYB655398:RYO655409 SHX655398:SIK655409 SRT655398:SSG655409 TBP655398:TCC655409 TLL655398:TLY655409 TVH655398:TVU655409 UFD655398:UFQ655409 UOZ655398:UPM655409 UYV655398:UZI655409 VIR655398:VJE655409 VSN655398:VTA655409 WCJ655398:WCW655409 WMF655398:WMS655409 WWB655398:WWO655409 Q720934:AD720945 JP720934:KC720945 TL720934:TY720945 ADH720934:ADU720945 AND720934:ANQ720945 AWZ720934:AXM720945 BGV720934:BHI720945 BQR720934:BRE720945 CAN720934:CBA720945 CKJ720934:CKW720945 CUF720934:CUS720945 DEB720934:DEO720945 DNX720934:DOK720945 DXT720934:DYG720945 EHP720934:EIC720945 ERL720934:ERY720945 FBH720934:FBU720945 FLD720934:FLQ720945 FUZ720934:FVM720945 GEV720934:GFI720945 GOR720934:GPE720945 GYN720934:GZA720945 HIJ720934:HIW720945 HSF720934:HSS720945 ICB720934:ICO720945 ILX720934:IMK720945 IVT720934:IWG720945 JFP720934:JGC720945 JPL720934:JPY720945 JZH720934:JZU720945 KJD720934:KJQ720945 KSZ720934:KTM720945 LCV720934:LDI720945 LMR720934:LNE720945 LWN720934:LXA720945 MGJ720934:MGW720945 MQF720934:MQS720945 NAB720934:NAO720945 NJX720934:NKK720945 NTT720934:NUG720945 ODP720934:OEC720945 ONL720934:ONY720945 OXH720934:OXU720945 PHD720934:PHQ720945 PQZ720934:PRM720945 QAV720934:QBI720945 QKR720934:QLE720945 QUN720934:QVA720945 REJ720934:REW720945 ROF720934:ROS720945 RYB720934:RYO720945 SHX720934:SIK720945 SRT720934:SSG720945 TBP720934:TCC720945 TLL720934:TLY720945 TVH720934:TVU720945 UFD720934:UFQ720945 UOZ720934:UPM720945 UYV720934:UZI720945 VIR720934:VJE720945 VSN720934:VTA720945 WCJ720934:WCW720945 WMF720934:WMS720945 WWB720934:WWO720945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JP38:KC49 TL38:TY49 ADH38:ADU49 AND38:ANQ49 AWZ38:AXM49 BGV38:BHI49 BQR38:BRE49 CAN38:CBA49 CKJ38:CKW49 CUF38:CUS49 DEB38:DEO49 DNX38:DOK49 DXT38:DYG49 EHP38:EIC49 ERL38:ERY49 FBH38:FBU49 FLD38:FLQ49 FUZ38:FVM49 GEV38:GFI49 GOR38:GPE49 GYN38:GZA49 HIJ38:HIW49 HSF38:HSS49 ICB38:ICO49 ILX38:IMK49 IVT38:IWG49 JFP38:JGC49 JPL38:JPY49 JZH38:JZU49 KJD38:KJQ49 KSZ38:KTM49 LCV38:LDI49 LMR38:LNE49 LWN38:LXA49 MGJ38:MGW49 MQF38:MQS49 NAB38:NAO49 NJX38:NKK49 NTT38:NUG49 ODP38:OEC49 ONL38:ONY49 OXH38:OXU49 PHD38:PHQ49 PQZ38:PRM49 QAV38:QBI49 QKR38:QLE49 QUN38:QVA49 REJ38:REW49 ROF38:ROS49 RYB38:RYO49 SHX38:SIK49 SRT38:SSG49 TBP38:TCC49 TLL38:TLY49 TVH38:TVU49 UFD38:UFQ49 UOZ38:UPM49 UYV38:UZI49 VIR38:VJE49 VSN38:VTA49 WCJ38:WCW49 WMF38:WMS49 WWB38:WWO49" xr:uid="{B97A2D73-6148-48D1-88A6-3990843531B1}">
      <formula1>2000</formula1>
    </dataValidation>
  </dataValidations>
  <printOptions horizontalCentered="1"/>
  <pageMargins left="0.19685039370078741" right="0.19685039370078741" top="0.19685039370078741" bottom="0.19685039370078741" header="0" footer="0"/>
  <pageSetup scale="28" fitToHeight="0" orientation="landscape" r:id="rId1"/>
  <rowBreaks count="1" manualBreakCount="1">
    <brk id="39"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13"/>
  <sheetViews>
    <sheetView topLeftCell="A85" zoomScaleNormal="100" workbookViewId="0">
      <selection activeCell="H109" sqref="H109"/>
    </sheetView>
  </sheetViews>
  <sheetFormatPr baseColWidth="10" defaultColWidth="11.42578125" defaultRowHeight="15"/>
  <cols>
    <col min="1" max="1" width="33.7109375" customWidth="1"/>
    <col min="2" max="2" width="16.85546875" bestFit="1" customWidth="1"/>
    <col min="3" max="3" width="15.140625" bestFit="1" customWidth="1"/>
    <col min="4" max="6" width="16.85546875" bestFit="1" customWidth="1"/>
    <col min="8" max="8" width="15.85546875" bestFit="1" customWidth="1"/>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73" customWidth="1"/>
    <col min="35" max="38" width="16.85546875" style="273" bestFit="1" customWidth="1"/>
    <col min="39" max="39" width="16.42578125" style="273" bestFit="1" customWidth="1"/>
    <col min="40" max="41" width="16.85546875" style="273" bestFit="1" customWidth="1"/>
    <col min="42" max="42" width="16.42578125" style="273" bestFit="1" customWidth="1"/>
    <col min="43" max="44" width="16.85546875" style="273" bestFit="1" customWidth="1"/>
    <col min="45" max="46" width="17.140625" style="273" bestFit="1" customWidth="1"/>
    <col min="47" max="47" width="18.5703125" style="299" bestFit="1" customWidth="1"/>
    <col min="48" max="48" width="18.7109375" style="273" bestFit="1" customWidth="1"/>
    <col min="49" max="49" width="12" style="273" bestFit="1" customWidth="1"/>
    <col min="50" max="50" width="15.7109375" style="273" bestFit="1" customWidth="1"/>
    <col min="51" max="53" width="11.42578125" style="273"/>
    <col min="54" max="54" width="19" style="272" bestFit="1" customWidth="1"/>
  </cols>
  <sheetData>
    <row r="1" spans="1:54" ht="76.5">
      <c r="A1" s="206" t="s">
        <v>707</v>
      </c>
      <c r="B1" s="206" t="s">
        <v>708</v>
      </c>
      <c r="C1" s="206" t="s">
        <v>709</v>
      </c>
      <c r="D1" s="206" t="s">
        <v>710</v>
      </c>
      <c r="E1" s="207" t="s">
        <v>711</v>
      </c>
      <c r="F1" s="206" t="s">
        <v>712</v>
      </c>
      <c r="G1" s="206" t="s">
        <v>713</v>
      </c>
      <c r="H1" s="206" t="s">
        <v>714</v>
      </c>
      <c r="I1" s="206" t="s">
        <v>715</v>
      </c>
      <c r="J1" s="208" t="s">
        <v>364</v>
      </c>
      <c r="K1" s="208" t="s">
        <v>716</v>
      </c>
      <c r="L1" s="208" t="s">
        <v>717</v>
      </c>
      <c r="M1" s="208" t="s">
        <v>718</v>
      </c>
      <c r="N1" s="208" t="s">
        <v>719</v>
      </c>
      <c r="O1" s="208" t="s">
        <v>720</v>
      </c>
      <c r="P1" s="208" t="s">
        <v>721</v>
      </c>
      <c r="Q1" s="208" t="s">
        <v>722</v>
      </c>
      <c r="R1" s="208" t="s">
        <v>723</v>
      </c>
      <c r="S1" s="208" t="s">
        <v>724</v>
      </c>
      <c r="T1" s="208" t="s">
        <v>725</v>
      </c>
      <c r="U1" s="208" t="s">
        <v>726</v>
      </c>
      <c r="V1" s="208" t="s">
        <v>727</v>
      </c>
      <c r="W1" s="208" t="s">
        <v>728</v>
      </c>
      <c r="X1" s="209" t="s">
        <v>729</v>
      </c>
      <c r="Y1" s="208" t="s">
        <v>730</v>
      </c>
      <c r="Z1" s="208" t="s">
        <v>731</v>
      </c>
      <c r="AA1" s="210" t="s">
        <v>732</v>
      </c>
      <c r="AB1" s="210" t="s">
        <v>733</v>
      </c>
      <c r="AC1" s="211" t="s">
        <v>734</v>
      </c>
      <c r="AD1" s="211" t="s">
        <v>735</v>
      </c>
      <c r="AE1" s="212"/>
      <c r="AF1" s="212"/>
      <c r="AG1" s="212"/>
      <c r="AH1" s="306"/>
      <c r="AI1" s="341" t="s">
        <v>63</v>
      </c>
      <c r="AJ1" s="341" t="s">
        <v>64</v>
      </c>
      <c r="AK1" s="341" t="s">
        <v>736</v>
      </c>
      <c r="AL1" s="341" t="s">
        <v>66</v>
      </c>
      <c r="AM1" s="341" t="s">
        <v>67</v>
      </c>
      <c r="AN1" s="341" t="s">
        <v>68</v>
      </c>
      <c r="AO1" s="341" t="s">
        <v>69</v>
      </c>
      <c r="AP1" s="341" t="s">
        <v>737</v>
      </c>
      <c r="AQ1" s="341" t="s">
        <v>738</v>
      </c>
      <c r="AR1" s="341" t="s">
        <v>739</v>
      </c>
      <c r="AS1" s="341" t="s">
        <v>740</v>
      </c>
      <c r="AT1" s="341" t="s">
        <v>741</v>
      </c>
      <c r="AU1" s="299" t="s">
        <v>312</v>
      </c>
      <c r="AX1" s="273" t="s">
        <v>522</v>
      </c>
      <c r="AY1" s="273" t="s">
        <v>523</v>
      </c>
      <c r="AZ1" s="273" t="s">
        <v>524</v>
      </c>
      <c r="BA1" s="273" t="s">
        <v>742</v>
      </c>
    </row>
    <row r="2" spans="1:54">
      <c r="A2" s="213" t="s">
        <v>743</v>
      </c>
      <c r="B2" s="214" t="s">
        <v>744</v>
      </c>
      <c r="C2" s="214" t="s">
        <v>744</v>
      </c>
      <c r="D2" s="214">
        <v>362</v>
      </c>
      <c r="E2" s="215">
        <v>362</v>
      </c>
      <c r="F2" s="216">
        <v>7673</v>
      </c>
      <c r="G2" s="213" t="s">
        <v>544</v>
      </c>
      <c r="H2" s="213" t="s">
        <v>745</v>
      </c>
      <c r="I2" s="213" t="s">
        <v>746</v>
      </c>
      <c r="J2" s="213" t="s">
        <v>747</v>
      </c>
      <c r="K2" s="213" t="s">
        <v>748</v>
      </c>
      <c r="L2" s="213" t="s">
        <v>749</v>
      </c>
      <c r="M2" s="213" t="s">
        <v>750</v>
      </c>
      <c r="N2" s="213" t="s">
        <v>751</v>
      </c>
      <c r="O2" s="213" t="s">
        <v>752</v>
      </c>
      <c r="P2" s="213" t="s">
        <v>753</v>
      </c>
      <c r="Q2" s="217">
        <v>1</v>
      </c>
      <c r="R2" s="213" t="s">
        <v>754</v>
      </c>
      <c r="S2" s="213" t="s">
        <v>755</v>
      </c>
      <c r="T2" s="214">
        <v>80111620</v>
      </c>
      <c r="U2" s="218" t="s">
        <v>756</v>
      </c>
      <c r="V2" s="214">
        <v>1</v>
      </c>
      <c r="W2" s="214">
        <v>1</v>
      </c>
      <c r="X2" s="214">
        <v>330</v>
      </c>
      <c r="Y2" s="219" t="s">
        <v>757</v>
      </c>
      <c r="Z2" s="220" t="s">
        <v>758</v>
      </c>
      <c r="AA2" s="308">
        <v>69608000</v>
      </c>
      <c r="AB2" s="221">
        <v>6328000</v>
      </c>
      <c r="AC2" s="220" t="s">
        <v>759</v>
      </c>
      <c r="AD2" s="220" t="s">
        <v>760</v>
      </c>
      <c r="AE2" s="222"/>
      <c r="AF2" s="223"/>
      <c r="AG2" s="224"/>
      <c r="AH2" s="274"/>
      <c r="AI2" s="332">
        <f>AB2/30*10</f>
        <v>2109333.3333333335</v>
      </c>
      <c r="AJ2" s="332">
        <f>AB2</f>
        <v>6328000</v>
      </c>
      <c r="AK2" s="332">
        <v>6328000</v>
      </c>
      <c r="AL2" s="332">
        <v>6328000</v>
      </c>
      <c r="AM2" s="302">
        <v>6328000</v>
      </c>
      <c r="AN2" s="302">
        <v>6328000</v>
      </c>
      <c r="AO2" s="302">
        <v>6328000</v>
      </c>
      <c r="AP2" s="302">
        <v>6328000</v>
      </c>
      <c r="AQ2" s="302">
        <v>6328000</v>
      </c>
      <c r="AR2" s="302">
        <v>6328000</v>
      </c>
      <c r="AS2" s="302">
        <v>6328000</v>
      </c>
      <c r="AT2" s="302">
        <f>AB2/30*20</f>
        <v>4218666.666666667</v>
      </c>
      <c r="AU2" s="299">
        <f>SUM(AI2:AT2)</f>
        <v>69608000</v>
      </c>
      <c r="AV2" s="276">
        <f>+AU2-AA2</f>
        <v>0</v>
      </c>
      <c r="AX2" s="273">
        <f>+AU2</f>
        <v>69608000</v>
      </c>
      <c r="AY2" s="273">
        <v>0</v>
      </c>
      <c r="AZ2" s="273">
        <v>0</v>
      </c>
      <c r="BA2" s="273">
        <v>0</v>
      </c>
      <c r="BB2" s="272">
        <f>SUM(AX2:BA2)</f>
        <v>69608000</v>
      </c>
    </row>
    <row r="3" spans="1:54">
      <c r="A3" s="213" t="s">
        <v>743</v>
      </c>
      <c r="B3" s="214" t="s">
        <v>744</v>
      </c>
      <c r="C3" s="214" t="s">
        <v>744</v>
      </c>
      <c r="D3" s="214">
        <v>363</v>
      </c>
      <c r="E3" s="215">
        <v>363</v>
      </c>
      <c r="F3" s="216">
        <v>7673</v>
      </c>
      <c r="G3" s="213" t="s">
        <v>544</v>
      </c>
      <c r="H3" s="213" t="s">
        <v>745</v>
      </c>
      <c r="I3" s="213" t="s">
        <v>746</v>
      </c>
      <c r="J3" s="213" t="s">
        <v>747</v>
      </c>
      <c r="K3" s="213" t="s">
        <v>748</v>
      </c>
      <c r="L3" s="213" t="s">
        <v>749</v>
      </c>
      <c r="M3" s="213" t="s">
        <v>750</v>
      </c>
      <c r="N3" s="213" t="s">
        <v>751</v>
      </c>
      <c r="O3" s="213" t="s">
        <v>752</v>
      </c>
      <c r="P3" s="213" t="s">
        <v>753</v>
      </c>
      <c r="Q3" s="217">
        <v>1</v>
      </c>
      <c r="R3" s="213" t="s">
        <v>754</v>
      </c>
      <c r="S3" s="213" t="s">
        <v>755</v>
      </c>
      <c r="T3" s="214">
        <v>80111620</v>
      </c>
      <c r="U3" s="227" t="s">
        <v>756</v>
      </c>
      <c r="V3" s="214">
        <v>1</v>
      </c>
      <c r="W3" s="214">
        <v>1</v>
      </c>
      <c r="X3" s="214">
        <v>330</v>
      </c>
      <c r="Y3" s="219" t="s">
        <v>757</v>
      </c>
      <c r="Z3" s="220" t="s">
        <v>758</v>
      </c>
      <c r="AA3" s="308">
        <v>69608000</v>
      </c>
      <c r="AB3" s="221">
        <v>6328000</v>
      </c>
      <c r="AC3" s="220" t="s">
        <v>759</v>
      </c>
      <c r="AD3" s="220" t="s">
        <v>760</v>
      </c>
      <c r="AE3" s="222"/>
      <c r="AF3" s="223"/>
      <c r="AG3" s="224"/>
      <c r="AH3" s="274"/>
      <c r="AI3" s="332">
        <f t="shared" ref="AI3:AI52" si="0">AB3/30*10</f>
        <v>2109333.3333333335</v>
      </c>
      <c r="AJ3" s="332">
        <f t="shared" ref="AJ3:AJ52" si="1">AB3</f>
        <v>6328000</v>
      </c>
      <c r="AK3" s="332">
        <v>6328000</v>
      </c>
      <c r="AL3" s="332">
        <v>6328000</v>
      </c>
      <c r="AM3" s="302">
        <v>6328000</v>
      </c>
      <c r="AN3" s="302">
        <v>6328000</v>
      </c>
      <c r="AO3" s="302">
        <v>6328000</v>
      </c>
      <c r="AP3" s="302">
        <v>6328000</v>
      </c>
      <c r="AQ3" s="302">
        <v>6328000</v>
      </c>
      <c r="AR3" s="302">
        <v>6328000</v>
      </c>
      <c r="AS3" s="302">
        <v>6328000</v>
      </c>
      <c r="AT3" s="302">
        <f t="shared" ref="AT3:AT52" si="2">AB3/30*20</f>
        <v>4218666.666666667</v>
      </c>
      <c r="AU3" s="299">
        <f t="shared" ref="AU3:AU71" si="3">SUM(AI3:AT3)</f>
        <v>69608000</v>
      </c>
      <c r="AV3" s="276">
        <f t="shared" ref="AV3:AV71" si="4">+AU3-AA3</f>
        <v>0</v>
      </c>
      <c r="AX3" s="273">
        <f t="shared" ref="AX3:AX31" si="5">+AU3</f>
        <v>69608000</v>
      </c>
      <c r="AY3" s="273">
        <v>0</v>
      </c>
      <c r="AZ3" s="273">
        <v>0</v>
      </c>
      <c r="BA3" s="273">
        <v>0</v>
      </c>
      <c r="BB3" s="272">
        <f t="shared" ref="BB3:BB71" si="6">SUM(AX3:BA3)</f>
        <v>69608000</v>
      </c>
    </row>
    <row r="4" spans="1:54">
      <c r="A4" s="213" t="s">
        <v>743</v>
      </c>
      <c r="B4" s="214" t="s">
        <v>744</v>
      </c>
      <c r="C4" s="214" t="s">
        <v>744</v>
      </c>
      <c r="D4" s="214">
        <v>364</v>
      </c>
      <c r="E4" s="215">
        <v>364</v>
      </c>
      <c r="F4" s="216">
        <v>7673</v>
      </c>
      <c r="G4" s="213" t="s">
        <v>544</v>
      </c>
      <c r="H4" s="213" t="s">
        <v>745</v>
      </c>
      <c r="I4" s="213" t="s">
        <v>746</v>
      </c>
      <c r="J4" s="213" t="s">
        <v>747</v>
      </c>
      <c r="K4" s="213" t="s">
        <v>748</v>
      </c>
      <c r="L4" s="213" t="s">
        <v>749</v>
      </c>
      <c r="M4" s="213" t="s">
        <v>750</v>
      </c>
      <c r="N4" s="213" t="s">
        <v>751</v>
      </c>
      <c r="O4" s="213" t="s">
        <v>752</v>
      </c>
      <c r="P4" s="213" t="s">
        <v>753</v>
      </c>
      <c r="Q4" s="217">
        <v>1</v>
      </c>
      <c r="R4" s="213" t="s">
        <v>754</v>
      </c>
      <c r="S4" s="213" t="s">
        <v>755</v>
      </c>
      <c r="T4" s="214">
        <v>80111620</v>
      </c>
      <c r="U4" s="213" t="s">
        <v>761</v>
      </c>
      <c r="V4" s="214">
        <v>1</v>
      </c>
      <c r="W4" s="214">
        <v>1</v>
      </c>
      <c r="X4" s="214">
        <v>330</v>
      </c>
      <c r="Y4" s="219" t="s">
        <v>757</v>
      </c>
      <c r="Z4" s="220" t="s">
        <v>758</v>
      </c>
      <c r="AA4" s="308">
        <v>69608000</v>
      </c>
      <c r="AB4" s="221">
        <v>6328000</v>
      </c>
      <c r="AC4" s="220" t="s">
        <v>762</v>
      </c>
      <c r="AD4" s="220" t="s">
        <v>760</v>
      </c>
      <c r="AE4" s="228"/>
      <c r="AF4" s="223"/>
      <c r="AG4" s="226"/>
      <c r="AH4" s="275"/>
      <c r="AI4" s="332">
        <f t="shared" si="0"/>
        <v>2109333.3333333335</v>
      </c>
      <c r="AJ4" s="332">
        <f t="shared" si="1"/>
        <v>6328000</v>
      </c>
      <c r="AK4" s="332">
        <v>6328000</v>
      </c>
      <c r="AL4" s="332">
        <v>6328000</v>
      </c>
      <c r="AM4" s="302">
        <v>6328000</v>
      </c>
      <c r="AN4" s="302">
        <v>6328000</v>
      </c>
      <c r="AO4" s="302">
        <v>6328000</v>
      </c>
      <c r="AP4" s="302">
        <v>6328000</v>
      </c>
      <c r="AQ4" s="302">
        <v>6328000</v>
      </c>
      <c r="AR4" s="302">
        <v>6328000</v>
      </c>
      <c r="AS4" s="302">
        <v>6328000</v>
      </c>
      <c r="AT4" s="302">
        <f t="shared" si="2"/>
        <v>4218666.666666667</v>
      </c>
      <c r="AU4" s="299">
        <f t="shared" si="3"/>
        <v>69608000</v>
      </c>
      <c r="AV4" s="276">
        <f t="shared" si="4"/>
        <v>0</v>
      </c>
      <c r="AX4" s="273">
        <f t="shared" si="5"/>
        <v>69608000</v>
      </c>
      <c r="AY4" s="273">
        <v>0</v>
      </c>
      <c r="AZ4" s="273">
        <v>0</v>
      </c>
      <c r="BA4" s="273">
        <v>0</v>
      </c>
      <c r="BB4" s="272">
        <f t="shared" si="6"/>
        <v>69608000</v>
      </c>
    </row>
    <row r="5" spans="1:54">
      <c r="A5" s="213" t="s">
        <v>743</v>
      </c>
      <c r="B5" s="214" t="s">
        <v>744</v>
      </c>
      <c r="C5" s="214" t="s">
        <v>744</v>
      </c>
      <c r="D5" s="214">
        <v>365</v>
      </c>
      <c r="E5" s="215">
        <v>365</v>
      </c>
      <c r="F5" s="216">
        <v>7673</v>
      </c>
      <c r="G5" s="213" t="s">
        <v>544</v>
      </c>
      <c r="H5" s="213" t="s">
        <v>745</v>
      </c>
      <c r="I5" s="213" t="s">
        <v>746</v>
      </c>
      <c r="J5" s="213" t="s">
        <v>747</v>
      </c>
      <c r="K5" s="213" t="s">
        <v>748</v>
      </c>
      <c r="L5" s="213" t="s">
        <v>749</v>
      </c>
      <c r="M5" s="213" t="s">
        <v>750</v>
      </c>
      <c r="N5" s="213" t="s">
        <v>751</v>
      </c>
      <c r="O5" s="213" t="s">
        <v>752</v>
      </c>
      <c r="P5" s="213" t="s">
        <v>753</v>
      </c>
      <c r="Q5" s="217">
        <v>1</v>
      </c>
      <c r="R5" s="213" t="s">
        <v>763</v>
      </c>
      <c r="S5" s="213" t="s">
        <v>764</v>
      </c>
      <c r="T5" s="214">
        <v>80111620</v>
      </c>
      <c r="U5" s="213" t="s">
        <v>765</v>
      </c>
      <c r="V5" s="214">
        <v>1</v>
      </c>
      <c r="W5" s="214">
        <v>1</v>
      </c>
      <c r="X5" s="214">
        <v>330</v>
      </c>
      <c r="Y5" s="219" t="s">
        <v>757</v>
      </c>
      <c r="Z5" s="220" t="s">
        <v>758</v>
      </c>
      <c r="AA5" s="308">
        <v>69608000</v>
      </c>
      <c r="AB5" s="221">
        <v>6328000</v>
      </c>
      <c r="AC5" s="220" t="s">
        <v>766</v>
      </c>
      <c r="AD5" s="220" t="s">
        <v>760</v>
      </c>
      <c r="AE5" s="222"/>
      <c r="AF5" s="223"/>
      <c r="AG5" s="224"/>
      <c r="AH5" s="274"/>
      <c r="AI5" s="332">
        <f t="shared" si="0"/>
        <v>2109333.3333333335</v>
      </c>
      <c r="AJ5" s="332">
        <f t="shared" si="1"/>
        <v>6328000</v>
      </c>
      <c r="AK5" s="332">
        <v>6328000</v>
      </c>
      <c r="AL5" s="332">
        <v>6328000</v>
      </c>
      <c r="AM5" s="302">
        <v>6328000</v>
      </c>
      <c r="AN5" s="302">
        <v>6328000</v>
      </c>
      <c r="AO5" s="302">
        <v>6328000</v>
      </c>
      <c r="AP5" s="302">
        <v>6328000</v>
      </c>
      <c r="AQ5" s="302">
        <v>6328000</v>
      </c>
      <c r="AR5" s="302">
        <v>6328000</v>
      </c>
      <c r="AS5" s="302">
        <v>6328000</v>
      </c>
      <c r="AT5" s="302">
        <f t="shared" si="2"/>
        <v>4218666.666666667</v>
      </c>
      <c r="AU5" s="299">
        <f t="shared" si="3"/>
        <v>69608000</v>
      </c>
      <c r="AV5" s="276">
        <f t="shared" si="4"/>
        <v>0</v>
      </c>
      <c r="AX5" s="273">
        <f t="shared" si="5"/>
        <v>69608000</v>
      </c>
      <c r="AY5" s="273">
        <v>0</v>
      </c>
      <c r="AZ5" s="273">
        <v>0</v>
      </c>
      <c r="BA5" s="273">
        <v>0</v>
      </c>
      <c r="BB5" s="272">
        <f t="shared" si="6"/>
        <v>69608000</v>
      </c>
    </row>
    <row r="6" spans="1:54">
      <c r="A6" s="213" t="s">
        <v>743</v>
      </c>
      <c r="B6" s="214" t="s">
        <v>744</v>
      </c>
      <c r="C6" s="214" t="s">
        <v>744</v>
      </c>
      <c r="D6" s="214">
        <v>366</v>
      </c>
      <c r="E6" s="215">
        <v>366</v>
      </c>
      <c r="F6" s="216">
        <v>7673</v>
      </c>
      <c r="G6" s="213" t="s">
        <v>544</v>
      </c>
      <c r="H6" s="213" t="s">
        <v>745</v>
      </c>
      <c r="I6" s="213" t="s">
        <v>746</v>
      </c>
      <c r="J6" s="213" t="s">
        <v>747</v>
      </c>
      <c r="K6" s="213" t="s">
        <v>748</v>
      </c>
      <c r="L6" s="213" t="s">
        <v>749</v>
      </c>
      <c r="M6" s="213" t="s">
        <v>750</v>
      </c>
      <c r="N6" s="213" t="s">
        <v>751</v>
      </c>
      <c r="O6" s="213" t="s">
        <v>752</v>
      </c>
      <c r="P6" s="213" t="s">
        <v>753</v>
      </c>
      <c r="Q6" s="217">
        <v>1</v>
      </c>
      <c r="R6" s="213" t="s">
        <v>754</v>
      </c>
      <c r="S6" s="213" t="s">
        <v>755</v>
      </c>
      <c r="T6" s="214">
        <v>80111620</v>
      </c>
      <c r="U6" s="218" t="s">
        <v>767</v>
      </c>
      <c r="V6" s="214">
        <v>1</v>
      </c>
      <c r="W6" s="214">
        <v>1</v>
      </c>
      <c r="X6" s="214">
        <v>360</v>
      </c>
      <c r="Y6" s="219" t="s">
        <v>757</v>
      </c>
      <c r="Z6" s="220" t="s">
        <v>758</v>
      </c>
      <c r="AA6" s="308">
        <v>80340000</v>
      </c>
      <c r="AB6" s="221">
        <v>6695000</v>
      </c>
      <c r="AC6" s="220" t="s">
        <v>768</v>
      </c>
      <c r="AD6" s="220" t="s">
        <v>760</v>
      </c>
      <c r="AE6" s="222"/>
      <c r="AF6" s="223"/>
      <c r="AG6" s="224"/>
      <c r="AH6" s="274"/>
      <c r="AI6" s="332">
        <v>6695000</v>
      </c>
      <c r="AJ6" s="332">
        <f t="shared" si="1"/>
        <v>6695000</v>
      </c>
      <c r="AK6" s="332">
        <v>6695000</v>
      </c>
      <c r="AL6" s="332">
        <v>6695000</v>
      </c>
      <c r="AM6" s="302">
        <v>6695000</v>
      </c>
      <c r="AN6" s="302">
        <v>6695000</v>
      </c>
      <c r="AO6" s="302">
        <v>6695000</v>
      </c>
      <c r="AP6" s="302">
        <v>6695000</v>
      </c>
      <c r="AQ6" s="302">
        <v>6695000</v>
      </c>
      <c r="AR6" s="302">
        <v>6695000</v>
      </c>
      <c r="AS6" s="302">
        <v>6695000</v>
      </c>
      <c r="AT6" s="302">
        <f>AB6/30*30</f>
        <v>6695000</v>
      </c>
      <c r="AU6" s="299">
        <f t="shared" si="3"/>
        <v>80340000</v>
      </c>
      <c r="AV6" s="276">
        <f t="shared" si="4"/>
        <v>0</v>
      </c>
      <c r="AX6" s="273">
        <f t="shared" si="5"/>
        <v>80340000</v>
      </c>
      <c r="AY6" s="273">
        <v>0</v>
      </c>
      <c r="AZ6" s="273">
        <v>0</v>
      </c>
      <c r="BA6" s="273">
        <v>0</v>
      </c>
      <c r="BB6" s="272">
        <f t="shared" si="6"/>
        <v>80340000</v>
      </c>
    </row>
    <row r="7" spans="1:54">
      <c r="A7" s="213" t="s">
        <v>743</v>
      </c>
      <c r="B7" s="214" t="s">
        <v>744</v>
      </c>
      <c r="C7" s="214" t="s">
        <v>744</v>
      </c>
      <c r="D7" s="214">
        <v>367</v>
      </c>
      <c r="E7" s="215">
        <v>367</v>
      </c>
      <c r="F7" s="216">
        <v>7673</v>
      </c>
      <c r="G7" s="213" t="s">
        <v>544</v>
      </c>
      <c r="H7" s="213" t="s">
        <v>745</v>
      </c>
      <c r="I7" s="213" t="s">
        <v>746</v>
      </c>
      <c r="J7" s="213" t="s">
        <v>747</v>
      </c>
      <c r="K7" s="213" t="s">
        <v>748</v>
      </c>
      <c r="L7" s="213" t="s">
        <v>749</v>
      </c>
      <c r="M7" s="213" t="s">
        <v>750</v>
      </c>
      <c r="N7" s="213" t="s">
        <v>751</v>
      </c>
      <c r="O7" s="213" t="s">
        <v>752</v>
      </c>
      <c r="P7" s="213" t="s">
        <v>753</v>
      </c>
      <c r="Q7" s="217">
        <v>1</v>
      </c>
      <c r="R7" s="213" t="s">
        <v>754</v>
      </c>
      <c r="S7" s="213" t="s">
        <v>755</v>
      </c>
      <c r="T7" s="214">
        <v>80111620</v>
      </c>
      <c r="U7" s="227" t="s">
        <v>769</v>
      </c>
      <c r="V7" s="214">
        <v>1</v>
      </c>
      <c r="W7" s="214">
        <v>1</v>
      </c>
      <c r="X7" s="214">
        <v>360</v>
      </c>
      <c r="Y7" s="219" t="s">
        <v>757</v>
      </c>
      <c r="Z7" s="220" t="s">
        <v>758</v>
      </c>
      <c r="AA7" s="308">
        <v>80340000</v>
      </c>
      <c r="AB7" s="221">
        <v>6695000</v>
      </c>
      <c r="AC7" s="220" t="s">
        <v>770</v>
      </c>
      <c r="AD7" s="220" t="s">
        <v>760</v>
      </c>
      <c r="AE7" s="222"/>
      <c r="AF7" s="223"/>
      <c r="AG7" s="224"/>
      <c r="AH7" s="274"/>
      <c r="AI7" s="332">
        <v>6695000</v>
      </c>
      <c r="AJ7" s="332">
        <f t="shared" si="1"/>
        <v>6695000</v>
      </c>
      <c r="AK7" s="332">
        <v>6695000</v>
      </c>
      <c r="AL7" s="332">
        <v>6695000</v>
      </c>
      <c r="AM7" s="302">
        <v>6695000</v>
      </c>
      <c r="AN7" s="302">
        <v>6695000</v>
      </c>
      <c r="AO7" s="302">
        <v>6695000</v>
      </c>
      <c r="AP7" s="302">
        <v>6695000</v>
      </c>
      <c r="AQ7" s="302">
        <v>6695000</v>
      </c>
      <c r="AR7" s="302">
        <v>6695000</v>
      </c>
      <c r="AS7" s="302">
        <v>6695000</v>
      </c>
      <c r="AT7" s="302">
        <v>6695000</v>
      </c>
      <c r="AU7" s="299">
        <f t="shared" si="3"/>
        <v>80340000</v>
      </c>
      <c r="AV7" s="276">
        <f t="shared" si="4"/>
        <v>0</v>
      </c>
      <c r="AX7" s="273">
        <f t="shared" si="5"/>
        <v>80340000</v>
      </c>
      <c r="AY7" s="273">
        <v>0</v>
      </c>
      <c r="AZ7" s="273">
        <v>0</v>
      </c>
      <c r="BA7" s="273">
        <v>0</v>
      </c>
      <c r="BB7" s="272">
        <f t="shared" si="6"/>
        <v>80340000</v>
      </c>
    </row>
    <row r="8" spans="1:54">
      <c r="A8" s="213" t="s">
        <v>743</v>
      </c>
      <c r="B8" s="214" t="s">
        <v>744</v>
      </c>
      <c r="C8" s="214" t="s">
        <v>744</v>
      </c>
      <c r="D8" s="214">
        <v>368</v>
      </c>
      <c r="E8" s="215">
        <v>368</v>
      </c>
      <c r="F8" s="216">
        <v>7673</v>
      </c>
      <c r="G8" s="213" t="s">
        <v>544</v>
      </c>
      <c r="H8" s="213" t="s">
        <v>745</v>
      </c>
      <c r="I8" s="213" t="s">
        <v>746</v>
      </c>
      <c r="J8" s="213" t="s">
        <v>747</v>
      </c>
      <c r="K8" s="213" t="s">
        <v>748</v>
      </c>
      <c r="L8" s="213" t="s">
        <v>749</v>
      </c>
      <c r="M8" s="213" t="s">
        <v>750</v>
      </c>
      <c r="N8" s="213" t="s">
        <v>751</v>
      </c>
      <c r="O8" s="213" t="s">
        <v>752</v>
      </c>
      <c r="P8" s="213" t="s">
        <v>753</v>
      </c>
      <c r="Q8" s="217">
        <v>1</v>
      </c>
      <c r="R8" s="213" t="s">
        <v>771</v>
      </c>
      <c r="S8" s="213" t="s">
        <v>772</v>
      </c>
      <c r="T8" s="214">
        <v>80111620</v>
      </c>
      <c r="U8" s="213" t="s">
        <v>773</v>
      </c>
      <c r="V8" s="214">
        <v>1</v>
      </c>
      <c r="W8" s="214">
        <v>1</v>
      </c>
      <c r="X8" s="214">
        <v>330</v>
      </c>
      <c r="Y8" s="219" t="s">
        <v>757</v>
      </c>
      <c r="Z8" s="220" t="s">
        <v>758</v>
      </c>
      <c r="AA8" s="308">
        <v>39655000</v>
      </c>
      <c r="AB8" s="221">
        <v>3605000</v>
      </c>
      <c r="AC8" s="220" t="s">
        <v>774</v>
      </c>
      <c r="AD8" s="220" t="s">
        <v>760</v>
      </c>
      <c r="AE8" s="222"/>
      <c r="AF8" s="223"/>
      <c r="AG8" s="224"/>
      <c r="AH8" s="274"/>
      <c r="AI8" s="332">
        <f t="shared" si="0"/>
        <v>1201666.6666666667</v>
      </c>
      <c r="AJ8" s="332">
        <f t="shared" si="1"/>
        <v>3605000</v>
      </c>
      <c r="AK8" s="332">
        <v>3605000</v>
      </c>
      <c r="AL8" s="302">
        <v>3605000</v>
      </c>
      <c r="AM8" s="302">
        <v>3605000</v>
      </c>
      <c r="AN8" s="302">
        <v>3605000</v>
      </c>
      <c r="AO8" s="302">
        <v>3605000</v>
      </c>
      <c r="AP8" s="302">
        <v>3605000</v>
      </c>
      <c r="AQ8" s="302">
        <v>3605000</v>
      </c>
      <c r="AR8" s="302">
        <v>3605000</v>
      </c>
      <c r="AS8" s="302">
        <v>3605000</v>
      </c>
      <c r="AT8" s="302">
        <f t="shared" si="2"/>
        <v>2403333.3333333335</v>
      </c>
      <c r="AU8" s="299">
        <f t="shared" si="3"/>
        <v>39655000.000000007</v>
      </c>
      <c r="AV8" s="276">
        <f t="shared" si="4"/>
        <v>0</v>
      </c>
      <c r="AX8" s="273">
        <f t="shared" si="5"/>
        <v>39655000.000000007</v>
      </c>
      <c r="AY8" s="273">
        <v>0</v>
      </c>
      <c r="AZ8" s="273">
        <v>0</v>
      </c>
      <c r="BA8" s="273">
        <v>0</v>
      </c>
      <c r="BB8" s="272">
        <f t="shared" si="6"/>
        <v>39655000.000000007</v>
      </c>
    </row>
    <row r="9" spans="1:54">
      <c r="A9" s="213" t="s">
        <v>743</v>
      </c>
      <c r="B9" s="214" t="s">
        <v>744</v>
      </c>
      <c r="C9" s="214" t="s">
        <v>744</v>
      </c>
      <c r="D9" s="214">
        <v>369</v>
      </c>
      <c r="E9" s="215">
        <v>369</v>
      </c>
      <c r="F9" s="216">
        <v>7673</v>
      </c>
      <c r="G9" s="213" t="s">
        <v>544</v>
      </c>
      <c r="H9" s="213" t="s">
        <v>745</v>
      </c>
      <c r="I9" s="213" t="s">
        <v>746</v>
      </c>
      <c r="J9" s="213" t="s">
        <v>747</v>
      </c>
      <c r="K9" s="213" t="s">
        <v>748</v>
      </c>
      <c r="L9" s="213" t="s">
        <v>749</v>
      </c>
      <c r="M9" s="213" t="s">
        <v>750</v>
      </c>
      <c r="N9" s="213" t="s">
        <v>751</v>
      </c>
      <c r="O9" s="213" t="s">
        <v>752</v>
      </c>
      <c r="P9" s="213" t="s">
        <v>753</v>
      </c>
      <c r="Q9" s="217">
        <v>1</v>
      </c>
      <c r="R9" s="213" t="s">
        <v>771</v>
      </c>
      <c r="S9" s="213" t="s">
        <v>772</v>
      </c>
      <c r="T9" s="214">
        <v>80111620</v>
      </c>
      <c r="U9" s="213" t="s">
        <v>773</v>
      </c>
      <c r="V9" s="214">
        <v>1</v>
      </c>
      <c r="W9" s="214">
        <v>1</v>
      </c>
      <c r="X9" s="214">
        <v>330</v>
      </c>
      <c r="Y9" s="219" t="s">
        <v>757</v>
      </c>
      <c r="Z9" s="220" t="s">
        <v>758</v>
      </c>
      <c r="AA9" s="308">
        <v>39655000</v>
      </c>
      <c r="AB9" s="221">
        <v>3605000</v>
      </c>
      <c r="AC9" s="220" t="s">
        <v>774</v>
      </c>
      <c r="AD9" s="220" t="s">
        <v>760</v>
      </c>
      <c r="AE9" s="222"/>
      <c r="AF9" s="223"/>
      <c r="AG9" s="224"/>
      <c r="AH9" s="274"/>
      <c r="AI9" s="332">
        <f t="shared" si="0"/>
        <v>1201666.6666666667</v>
      </c>
      <c r="AJ9" s="332">
        <f t="shared" si="1"/>
        <v>3605000</v>
      </c>
      <c r="AK9" s="332">
        <v>3605000</v>
      </c>
      <c r="AL9" s="302">
        <v>3605000</v>
      </c>
      <c r="AM9" s="302">
        <v>3605000</v>
      </c>
      <c r="AN9" s="302">
        <v>3605000</v>
      </c>
      <c r="AO9" s="302">
        <v>3605000</v>
      </c>
      <c r="AP9" s="302">
        <v>3605000</v>
      </c>
      <c r="AQ9" s="302">
        <v>3605000</v>
      </c>
      <c r="AR9" s="302">
        <v>3605000</v>
      </c>
      <c r="AS9" s="302">
        <v>3605000</v>
      </c>
      <c r="AT9" s="302">
        <f t="shared" si="2"/>
        <v>2403333.3333333335</v>
      </c>
      <c r="AU9" s="299">
        <f t="shared" si="3"/>
        <v>39655000.000000007</v>
      </c>
      <c r="AV9" s="276">
        <f t="shared" si="4"/>
        <v>0</v>
      </c>
      <c r="AX9" s="273">
        <f t="shared" si="5"/>
        <v>39655000.000000007</v>
      </c>
      <c r="AY9" s="273">
        <v>0</v>
      </c>
      <c r="AZ9" s="273">
        <v>0</v>
      </c>
      <c r="BA9" s="273">
        <v>0</v>
      </c>
      <c r="BB9" s="272">
        <f t="shared" si="6"/>
        <v>39655000.000000007</v>
      </c>
    </row>
    <row r="10" spans="1:54">
      <c r="A10" s="213" t="s">
        <v>743</v>
      </c>
      <c r="B10" s="214" t="s">
        <v>744</v>
      </c>
      <c r="C10" s="214" t="s">
        <v>744</v>
      </c>
      <c r="D10" s="214">
        <v>370</v>
      </c>
      <c r="E10" s="215">
        <v>370</v>
      </c>
      <c r="F10" s="216">
        <v>7673</v>
      </c>
      <c r="G10" s="213" t="s">
        <v>544</v>
      </c>
      <c r="H10" s="213" t="s">
        <v>745</v>
      </c>
      <c r="I10" s="213" t="s">
        <v>746</v>
      </c>
      <c r="J10" s="213" t="s">
        <v>747</v>
      </c>
      <c r="K10" s="213" t="s">
        <v>748</v>
      </c>
      <c r="L10" s="213" t="s">
        <v>749</v>
      </c>
      <c r="M10" s="213" t="s">
        <v>750</v>
      </c>
      <c r="N10" s="213" t="s">
        <v>751</v>
      </c>
      <c r="O10" s="213" t="s">
        <v>752</v>
      </c>
      <c r="P10" s="213" t="s">
        <v>753</v>
      </c>
      <c r="Q10" s="217">
        <v>1</v>
      </c>
      <c r="R10" s="213" t="s">
        <v>771</v>
      </c>
      <c r="S10" s="213" t="s">
        <v>772</v>
      </c>
      <c r="T10" s="214">
        <v>80111620</v>
      </c>
      <c r="U10" s="213" t="s">
        <v>773</v>
      </c>
      <c r="V10" s="214">
        <v>1</v>
      </c>
      <c r="W10" s="214">
        <v>1</v>
      </c>
      <c r="X10" s="214">
        <v>330</v>
      </c>
      <c r="Y10" s="219" t="s">
        <v>757</v>
      </c>
      <c r="Z10" s="220" t="s">
        <v>758</v>
      </c>
      <c r="AA10" s="308">
        <v>39655000</v>
      </c>
      <c r="AB10" s="221">
        <v>3605000</v>
      </c>
      <c r="AC10" s="220" t="s">
        <v>774</v>
      </c>
      <c r="AD10" s="220" t="s">
        <v>760</v>
      </c>
      <c r="AE10" s="222"/>
      <c r="AF10" s="223"/>
      <c r="AG10" s="224"/>
      <c r="AH10" s="274"/>
      <c r="AI10" s="332">
        <f t="shared" si="0"/>
        <v>1201666.6666666667</v>
      </c>
      <c r="AJ10" s="332">
        <f t="shared" si="1"/>
        <v>3605000</v>
      </c>
      <c r="AK10" s="332">
        <v>3605000</v>
      </c>
      <c r="AL10" s="302">
        <v>3605000</v>
      </c>
      <c r="AM10" s="302">
        <v>3605000</v>
      </c>
      <c r="AN10" s="302">
        <v>3605000</v>
      </c>
      <c r="AO10" s="302">
        <v>3605000</v>
      </c>
      <c r="AP10" s="302">
        <v>3605000</v>
      </c>
      <c r="AQ10" s="302">
        <v>3605000</v>
      </c>
      <c r="AR10" s="302">
        <v>3605000</v>
      </c>
      <c r="AS10" s="302">
        <v>3605000</v>
      </c>
      <c r="AT10" s="302">
        <f t="shared" si="2"/>
        <v>2403333.3333333335</v>
      </c>
      <c r="AU10" s="299">
        <f t="shared" si="3"/>
        <v>39655000.000000007</v>
      </c>
      <c r="AV10" s="276">
        <f t="shared" si="4"/>
        <v>0</v>
      </c>
      <c r="AX10" s="273">
        <f t="shared" si="5"/>
        <v>39655000.000000007</v>
      </c>
      <c r="AY10" s="273">
        <v>0</v>
      </c>
      <c r="AZ10" s="273">
        <v>0</v>
      </c>
      <c r="BA10" s="273">
        <v>0</v>
      </c>
      <c r="BB10" s="272">
        <f t="shared" si="6"/>
        <v>39655000.000000007</v>
      </c>
    </row>
    <row r="11" spans="1:54">
      <c r="A11" s="213" t="s">
        <v>743</v>
      </c>
      <c r="B11" s="214" t="s">
        <v>744</v>
      </c>
      <c r="C11" s="214" t="s">
        <v>744</v>
      </c>
      <c r="D11" s="214">
        <v>371</v>
      </c>
      <c r="E11" s="215">
        <v>371</v>
      </c>
      <c r="F11" s="216">
        <v>7673</v>
      </c>
      <c r="G11" s="213" t="s">
        <v>544</v>
      </c>
      <c r="H11" s="213" t="s">
        <v>745</v>
      </c>
      <c r="I11" s="213" t="s">
        <v>746</v>
      </c>
      <c r="J11" s="213" t="s">
        <v>747</v>
      </c>
      <c r="K11" s="213" t="s">
        <v>748</v>
      </c>
      <c r="L11" s="213" t="s">
        <v>749</v>
      </c>
      <c r="M11" s="213" t="s">
        <v>750</v>
      </c>
      <c r="N11" s="213" t="s">
        <v>751</v>
      </c>
      <c r="O11" s="213" t="s">
        <v>752</v>
      </c>
      <c r="P11" s="213" t="s">
        <v>753</v>
      </c>
      <c r="Q11" s="217">
        <v>1</v>
      </c>
      <c r="R11" s="213" t="s">
        <v>771</v>
      </c>
      <c r="S11" s="213" t="s">
        <v>772</v>
      </c>
      <c r="T11" s="214">
        <v>80111620</v>
      </c>
      <c r="U11" s="213" t="s">
        <v>773</v>
      </c>
      <c r="V11" s="214">
        <v>1</v>
      </c>
      <c r="W11" s="214">
        <v>1</v>
      </c>
      <c r="X11" s="214">
        <v>330</v>
      </c>
      <c r="Y11" s="219" t="s">
        <v>757</v>
      </c>
      <c r="Z11" s="220" t="s">
        <v>758</v>
      </c>
      <c r="AA11" s="308">
        <v>39655000</v>
      </c>
      <c r="AB11" s="221">
        <v>3605000</v>
      </c>
      <c r="AC11" s="220" t="s">
        <v>774</v>
      </c>
      <c r="AD11" s="220" t="s">
        <v>760</v>
      </c>
      <c r="AE11" s="222"/>
      <c r="AF11" s="223"/>
      <c r="AG11" s="224"/>
      <c r="AH11" s="274"/>
      <c r="AI11" s="332">
        <f t="shared" si="0"/>
        <v>1201666.6666666667</v>
      </c>
      <c r="AJ11" s="332">
        <f t="shared" si="1"/>
        <v>3605000</v>
      </c>
      <c r="AK11" s="332">
        <v>3605000</v>
      </c>
      <c r="AL11" s="302">
        <v>3605000</v>
      </c>
      <c r="AM11" s="302">
        <v>3605000</v>
      </c>
      <c r="AN11" s="302">
        <v>3605000</v>
      </c>
      <c r="AO11" s="302">
        <v>3605000</v>
      </c>
      <c r="AP11" s="302">
        <v>3605000</v>
      </c>
      <c r="AQ11" s="302">
        <v>3605000</v>
      </c>
      <c r="AR11" s="302">
        <v>3605000</v>
      </c>
      <c r="AS11" s="302">
        <v>3605000</v>
      </c>
      <c r="AT11" s="302">
        <f t="shared" si="2"/>
        <v>2403333.3333333335</v>
      </c>
      <c r="AU11" s="299">
        <f t="shared" si="3"/>
        <v>39655000.000000007</v>
      </c>
      <c r="AV11" s="276">
        <f t="shared" si="4"/>
        <v>0</v>
      </c>
      <c r="AX11" s="273">
        <f t="shared" si="5"/>
        <v>39655000.000000007</v>
      </c>
      <c r="AY11" s="273">
        <v>0</v>
      </c>
      <c r="AZ11" s="273">
        <v>0</v>
      </c>
      <c r="BA11" s="273">
        <v>0</v>
      </c>
      <c r="BB11" s="272">
        <f t="shared" si="6"/>
        <v>39655000.000000007</v>
      </c>
    </row>
    <row r="12" spans="1:54">
      <c r="A12" s="213" t="s">
        <v>743</v>
      </c>
      <c r="B12" s="214" t="s">
        <v>744</v>
      </c>
      <c r="C12" s="214" t="s">
        <v>744</v>
      </c>
      <c r="D12" s="214">
        <v>372</v>
      </c>
      <c r="E12" s="215">
        <v>372</v>
      </c>
      <c r="F12" s="216">
        <v>7673</v>
      </c>
      <c r="G12" s="213" t="s">
        <v>544</v>
      </c>
      <c r="H12" s="213" t="s">
        <v>745</v>
      </c>
      <c r="I12" s="213" t="s">
        <v>746</v>
      </c>
      <c r="J12" s="213" t="s">
        <v>747</v>
      </c>
      <c r="K12" s="213" t="s">
        <v>748</v>
      </c>
      <c r="L12" s="213" t="s">
        <v>749</v>
      </c>
      <c r="M12" s="213" t="s">
        <v>750</v>
      </c>
      <c r="N12" s="213" t="s">
        <v>751</v>
      </c>
      <c r="O12" s="213" t="s">
        <v>752</v>
      </c>
      <c r="P12" s="213" t="s">
        <v>753</v>
      </c>
      <c r="Q12" s="217">
        <v>1</v>
      </c>
      <c r="R12" s="213" t="s">
        <v>771</v>
      </c>
      <c r="S12" s="213" t="s">
        <v>772</v>
      </c>
      <c r="T12" s="214">
        <v>80111620</v>
      </c>
      <c r="U12" s="213" t="s">
        <v>773</v>
      </c>
      <c r="V12" s="214">
        <v>1</v>
      </c>
      <c r="W12" s="214">
        <v>1</v>
      </c>
      <c r="X12" s="214">
        <v>330</v>
      </c>
      <c r="Y12" s="219" t="s">
        <v>757</v>
      </c>
      <c r="Z12" s="220" t="s">
        <v>758</v>
      </c>
      <c r="AA12" s="308">
        <v>39655000</v>
      </c>
      <c r="AB12" s="221">
        <v>3605000</v>
      </c>
      <c r="AC12" s="220" t="s">
        <v>774</v>
      </c>
      <c r="AD12" s="220" t="s">
        <v>760</v>
      </c>
      <c r="AE12" s="222"/>
      <c r="AF12" s="223"/>
      <c r="AG12" s="224"/>
      <c r="AH12" s="274"/>
      <c r="AI12" s="332">
        <f t="shared" si="0"/>
        <v>1201666.6666666667</v>
      </c>
      <c r="AJ12" s="332">
        <f t="shared" si="1"/>
        <v>3605000</v>
      </c>
      <c r="AK12" s="332">
        <v>3605000</v>
      </c>
      <c r="AL12" s="332">
        <v>3605000</v>
      </c>
      <c r="AM12" s="302">
        <v>3605000</v>
      </c>
      <c r="AN12" s="302">
        <v>3605000</v>
      </c>
      <c r="AO12" s="302">
        <v>3605000</v>
      </c>
      <c r="AP12" s="302">
        <v>3605000</v>
      </c>
      <c r="AQ12" s="302">
        <v>3605000</v>
      </c>
      <c r="AR12" s="302">
        <v>3605000</v>
      </c>
      <c r="AS12" s="302">
        <v>3605000</v>
      </c>
      <c r="AT12" s="302">
        <f t="shared" si="2"/>
        <v>2403333.3333333335</v>
      </c>
      <c r="AU12" s="299">
        <f t="shared" si="3"/>
        <v>39655000.000000007</v>
      </c>
      <c r="AV12" s="276">
        <f t="shared" si="4"/>
        <v>0</v>
      </c>
      <c r="AX12" s="273">
        <f t="shared" si="5"/>
        <v>39655000.000000007</v>
      </c>
      <c r="AY12" s="273">
        <v>0</v>
      </c>
      <c r="AZ12" s="273">
        <v>0</v>
      </c>
      <c r="BA12" s="273">
        <v>0</v>
      </c>
      <c r="BB12" s="272">
        <f t="shared" si="6"/>
        <v>39655000.000000007</v>
      </c>
    </row>
    <row r="13" spans="1:54">
      <c r="A13" s="213" t="s">
        <v>743</v>
      </c>
      <c r="B13" s="214" t="s">
        <v>744</v>
      </c>
      <c r="C13" s="214" t="s">
        <v>744</v>
      </c>
      <c r="D13" s="214">
        <v>373</v>
      </c>
      <c r="E13" s="215">
        <v>373</v>
      </c>
      <c r="F13" s="216">
        <v>7673</v>
      </c>
      <c r="G13" s="213" t="s">
        <v>544</v>
      </c>
      <c r="H13" s="213" t="s">
        <v>745</v>
      </c>
      <c r="I13" s="213" t="s">
        <v>746</v>
      </c>
      <c r="J13" s="213" t="s">
        <v>747</v>
      </c>
      <c r="K13" s="213" t="s">
        <v>748</v>
      </c>
      <c r="L13" s="213" t="s">
        <v>749</v>
      </c>
      <c r="M13" s="213" t="s">
        <v>750</v>
      </c>
      <c r="N13" s="213" t="s">
        <v>751</v>
      </c>
      <c r="O13" s="213" t="s">
        <v>752</v>
      </c>
      <c r="P13" s="213" t="s">
        <v>753</v>
      </c>
      <c r="Q13" s="217">
        <v>1</v>
      </c>
      <c r="R13" s="213" t="s">
        <v>771</v>
      </c>
      <c r="S13" s="213" t="s">
        <v>772</v>
      </c>
      <c r="T13" s="214">
        <v>80111620</v>
      </c>
      <c r="U13" s="213" t="s">
        <v>773</v>
      </c>
      <c r="V13" s="214">
        <v>1</v>
      </c>
      <c r="W13" s="214">
        <v>1</v>
      </c>
      <c r="X13" s="214">
        <v>330</v>
      </c>
      <c r="Y13" s="219" t="s">
        <v>757</v>
      </c>
      <c r="Z13" s="220" t="s">
        <v>758</v>
      </c>
      <c r="AA13" s="308">
        <v>39655000</v>
      </c>
      <c r="AB13" s="221">
        <v>3605000</v>
      </c>
      <c r="AC13" s="220" t="s">
        <v>774</v>
      </c>
      <c r="AD13" s="220" t="s">
        <v>760</v>
      </c>
      <c r="AE13" s="222"/>
      <c r="AF13" s="223"/>
      <c r="AG13" s="224"/>
      <c r="AH13" s="274"/>
      <c r="AI13" s="332">
        <f t="shared" si="0"/>
        <v>1201666.6666666667</v>
      </c>
      <c r="AJ13" s="332">
        <f t="shared" si="1"/>
        <v>3605000</v>
      </c>
      <c r="AK13" s="332">
        <v>3605000</v>
      </c>
      <c r="AL13" s="332">
        <v>3605000</v>
      </c>
      <c r="AM13" s="302">
        <v>3605000</v>
      </c>
      <c r="AN13" s="302">
        <v>3605000</v>
      </c>
      <c r="AO13" s="302">
        <v>3605000</v>
      </c>
      <c r="AP13" s="302">
        <v>3605000</v>
      </c>
      <c r="AQ13" s="302">
        <v>3605000</v>
      </c>
      <c r="AR13" s="302">
        <v>3605000</v>
      </c>
      <c r="AS13" s="302">
        <v>3605000</v>
      </c>
      <c r="AT13" s="302">
        <f t="shared" si="2"/>
        <v>2403333.3333333335</v>
      </c>
      <c r="AU13" s="299">
        <f t="shared" si="3"/>
        <v>39655000.000000007</v>
      </c>
      <c r="AV13" s="276">
        <f t="shared" si="4"/>
        <v>0</v>
      </c>
      <c r="AX13" s="273">
        <f t="shared" si="5"/>
        <v>39655000.000000007</v>
      </c>
      <c r="AY13" s="273">
        <v>0</v>
      </c>
      <c r="AZ13" s="273">
        <v>0</v>
      </c>
      <c r="BA13" s="273">
        <v>0</v>
      </c>
      <c r="BB13" s="272">
        <f t="shared" si="6"/>
        <v>39655000.000000007</v>
      </c>
    </row>
    <row r="14" spans="1:54">
      <c r="A14" s="213" t="s">
        <v>743</v>
      </c>
      <c r="B14" s="214" t="s">
        <v>744</v>
      </c>
      <c r="C14" s="214" t="s">
        <v>744</v>
      </c>
      <c r="D14" s="214">
        <v>374</v>
      </c>
      <c r="E14" s="215">
        <v>374</v>
      </c>
      <c r="F14" s="216">
        <v>7673</v>
      </c>
      <c r="G14" s="213" t="s">
        <v>544</v>
      </c>
      <c r="H14" s="213" t="s">
        <v>745</v>
      </c>
      <c r="I14" s="213" t="s">
        <v>746</v>
      </c>
      <c r="J14" s="213" t="s">
        <v>747</v>
      </c>
      <c r="K14" s="213" t="s">
        <v>748</v>
      </c>
      <c r="L14" s="213" t="s">
        <v>749</v>
      </c>
      <c r="M14" s="213" t="s">
        <v>750</v>
      </c>
      <c r="N14" s="213" t="s">
        <v>751</v>
      </c>
      <c r="O14" s="213" t="s">
        <v>752</v>
      </c>
      <c r="P14" s="213" t="s">
        <v>753</v>
      </c>
      <c r="Q14" s="217">
        <v>1</v>
      </c>
      <c r="R14" s="213" t="s">
        <v>771</v>
      </c>
      <c r="S14" s="213" t="s">
        <v>772</v>
      </c>
      <c r="T14" s="214">
        <v>80111620</v>
      </c>
      <c r="U14" s="213" t="s">
        <v>773</v>
      </c>
      <c r="V14" s="214">
        <v>1</v>
      </c>
      <c r="W14" s="214">
        <v>1</v>
      </c>
      <c r="X14" s="214">
        <v>330</v>
      </c>
      <c r="Y14" s="219" t="s">
        <v>757</v>
      </c>
      <c r="Z14" s="220" t="s">
        <v>758</v>
      </c>
      <c r="AA14" s="308">
        <v>39655000</v>
      </c>
      <c r="AB14" s="221">
        <v>3605000</v>
      </c>
      <c r="AC14" s="220" t="s">
        <v>774</v>
      </c>
      <c r="AD14" s="220" t="s">
        <v>760</v>
      </c>
      <c r="AE14" s="222"/>
      <c r="AF14" s="223"/>
      <c r="AG14" s="224"/>
      <c r="AH14" s="274"/>
      <c r="AI14" s="332">
        <f t="shared" si="0"/>
        <v>1201666.6666666667</v>
      </c>
      <c r="AJ14" s="332">
        <f t="shared" si="1"/>
        <v>3605000</v>
      </c>
      <c r="AK14" s="332">
        <v>3605000</v>
      </c>
      <c r="AL14" s="332">
        <v>3605000</v>
      </c>
      <c r="AM14" s="302">
        <v>3605000</v>
      </c>
      <c r="AN14" s="302">
        <v>3605000</v>
      </c>
      <c r="AO14" s="302">
        <v>3605000</v>
      </c>
      <c r="AP14" s="302">
        <v>3605000</v>
      </c>
      <c r="AQ14" s="302">
        <v>3605000</v>
      </c>
      <c r="AR14" s="302">
        <v>3605000</v>
      </c>
      <c r="AS14" s="302">
        <v>3605000</v>
      </c>
      <c r="AT14" s="302">
        <f t="shared" si="2"/>
        <v>2403333.3333333335</v>
      </c>
      <c r="AU14" s="299">
        <f t="shared" si="3"/>
        <v>39655000.000000007</v>
      </c>
      <c r="AV14" s="276">
        <f t="shared" si="4"/>
        <v>0</v>
      </c>
      <c r="AX14" s="273">
        <f t="shared" si="5"/>
        <v>39655000.000000007</v>
      </c>
      <c r="AY14" s="273">
        <v>0</v>
      </c>
      <c r="AZ14" s="273">
        <v>0</v>
      </c>
      <c r="BA14" s="273">
        <v>0</v>
      </c>
      <c r="BB14" s="272">
        <f t="shared" si="6"/>
        <v>39655000.000000007</v>
      </c>
    </row>
    <row r="15" spans="1:54">
      <c r="A15" s="213" t="s">
        <v>743</v>
      </c>
      <c r="B15" s="214" t="s">
        <v>744</v>
      </c>
      <c r="C15" s="214" t="s">
        <v>744</v>
      </c>
      <c r="D15" s="214">
        <v>375</v>
      </c>
      <c r="E15" s="215">
        <v>375</v>
      </c>
      <c r="F15" s="216">
        <v>7673</v>
      </c>
      <c r="G15" s="213" t="s">
        <v>544</v>
      </c>
      <c r="H15" s="213" t="s">
        <v>745</v>
      </c>
      <c r="I15" s="213" t="s">
        <v>746</v>
      </c>
      <c r="J15" s="213" t="s">
        <v>747</v>
      </c>
      <c r="K15" s="213" t="s">
        <v>748</v>
      </c>
      <c r="L15" s="213" t="s">
        <v>749</v>
      </c>
      <c r="M15" s="213" t="s">
        <v>750</v>
      </c>
      <c r="N15" s="213" t="s">
        <v>751</v>
      </c>
      <c r="O15" s="213" t="s">
        <v>752</v>
      </c>
      <c r="P15" s="213" t="s">
        <v>753</v>
      </c>
      <c r="Q15" s="217">
        <v>1</v>
      </c>
      <c r="R15" s="213" t="s">
        <v>771</v>
      </c>
      <c r="S15" s="213" t="s">
        <v>772</v>
      </c>
      <c r="T15" s="214">
        <v>80111620</v>
      </c>
      <c r="U15" s="213" t="s">
        <v>773</v>
      </c>
      <c r="V15" s="214">
        <v>1</v>
      </c>
      <c r="W15" s="214">
        <v>1</v>
      </c>
      <c r="X15" s="214">
        <v>330</v>
      </c>
      <c r="Y15" s="219" t="s">
        <v>757</v>
      </c>
      <c r="Z15" s="220" t="s">
        <v>758</v>
      </c>
      <c r="AA15" s="308">
        <v>39655000</v>
      </c>
      <c r="AB15" s="221">
        <v>3605000</v>
      </c>
      <c r="AC15" s="220" t="s">
        <v>774</v>
      </c>
      <c r="AD15" s="220" t="s">
        <v>760</v>
      </c>
      <c r="AE15" s="222"/>
      <c r="AF15" s="223"/>
      <c r="AG15" s="224"/>
      <c r="AH15" s="274"/>
      <c r="AI15" s="332">
        <f t="shared" si="0"/>
        <v>1201666.6666666667</v>
      </c>
      <c r="AJ15" s="332">
        <f t="shared" si="1"/>
        <v>3605000</v>
      </c>
      <c r="AK15" s="332">
        <v>3605000</v>
      </c>
      <c r="AL15" s="332">
        <v>3605000</v>
      </c>
      <c r="AM15" s="302">
        <v>3605000</v>
      </c>
      <c r="AN15" s="302">
        <v>3605000</v>
      </c>
      <c r="AO15" s="302">
        <v>3605000</v>
      </c>
      <c r="AP15" s="302">
        <v>3605000</v>
      </c>
      <c r="AQ15" s="302">
        <v>3605000</v>
      </c>
      <c r="AR15" s="302">
        <v>3605000</v>
      </c>
      <c r="AS15" s="302">
        <v>3605000</v>
      </c>
      <c r="AT15" s="302">
        <f t="shared" si="2"/>
        <v>2403333.3333333335</v>
      </c>
      <c r="AU15" s="299">
        <f t="shared" si="3"/>
        <v>39655000.000000007</v>
      </c>
      <c r="AV15" s="276">
        <f t="shared" si="4"/>
        <v>0</v>
      </c>
      <c r="AX15" s="273">
        <f t="shared" si="5"/>
        <v>39655000.000000007</v>
      </c>
      <c r="AY15" s="273">
        <v>0</v>
      </c>
      <c r="AZ15" s="273">
        <v>0</v>
      </c>
      <c r="BA15" s="273">
        <v>0</v>
      </c>
      <c r="BB15" s="272">
        <f t="shared" si="6"/>
        <v>39655000.000000007</v>
      </c>
    </row>
    <row r="16" spans="1:54">
      <c r="A16" s="213" t="s">
        <v>743</v>
      </c>
      <c r="B16" s="214" t="s">
        <v>744</v>
      </c>
      <c r="C16" s="214" t="s">
        <v>744</v>
      </c>
      <c r="D16" s="214">
        <v>376</v>
      </c>
      <c r="E16" s="215">
        <v>376</v>
      </c>
      <c r="F16" s="216">
        <v>7673</v>
      </c>
      <c r="G16" s="213" t="s">
        <v>544</v>
      </c>
      <c r="H16" s="213" t="s">
        <v>745</v>
      </c>
      <c r="I16" s="213" t="s">
        <v>746</v>
      </c>
      <c r="J16" s="213" t="s">
        <v>747</v>
      </c>
      <c r="K16" s="213" t="s">
        <v>748</v>
      </c>
      <c r="L16" s="213" t="s">
        <v>749</v>
      </c>
      <c r="M16" s="213" t="s">
        <v>750</v>
      </c>
      <c r="N16" s="213" t="s">
        <v>751</v>
      </c>
      <c r="O16" s="213" t="s">
        <v>752</v>
      </c>
      <c r="P16" s="213" t="s">
        <v>753</v>
      </c>
      <c r="Q16" s="217">
        <v>1</v>
      </c>
      <c r="R16" s="213" t="s">
        <v>771</v>
      </c>
      <c r="S16" s="213" t="s">
        <v>772</v>
      </c>
      <c r="T16" s="214">
        <v>80111620</v>
      </c>
      <c r="U16" s="213" t="s">
        <v>773</v>
      </c>
      <c r="V16" s="214">
        <v>1</v>
      </c>
      <c r="W16" s="214">
        <v>1</v>
      </c>
      <c r="X16" s="214">
        <v>330</v>
      </c>
      <c r="Y16" s="219" t="s">
        <v>757</v>
      </c>
      <c r="Z16" s="220" t="s">
        <v>758</v>
      </c>
      <c r="AA16" s="308">
        <v>39655000</v>
      </c>
      <c r="AB16" s="221">
        <v>3605000</v>
      </c>
      <c r="AC16" s="220" t="s">
        <v>774</v>
      </c>
      <c r="AD16" s="220" t="s">
        <v>760</v>
      </c>
      <c r="AE16" s="222"/>
      <c r="AF16" s="223"/>
      <c r="AG16" s="224"/>
      <c r="AH16" s="274"/>
      <c r="AI16" s="332">
        <f t="shared" si="0"/>
        <v>1201666.6666666667</v>
      </c>
      <c r="AJ16" s="332">
        <f t="shared" si="1"/>
        <v>3605000</v>
      </c>
      <c r="AK16" s="332">
        <v>3605000</v>
      </c>
      <c r="AL16" s="332">
        <v>3605000</v>
      </c>
      <c r="AM16" s="302">
        <v>3605000</v>
      </c>
      <c r="AN16" s="302">
        <v>3605000</v>
      </c>
      <c r="AO16" s="302">
        <v>3605000</v>
      </c>
      <c r="AP16" s="302">
        <v>3605000</v>
      </c>
      <c r="AQ16" s="302">
        <v>3605000</v>
      </c>
      <c r="AR16" s="302">
        <v>3605000</v>
      </c>
      <c r="AS16" s="302">
        <v>3605000</v>
      </c>
      <c r="AT16" s="302">
        <f t="shared" si="2"/>
        <v>2403333.3333333335</v>
      </c>
      <c r="AU16" s="299">
        <f t="shared" si="3"/>
        <v>39655000.000000007</v>
      </c>
      <c r="AV16" s="276">
        <f t="shared" si="4"/>
        <v>0</v>
      </c>
      <c r="AX16" s="273">
        <f t="shared" si="5"/>
        <v>39655000.000000007</v>
      </c>
      <c r="AY16" s="273">
        <v>0</v>
      </c>
      <c r="AZ16" s="273">
        <v>0</v>
      </c>
      <c r="BA16" s="273">
        <v>0</v>
      </c>
      <c r="BB16" s="272">
        <f t="shared" si="6"/>
        <v>39655000.000000007</v>
      </c>
    </row>
    <row r="17" spans="1:54">
      <c r="A17" s="213" t="s">
        <v>743</v>
      </c>
      <c r="B17" s="214" t="s">
        <v>744</v>
      </c>
      <c r="C17" s="214" t="s">
        <v>744</v>
      </c>
      <c r="D17" s="214">
        <v>377</v>
      </c>
      <c r="E17" s="215">
        <v>377</v>
      </c>
      <c r="F17" s="216">
        <v>7673</v>
      </c>
      <c r="G17" s="213" t="s">
        <v>544</v>
      </c>
      <c r="H17" s="213" t="s">
        <v>745</v>
      </c>
      <c r="I17" s="213" t="s">
        <v>746</v>
      </c>
      <c r="J17" s="213" t="s">
        <v>747</v>
      </c>
      <c r="K17" s="213" t="s">
        <v>748</v>
      </c>
      <c r="L17" s="213" t="s">
        <v>749</v>
      </c>
      <c r="M17" s="213" t="s">
        <v>750</v>
      </c>
      <c r="N17" s="213" t="s">
        <v>751</v>
      </c>
      <c r="O17" s="213" t="s">
        <v>752</v>
      </c>
      <c r="P17" s="213" t="s">
        <v>753</v>
      </c>
      <c r="Q17" s="217">
        <v>1</v>
      </c>
      <c r="R17" s="213" t="s">
        <v>771</v>
      </c>
      <c r="S17" s="213" t="s">
        <v>772</v>
      </c>
      <c r="T17" s="214">
        <v>80111620</v>
      </c>
      <c r="U17" s="213" t="s">
        <v>773</v>
      </c>
      <c r="V17" s="214">
        <v>1</v>
      </c>
      <c r="W17" s="214">
        <v>1</v>
      </c>
      <c r="X17" s="214">
        <v>330</v>
      </c>
      <c r="Y17" s="219" t="s">
        <v>757</v>
      </c>
      <c r="Z17" s="220" t="s">
        <v>758</v>
      </c>
      <c r="AA17" s="308">
        <v>39655000</v>
      </c>
      <c r="AB17" s="221">
        <v>3605000</v>
      </c>
      <c r="AC17" s="220" t="s">
        <v>774</v>
      </c>
      <c r="AD17" s="220" t="s">
        <v>760</v>
      </c>
      <c r="AE17" s="222"/>
      <c r="AF17" s="223"/>
      <c r="AG17" s="224"/>
      <c r="AH17" s="274"/>
      <c r="AI17" s="332">
        <f t="shared" si="0"/>
        <v>1201666.6666666667</v>
      </c>
      <c r="AJ17" s="332">
        <f t="shared" si="1"/>
        <v>3605000</v>
      </c>
      <c r="AK17" s="332">
        <v>3605000</v>
      </c>
      <c r="AL17" s="332">
        <v>3605000</v>
      </c>
      <c r="AM17" s="302">
        <v>3605000</v>
      </c>
      <c r="AN17" s="302">
        <v>3605000</v>
      </c>
      <c r="AO17" s="302">
        <v>3605000</v>
      </c>
      <c r="AP17" s="302">
        <v>3605000</v>
      </c>
      <c r="AQ17" s="302">
        <v>3605000</v>
      </c>
      <c r="AR17" s="302">
        <v>3605000</v>
      </c>
      <c r="AS17" s="302">
        <v>3605000</v>
      </c>
      <c r="AT17" s="302">
        <f t="shared" si="2"/>
        <v>2403333.3333333335</v>
      </c>
      <c r="AU17" s="299">
        <f t="shared" si="3"/>
        <v>39655000.000000007</v>
      </c>
      <c r="AV17" s="276">
        <f t="shared" si="4"/>
        <v>0</v>
      </c>
      <c r="AX17" s="273">
        <f t="shared" si="5"/>
        <v>39655000.000000007</v>
      </c>
      <c r="AY17" s="273">
        <v>0</v>
      </c>
      <c r="AZ17" s="273">
        <v>0</v>
      </c>
      <c r="BA17" s="273">
        <v>0</v>
      </c>
      <c r="BB17" s="272">
        <f t="shared" si="6"/>
        <v>39655000.000000007</v>
      </c>
    </row>
    <row r="18" spans="1:54">
      <c r="A18" s="213" t="s">
        <v>743</v>
      </c>
      <c r="B18" s="214" t="s">
        <v>744</v>
      </c>
      <c r="C18" s="214" t="s">
        <v>744</v>
      </c>
      <c r="D18" s="214">
        <v>378</v>
      </c>
      <c r="E18" s="215">
        <v>378</v>
      </c>
      <c r="F18" s="216">
        <v>7673</v>
      </c>
      <c r="G18" s="213" t="s">
        <v>544</v>
      </c>
      <c r="H18" s="213" t="s">
        <v>745</v>
      </c>
      <c r="I18" s="213" t="s">
        <v>746</v>
      </c>
      <c r="J18" s="213" t="s">
        <v>747</v>
      </c>
      <c r="K18" s="213" t="s">
        <v>748</v>
      </c>
      <c r="L18" s="213" t="s">
        <v>749</v>
      </c>
      <c r="M18" s="213" t="s">
        <v>750</v>
      </c>
      <c r="N18" s="213" t="s">
        <v>751</v>
      </c>
      <c r="O18" s="213" t="s">
        <v>752</v>
      </c>
      <c r="P18" s="213" t="s">
        <v>753</v>
      </c>
      <c r="Q18" s="217">
        <v>1</v>
      </c>
      <c r="R18" s="213" t="s">
        <v>771</v>
      </c>
      <c r="S18" s="213" t="s">
        <v>772</v>
      </c>
      <c r="T18" s="214">
        <v>80111620</v>
      </c>
      <c r="U18" s="213" t="s">
        <v>773</v>
      </c>
      <c r="V18" s="214">
        <v>1</v>
      </c>
      <c r="W18" s="214">
        <v>1</v>
      </c>
      <c r="X18" s="214">
        <v>330</v>
      </c>
      <c r="Y18" s="219" t="s">
        <v>757</v>
      </c>
      <c r="Z18" s="220" t="s">
        <v>758</v>
      </c>
      <c r="AA18" s="308">
        <v>39655000</v>
      </c>
      <c r="AB18" s="221">
        <v>3605000</v>
      </c>
      <c r="AC18" s="220" t="s">
        <v>774</v>
      </c>
      <c r="AD18" s="220" t="s">
        <v>760</v>
      </c>
      <c r="AE18" s="222"/>
      <c r="AF18" s="223"/>
      <c r="AG18" s="224"/>
      <c r="AH18" s="274"/>
      <c r="AI18" s="332">
        <f t="shared" si="0"/>
        <v>1201666.6666666667</v>
      </c>
      <c r="AJ18" s="332">
        <f t="shared" si="1"/>
        <v>3605000</v>
      </c>
      <c r="AK18" s="332">
        <v>3605000</v>
      </c>
      <c r="AL18" s="332">
        <v>3605000</v>
      </c>
      <c r="AM18" s="302">
        <v>3605000</v>
      </c>
      <c r="AN18" s="302">
        <v>3605000</v>
      </c>
      <c r="AO18" s="302">
        <v>3605000</v>
      </c>
      <c r="AP18" s="302">
        <v>3605000</v>
      </c>
      <c r="AQ18" s="302">
        <v>3605000</v>
      </c>
      <c r="AR18" s="302">
        <v>3605000</v>
      </c>
      <c r="AS18" s="302">
        <v>3605000</v>
      </c>
      <c r="AT18" s="302">
        <f t="shared" si="2"/>
        <v>2403333.3333333335</v>
      </c>
      <c r="AU18" s="299">
        <f t="shared" si="3"/>
        <v>39655000.000000007</v>
      </c>
      <c r="AV18" s="276">
        <f t="shared" si="4"/>
        <v>0</v>
      </c>
      <c r="AX18" s="273">
        <f t="shared" si="5"/>
        <v>39655000.000000007</v>
      </c>
      <c r="AY18" s="273">
        <v>0</v>
      </c>
      <c r="AZ18" s="273">
        <v>0</v>
      </c>
      <c r="BA18" s="273">
        <v>0</v>
      </c>
      <c r="BB18" s="272">
        <f t="shared" si="6"/>
        <v>39655000.000000007</v>
      </c>
    </row>
    <row r="19" spans="1:54">
      <c r="A19" s="213" t="s">
        <v>743</v>
      </c>
      <c r="B19" s="214" t="s">
        <v>744</v>
      </c>
      <c r="C19" s="214" t="s">
        <v>744</v>
      </c>
      <c r="D19" s="214">
        <v>379</v>
      </c>
      <c r="E19" s="215">
        <v>379</v>
      </c>
      <c r="F19" s="216">
        <v>7673</v>
      </c>
      <c r="G19" s="213" t="s">
        <v>544</v>
      </c>
      <c r="H19" s="213" t="s">
        <v>745</v>
      </c>
      <c r="I19" s="213" t="s">
        <v>746</v>
      </c>
      <c r="J19" s="213" t="s">
        <v>747</v>
      </c>
      <c r="K19" s="213" t="s">
        <v>748</v>
      </c>
      <c r="L19" s="213" t="s">
        <v>749</v>
      </c>
      <c r="M19" s="213" t="s">
        <v>750</v>
      </c>
      <c r="N19" s="213" t="s">
        <v>751</v>
      </c>
      <c r="O19" s="213" t="s">
        <v>752</v>
      </c>
      <c r="P19" s="213" t="s">
        <v>753</v>
      </c>
      <c r="Q19" s="217">
        <v>1</v>
      </c>
      <c r="R19" s="213" t="s">
        <v>771</v>
      </c>
      <c r="S19" s="213" t="s">
        <v>772</v>
      </c>
      <c r="T19" s="214">
        <v>80111620</v>
      </c>
      <c r="U19" s="213" t="s">
        <v>773</v>
      </c>
      <c r="V19" s="214">
        <v>1</v>
      </c>
      <c r="W19" s="214">
        <v>1</v>
      </c>
      <c r="X19" s="214">
        <v>330</v>
      </c>
      <c r="Y19" s="219" t="s">
        <v>757</v>
      </c>
      <c r="Z19" s="220" t="s">
        <v>758</v>
      </c>
      <c r="AA19" s="308">
        <v>39655000</v>
      </c>
      <c r="AB19" s="221">
        <v>3605000</v>
      </c>
      <c r="AC19" s="220" t="s">
        <v>774</v>
      </c>
      <c r="AD19" s="220" t="s">
        <v>760</v>
      </c>
      <c r="AE19" s="222"/>
      <c r="AF19" s="223"/>
      <c r="AG19" s="224"/>
      <c r="AH19" s="274"/>
      <c r="AI19" s="332">
        <f t="shared" si="0"/>
        <v>1201666.6666666667</v>
      </c>
      <c r="AJ19" s="332">
        <f t="shared" si="1"/>
        <v>3605000</v>
      </c>
      <c r="AK19" s="332">
        <v>3605000</v>
      </c>
      <c r="AL19" s="332">
        <v>3605000</v>
      </c>
      <c r="AM19" s="302">
        <v>3605000</v>
      </c>
      <c r="AN19" s="302">
        <v>3605000</v>
      </c>
      <c r="AO19" s="302">
        <v>3605000</v>
      </c>
      <c r="AP19" s="302">
        <v>3605000</v>
      </c>
      <c r="AQ19" s="302">
        <v>3605000</v>
      </c>
      <c r="AR19" s="302">
        <v>3605000</v>
      </c>
      <c r="AS19" s="302">
        <v>3605000</v>
      </c>
      <c r="AT19" s="302">
        <f t="shared" si="2"/>
        <v>2403333.3333333335</v>
      </c>
      <c r="AU19" s="299">
        <f t="shared" si="3"/>
        <v>39655000.000000007</v>
      </c>
      <c r="AV19" s="276">
        <f t="shared" si="4"/>
        <v>0</v>
      </c>
      <c r="AX19" s="273">
        <f t="shared" si="5"/>
        <v>39655000.000000007</v>
      </c>
      <c r="AY19" s="273">
        <v>0</v>
      </c>
      <c r="AZ19" s="273">
        <v>0</v>
      </c>
      <c r="BA19" s="273">
        <v>0</v>
      </c>
      <c r="BB19" s="272">
        <f t="shared" si="6"/>
        <v>39655000.000000007</v>
      </c>
    </row>
    <row r="20" spans="1:54">
      <c r="A20" s="213" t="s">
        <v>743</v>
      </c>
      <c r="B20" s="214" t="s">
        <v>744</v>
      </c>
      <c r="C20" s="214" t="s">
        <v>744</v>
      </c>
      <c r="D20" s="214">
        <v>380</v>
      </c>
      <c r="E20" s="215">
        <v>380</v>
      </c>
      <c r="F20" s="216">
        <v>7673</v>
      </c>
      <c r="G20" s="213" t="s">
        <v>544</v>
      </c>
      <c r="H20" s="213" t="s">
        <v>745</v>
      </c>
      <c r="I20" s="213" t="s">
        <v>746</v>
      </c>
      <c r="J20" s="213" t="s">
        <v>747</v>
      </c>
      <c r="K20" s="213" t="s">
        <v>748</v>
      </c>
      <c r="L20" s="213" t="s">
        <v>749</v>
      </c>
      <c r="M20" s="213" t="s">
        <v>750</v>
      </c>
      <c r="N20" s="213" t="s">
        <v>751</v>
      </c>
      <c r="O20" s="213" t="s">
        <v>752</v>
      </c>
      <c r="P20" s="213" t="s">
        <v>753</v>
      </c>
      <c r="Q20" s="217">
        <v>1</v>
      </c>
      <c r="R20" s="213" t="s">
        <v>771</v>
      </c>
      <c r="S20" s="213" t="s">
        <v>772</v>
      </c>
      <c r="T20" s="214">
        <v>80111620</v>
      </c>
      <c r="U20" s="213" t="s">
        <v>773</v>
      </c>
      <c r="V20" s="214">
        <v>1</v>
      </c>
      <c r="W20" s="214">
        <v>1</v>
      </c>
      <c r="X20" s="214">
        <v>330</v>
      </c>
      <c r="Y20" s="219" t="s">
        <v>757</v>
      </c>
      <c r="Z20" s="220" t="s">
        <v>758</v>
      </c>
      <c r="AA20" s="308">
        <v>39655000</v>
      </c>
      <c r="AB20" s="221">
        <v>3605000</v>
      </c>
      <c r="AC20" s="220" t="s">
        <v>774</v>
      </c>
      <c r="AD20" s="220" t="s">
        <v>760</v>
      </c>
      <c r="AE20" s="228"/>
      <c r="AF20" s="223"/>
      <c r="AG20" s="226"/>
      <c r="AH20" s="275"/>
      <c r="AI20" s="332">
        <f t="shared" si="0"/>
        <v>1201666.6666666667</v>
      </c>
      <c r="AJ20" s="332">
        <f t="shared" si="1"/>
        <v>3605000</v>
      </c>
      <c r="AK20" s="332">
        <v>3605000</v>
      </c>
      <c r="AL20" s="332">
        <v>3605000</v>
      </c>
      <c r="AM20" s="302">
        <v>3605000</v>
      </c>
      <c r="AN20" s="302">
        <v>3605000</v>
      </c>
      <c r="AO20" s="302">
        <v>3605000</v>
      </c>
      <c r="AP20" s="302">
        <v>3605000</v>
      </c>
      <c r="AQ20" s="302">
        <v>3605000</v>
      </c>
      <c r="AR20" s="302">
        <v>3605000</v>
      </c>
      <c r="AS20" s="302">
        <v>3605000</v>
      </c>
      <c r="AT20" s="302">
        <f t="shared" si="2"/>
        <v>2403333.3333333335</v>
      </c>
      <c r="AU20" s="299">
        <f t="shared" si="3"/>
        <v>39655000.000000007</v>
      </c>
      <c r="AV20" s="276">
        <f t="shared" si="4"/>
        <v>0</v>
      </c>
      <c r="AX20" s="273">
        <f t="shared" si="5"/>
        <v>39655000.000000007</v>
      </c>
      <c r="AY20" s="273">
        <v>0</v>
      </c>
      <c r="AZ20" s="273">
        <v>0</v>
      </c>
      <c r="BA20" s="273">
        <v>0</v>
      </c>
      <c r="BB20" s="272">
        <f t="shared" si="6"/>
        <v>39655000.000000007</v>
      </c>
    </row>
    <row r="21" spans="1:54">
      <c r="A21" s="213" t="s">
        <v>743</v>
      </c>
      <c r="B21" s="214" t="s">
        <v>744</v>
      </c>
      <c r="C21" s="214" t="s">
        <v>744</v>
      </c>
      <c r="D21" s="214">
        <v>381</v>
      </c>
      <c r="E21" s="215">
        <v>381</v>
      </c>
      <c r="F21" s="216">
        <v>7673</v>
      </c>
      <c r="G21" s="213" t="s">
        <v>544</v>
      </c>
      <c r="H21" s="213" t="s">
        <v>745</v>
      </c>
      <c r="I21" s="213" t="s">
        <v>746</v>
      </c>
      <c r="J21" s="213" t="s">
        <v>747</v>
      </c>
      <c r="K21" s="213" t="s">
        <v>748</v>
      </c>
      <c r="L21" s="213" t="s">
        <v>749</v>
      </c>
      <c r="M21" s="213" t="s">
        <v>750</v>
      </c>
      <c r="N21" s="213" t="s">
        <v>751</v>
      </c>
      <c r="O21" s="213" t="s">
        <v>752</v>
      </c>
      <c r="P21" s="213" t="s">
        <v>753</v>
      </c>
      <c r="Q21" s="217">
        <v>1</v>
      </c>
      <c r="R21" s="213" t="s">
        <v>771</v>
      </c>
      <c r="S21" s="213" t="s">
        <v>772</v>
      </c>
      <c r="T21" s="214">
        <v>80111620</v>
      </c>
      <c r="U21" s="213" t="s">
        <v>773</v>
      </c>
      <c r="V21" s="214">
        <v>1</v>
      </c>
      <c r="W21" s="214">
        <v>1</v>
      </c>
      <c r="X21" s="214">
        <v>330</v>
      </c>
      <c r="Y21" s="219" t="s">
        <v>757</v>
      </c>
      <c r="Z21" s="220" t="s">
        <v>758</v>
      </c>
      <c r="AA21" s="308">
        <v>39655000</v>
      </c>
      <c r="AB21" s="221">
        <v>3605000</v>
      </c>
      <c r="AC21" s="220" t="s">
        <v>774</v>
      </c>
      <c r="AD21" s="220" t="s">
        <v>760</v>
      </c>
      <c r="AE21" s="222"/>
      <c r="AF21" s="223"/>
      <c r="AG21" s="224"/>
      <c r="AH21" s="274"/>
      <c r="AI21" s="332">
        <f t="shared" si="0"/>
        <v>1201666.6666666667</v>
      </c>
      <c r="AJ21" s="332">
        <f t="shared" si="1"/>
        <v>3605000</v>
      </c>
      <c r="AK21" s="332">
        <v>3605000</v>
      </c>
      <c r="AL21" s="332">
        <v>3605000</v>
      </c>
      <c r="AM21" s="302">
        <v>3605000</v>
      </c>
      <c r="AN21" s="302">
        <v>3605000</v>
      </c>
      <c r="AO21" s="302">
        <v>3605000</v>
      </c>
      <c r="AP21" s="302">
        <v>3605000</v>
      </c>
      <c r="AQ21" s="302">
        <v>3605000</v>
      </c>
      <c r="AR21" s="302">
        <v>3605000</v>
      </c>
      <c r="AS21" s="302">
        <v>3605000</v>
      </c>
      <c r="AT21" s="302">
        <f t="shared" si="2"/>
        <v>2403333.3333333335</v>
      </c>
      <c r="AU21" s="299">
        <f t="shared" si="3"/>
        <v>39655000.000000007</v>
      </c>
      <c r="AV21" s="276">
        <f t="shared" si="4"/>
        <v>0</v>
      </c>
      <c r="AX21" s="273">
        <f t="shared" si="5"/>
        <v>39655000.000000007</v>
      </c>
      <c r="AY21" s="273">
        <v>0</v>
      </c>
      <c r="AZ21" s="273">
        <v>0</v>
      </c>
      <c r="BA21" s="273">
        <v>0</v>
      </c>
      <c r="BB21" s="272">
        <f t="shared" si="6"/>
        <v>39655000.000000007</v>
      </c>
    </row>
    <row r="22" spans="1:54">
      <c r="A22" s="213" t="s">
        <v>743</v>
      </c>
      <c r="B22" s="214" t="s">
        <v>744</v>
      </c>
      <c r="C22" s="214" t="s">
        <v>744</v>
      </c>
      <c r="D22" s="214">
        <v>382</v>
      </c>
      <c r="E22" s="215">
        <v>382</v>
      </c>
      <c r="F22" s="216">
        <v>7673</v>
      </c>
      <c r="G22" s="213" t="s">
        <v>544</v>
      </c>
      <c r="H22" s="213" t="s">
        <v>745</v>
      </c>
      <c r="I22" s="213" t="s">
        <v>746</v>
      </c>
      <c r="J22" s="213" t="s">
        <v>747</v>
      </c>
      <c r="K22" s="213" t="s">
        <v>748</v>
      </c>
      <c r="L22" s="213" t="s">
        <v>749</v>
      </c>
      <c r="M22" s="213" t="s">
        <v>750</v>
      </c>
      <c r="N22" s="213" t="s">
        <v>751</v>
      </c>
      <c r="O22" s="213" t="s">
        <v>752</v>
      </c>
      <c r="P22" s="213" t="s">
        <v>753</v>
      </c>
      <c r="Q22" s="217">
        <v>1</v>
      </c>
      <c r="R22" s="213" t="s">
        <v>771</v>
      </c>
      <c r="S22" s="213" t="s">
        <v>772</v>
      </c>
      <c r="T22" s="214">
        <v>80111620</v>
      </c>
      <c r="U22" s="213" t="s">
        <v>773</v>
      </c>
      <c r="V22" s="214">
        <v>1</v>
      </c>
      <c r="W22" s="214">
        <v>1</v>
      </c>
      <c r="X22" s="214">
        <v>330</v>
      </c>
      <c r="Y22" s="219" t="s">
        <v>757</v>
      </c>
      <c r="Z22" s="220" t="s">
        <v>758</v>
      </c>
      <c r="AA22" s="308">
        <v>39655000</v>
      </c>
      <c r="AB22" s="221">
        <v>3605000</v>
      </c>
      <c r="AC22" s="220" t="s">
        <v>774</v>
      </c>
      <c r="AD22" s="220" t="s">
        <v>760</v>
      </c>
      <c r="AE22" s="228"/>
      <c r="AF22" s="223"/>
      <c r="AG22" s="226"/>
      <c r="AH22" s="275"/>
      <c r="AI22" s="332">
        <f t="shared" si="0"/>
        <v>1201666.6666666667</v>
      </c>
      <c r="AJ22" s="332">
        <f t="shared" si="1"/>
        <v>3605000</v>
      </c>
      <c r="AK22" s="332">
        <v>3605000</v>
      </c>
      <c r="AL22" s="332">
        <v>3605000</v>
      </c>
      <c r="AM22" s="302">
        <v>3605000</v>
      </c>
      <c r="AN22" s="302">
        <v>3605000</v>
      </c>
      <c r="AO22" s="302">
        <v>3605000</v>
      </c>
      <c r="AP22" s="302">
        <v>3605000</v>
      </c>
      <c r="AQ22" s="302">
        <v>3605000</v>
      </c>
      <c r="AR22" s="302">
        <v>3605000</v>
      </c>
      <c r="AS22" s="302">
        <v>3605000</v>
      </c>
      <c r="AT22" s="302">
        <f t="shared" si="2"/>
        <v>2403333.3333333335</v>
      </c>
      <c r="AU22" s="299">
        <f t="shared" si="3"/>
        <v>39655000.000000007</v>
      </c>
      <c r="AV22" s="276">
        <f t="shared" si="4"/>
        <v>0</v>
      </c>
      <c r="AX22" s="273">
        <f t="shared" si="5"/>
        <v>39655000.000000007</v>
      </c>
      <c r="AY22" s="273">
        <v>0</v>
      </c>
      <c r="AZ22" s="273">
        <v>0</v>
      </c>
      <c r="BA22" s="273">
        <v>0</v>
      </c>
      <c r="BB22" s="272">
        <f t="shared" si="6"/>
        <v>39655000.000000007</v>
      </c>
    </row>
    <row r="23" spans="1:54">
      <c r="A23" s="213" t="s">
        <v>743</v>
      </c>
      <c r="B23" s="214" t="s">
        <v>744</v>
      </c>
      <c r="C23" s="214" t="s">
        <v>744</v>
      </c>
      <c r="D23" s="214">
        <v>383</v>
      </c>
      <c r="E23" s="215">
        <v>383</v>
      </c>
      <c r="F23" s="216">
        <v>7673</v>
      </c>
      <c r="G23" s="213" t="s">
        <v>544</v>
      </c>
      <c r="H23" s="213" t="s">
        <v>745</v>
      </c>
      <c r="I23" s="213" t="s">
        <v>746</v>
      </c>
      <c r="J23" s="213" t="s">
        <v>747</v>
      </c>
      <c r="K23" s="213" t="s">
        <v>748</v>
      </c>
      <c r="L23" s="213" t="s">
        <v>749</v>
      </c>
      <c r="M23" s="213" t="s">
        <v>750</v>
      </c>
      <c r="N23" s="213" t="s">
        <v>751</v>
      </c>
      <c r="O23" s="213" t="s">
        <v>752</v>
      </c>
      <c r="P23" s="213" t="s">
        <v>753</v>
      </c>
      <c r="Q23" s="217">
        <v>1</v>
      </c>
      <c r="R23" s="213" t="s">
        <v>771</v>
      </c>
      <c r="S23" s="213" t="s">
        <v>772</v>
      </c>
      <c r="T23" s="214">
        <v>80111620</v>
      </c>
      <c r="U23" s="213" t="s">
        <v>773</v>
      </c>
      <c r="V23" s="214">
        <v>1</v>
      </c>
      <c r="W23" s="214">
        <v>1</v>
      </c>
      <c r="X23" s="214">
        <v>330</v>
      </c>
      <c r="Y23" s="219" t="s">
        <v>757</v>
      </c>
      <c r="Z23" s="220" t="s">
        <v>758</v>
      </c>
      <c r="AA23" s="308">
        <v>39655000</v>
      </c>
      <c r="AB23" s="221">
        <v>3605000</v>
      </c>
      <c r="AC23" s="220" t="s">
        <v>774</v>
      </c>
      <c r="AD23" s="220" t="s">
        <v>760</v>
      </c>
      <c r="AE23" s="228"/>
      <c r="AF23" s="223"/>
      <c r="AG23" s="226"/>
      <c r="AH23" s="275"/>
      <c r="AI23" s="332">
        <f t="shared" si="0"/>
        <v>1201666.6666666667</v>
      </c>
      <c r="AJ23" s="332">
        <f t="shared" si="1"/>
        <v>3605000</v>
      </c>
      <c r="AK23" s="332">
        <v>3605000</v>
      </c>
      <c r="AL23" s="332">
        <v>3605000</v>
      </c>
      <c r="AM23" s="302">
        <v>3605000</v>
      </c>
      <c r="AN23" s="302">
        <v>3605000</v>
      </c>
      <c r="AO23" s="302">
        <v>3605000</v>
      </c>
      <c r="AP23" s="302">
        <v>3605000</v>
      </c>
      <c r="AQ23" s="302">
        <v>3605000</v>
      </c>
      <c r="AR23" s="302">
        <v>3605000</v>
      </c>
      <c r="AS23" s="302">
        <v>3605000</v>
      </c>
      <c r="AT23" s="302">
        <f t="shared" si="2"/>
        <v>2403333.3333333335</v>
      </c>
      <c r="AU23" s="299">
        <f t="shared" si="3"/>
        <v>39655000.000000007</v>
      </c>
      <c r="AV23" s="276">
        <f t="shared" si="4"/>
        <v>0</v>
      </c>
      <c r="AX23" s="273">
        <f t="shared" si="5"/>
        <v>39655000.000000007</v>
      </c>
      <c r="AY23" s="273">
        <v>0</v>
      </c>
      <c r="AZ23" s="273">
        <v>0</v>
      </c>
      <c r="BA23" s="273">
        <v>0</v>
      </c>
      <c r="BB23" s="272">
        <f t="shared" si="6"/>
        <v>39655000.000000007</v>
      </c>
    </row>
    <row r="24" spans="1:54">
      <c r="A24" s="213" t="s">
        <v>743</v>
      </c>
      <c r="B24" s="214" t="s">
        <v>744</v>
      </c>
      <c r="C24" s="214" t="s">
        <v>744</v>
      </c>
      <c r="D24" s="214">
        <v>384</v>
      </c>
      <c r="E24" s="215">
        <v>384</v>
      </c>
      <c r="F24" s="216">
        <v>7673</v>
      </c>
      <c r="G24" s="213" t="s">
        <v>544</v>
      </c>
      <c r="H24" s="213" t="s">
        <v>745</v>
      </c>
      <c r="I24" s="213" t="s">
        <v>746</v>
      </c>
      <c r="J24" s="213" t="s">
        <v>747</v>
      </c>
      <c r="K24" s="213" t="s">
        <v>748</v>
      </c>
      <c r="L24" s="213" t="s">
        <v>749</v>
      </c>
      <c r="M24" s="213" t="s">
        <v>750</v>
      </c>
      <c r="N24" s="213" t="s">
        <v>751</v>
      </c>
      <c r="O24" s="213" t="s">
        <v>752</v>
      </c>
      <c r="P24" s="213" t="s">
        <v>753</v>
      </c>
      <c r="Q24" s="217">
        <v>1</v>
      </c>
      <c r="R24" s="213" t="s">
        <v>771</v>
      </c>
      <c r="S24" s="213" t="s">
        <v>772</v>
      </c>
      <c r="T24" s="214">
        <v>80111620</v>
      </c>
      <c r="U24" s="213" t="s">
        <v>773</v>
      </c>
      <c r="V24" s="214">
        <v>1</v>
      </c>
      <c r="W24" s="214">
        <v>1</v>
      </c>
      <c r="X24" s="214">
        <v>330</v>
      </c>
      <c r="Y24" s="219" t="s">
        <v>757</v>
      </c>
      <c r="Z24" s="220" t="s">
        <v>758</v>
      </c>
      <c r="AA24" s="308">
        <v>39655000</v>
      </c>
      <c r="AB24" s="221">
        <v>3605000</v>
      </c>
      <c r="AC24" s="220" t="s">
        <v>774</v>
      </c>
      <c r="AD24" s="220" t="s">
        <v>760</v>
      </c>
      <c r="AE24" s="228"/>
      <c r="AF24" s="223"/>
      <c r="AG24" s="226"/>
      <c r="AH24" s="275"/>
      <c r="AI24" s="332">
        <f t="shared" si="0"/>
        <v>1201666.6666666667</v>
      </c>
      <c r="AJ24" s="332">
        <f t="shared" si="1"/>
        <v>3605000</v>
      </c>
      <c r="AK24" s="332">
        <v>3605000</v>
      </c>
      <c r="AL24" s="332">
        <v>3605000</v>
      </c>
      <c r="AM24" s="302">
        <v>3605000</v>
      </c>
      <c r="AN24" s="302">
        <v>3605000</v>
      </c>
      <c r="AO24" s="302">
        <v>3605000</v>
      </c>
      <c r="AP24" s="302">
        <v>3605000</v>
      </c>
      <c r="AQ24" s="302">
        <v>3605000</v>
      </c>
      <c r="AR24" s="302">
        <v>3605000</v>
      </c>
      <c r="AS24" s="302">
        <v>3605000</v>
      </c>
      <c r="AT24" s="302">
        <f t="shared" si="2"/>
        <v>2403333.3333333335</v>
      </c>
      <c r="AU24" s="299">
        <f t="shared" si="3"/>
        <v>39655000.000000007</v>
      </c>
      <c r="AV24" s="276">
        <f t="shared" si="4"/>
        <v>0</v>
      </c>
      <c r="AX24" s="273">
        <f t="shared" si="5"/>
        <v>39655000.000000007</v>
      </c>
      <c r="AY24" s="273">
        <v>0</v>
      </c>
      <c r="AZ24" s="273">
        <v>0</v>
      </c>
      <c r="BA24" s="273">
        <v>0</v>
      </c>
      <c r="BB24" s="272">
        <f t="shared" si="6"/>
        <v>39655000.000000007</v>
      </c>
    </row>
    <row r="25" spans="1:54">
      <c r="A25" s="213" t="s">
        <v>743</v>
      </c>
      <c r="B25" s="214" t="s">
        <v>744</v>
      </c>
      <c r="C25" s="214" t="s">
        <v>744</v>
      </c>
      <c r="D25" s="214">
        <v>385</v>
      </c>
      <c r="E25" s="215">
        <v>385</v>
      </c>
      <c r="F25" s="216">
        <v>7673</v>
      </c>
      <c r="G25" s="213" t="s">
        <v>544</v>
      </c>
      <c r="H25" s="213" t="s">
        <v>745</v>
      </c>
      <c r="I25" s="213" t="s">
        <v>746</v>
      </c>
      <c r="J25" s="213" t="s">
        <v>747</v>
      </c>
      <c r="K25" s="213" t="s">
        <v>748</v>
      </c>
      <c r="L25" s="213" t="s">
        <v>749</v>
      </c>
      <c r="M25" s="213" t="s">
        <v>750</v>
      </c>
      <c r="N25" s="213" t="s">
        <v>751</v>
      </c>
      <c r="O25" s="213" t="s">
        <v>752</v>
      </c>
      <c r="P25" s="213" t="s">
        <v>753</v>
      </c>
      <c r="Q25" s="217">
        <v>1</v>
      </c>
      <c r="R25" s="213" t="s">
        <v>771</v>
      </c>
      <c r="S25" s="213" t="s">
        <v>772</v>
      </c>
      <c r="T25" s="214">
        <v>80111620</v>
      </c>
      <c r="U25" s="213" t="s">
        <v>773</v>
      </c>
      <c r="V25" s="214">
        <v>1</v>
      </c>
      <c r="W25" s="214">
        <v>1</v>
      </c>
      <c r="X25" s="214">
        <v>330</v>
      </c>
      <c r="Y25" s="219" t="s">
        <v>757</v>
      </c>
      <c r="Z25" s="220" t="s">
        <v>758</v>
      </c>
      <c r="AA25" s="308">
        <v>39655000</v>
      </c>
      <c r="AB25" s="221">
        <v>3605000</v>
      </c>
      <c r="AC25" s="220" t="s">
        <v>774</v>
      </c>
      <c r="AD25" s="220" t="s">
        <v>760</v>
      </c>
      <c r="AE25" s="228"/>
      <c r="AF25" s="223"/>
      <c r="AG25" s="226"/>
      <c r="AH25" s="275"/>
      <c r="AI25" s="332">
        <f t="shared" si="0"/>
        <v>1201666.6666666667</v>
      </c>
      <c r="AJ25" s="332">
        <f t="shared" si="1"/>
        <v>3605000</v>
      </c>
      <c r="AK25" s="332">
        <v>3605000</v>
      </c>
      <c r="AL25" s="332">
        <v>3605000</v>
      </c>
      <c r="AM25" s="302">
        <v>3605000</v>
      </c>
      <c r="AN25" s="302">
        <v>3605000</v>
      </c>
      <c r="AO25" s="302">
        <v>3605000</v>
      </c>
      <c r="AP25" s="302">
        <v>3605000</v>
      </c>
      <c r="AQ25" s="302">
        <v>3605000</v>
      </c>
      <c r="AR25" s="302">
        <v>3605000</v>
      </c>
      <c r="AS25" s="302">
        <v>3605000</v>
      </c>
      <c r="AT25" s="302">
        <f t="shared" si="2"/>
        <v>2403333.3333333335</v>
      </c>
      <c r="AU25" s="299">
        <f t="shared" si="3"/>
        <v>39655000.000000007</v>
      </c>
      <c r="AV25" s="276">
        <f t="shared" si="4"/>
        <v>0</v>
      </c>
      <c r="AX25" s="273">
        <f t="shared" si="5"/>
        <v>39655000.000000007</v>
      </c>
      <c r="AY25" s="273">
        <v>0</v>
      </c>
      <c r="AZ25" s="273">
        <v>0</v>
      </c>
      <c r="BA25" s="273">
        <v>0</v>
      </c>
      <c r="BB25" s="272">
        <f t="shared" si="6"/>
        <v>39655000.000000007</v>
      </c>
    </row>
    <row r="26" spans="1:54">
      <c r="A26" s="213" t="s">
        <v>743</v>
      </c>
      <c r="B26" s="214" t="s">
        <v>744</v>
      </c>
      <c r="C26" s="214" t="s">
        <v>744</v>
      </c>
      <c r="D26" s="214">
        <v>386</v>
      </c>
      <c r="E26" s="215">
        <v>386</v>
      </c>
      <c r="F26" s="216">
        <v>7673</v>
      </c>
      <c r="G26" s="213" t="s">
        <v>544</v>
      </c>
      <c r="H26" s="213" t="s">
        <v>745</v>
      </c>
      <c r="I26" s="213" t="s">
        <v>746</v>
      </c>
      <c r="J26" s="213" t="s">
        <v>747</v>
      </c>
      <c r="K26" s="213" t="s">
        <v>748</v>
      </c>
      <c r="L26" s="213" t="s">
        <v>749</v>
      </c>
      <c r="M26" s="213" t="s">
        <v>750</v>
      </c>
      <c r="N26" s="213" t="s">
        <v>751</v>
      </c>
      <c r="O26" s="213" t="s">
        <v>752</v>
      </c>
      <c r="P26" s="213" t="s">
        <v>753</v>
      </c>
      <c r="Q26" s="217">
        <v>1</v>
      </c>
      <c r="R26" s="213" t="s">
        <v>771</v>
      </c>
      <c r="S26" s="213" t="s">
        <v>772</v>
      </c>
      <c r="T26" s="214">
        <v>80111620</v>
      </c>
      <c r="U26" s="213" t="s">
        <v>773</v>
      </c>
      <c r="V26" s="214">
        <v>1</v>
      </c>
      <c r="W26" s="214">
        <v>1</v>
      </c>
      <c r="X26" s="214">
        <v>330</v>
      </c>
      <c r="Y26" s="219" t="s">
        <v>757</v>
      </c>
      <c r="Z26" s="220" t="s">
        <v>758</v>
      </c>
      <c r="AA26" s="308">
        <v>39655000</v>
      </c>
      <c r="AB26" s="221">
        <v>3605000</v>
      </c>
      <c r="AC26" s="220" t="s">
        <v>774</v>
      </c>
      <c r="AD26" s="220" t="s">
        <v>760</v>
      </c>
      <c r="AE26" s="228"/>
      <c r="AF26" s="223"/>
      <c r="AG26" s="226"/>
      <c r="AH26" s="275"/>
      <c r="AI26" s="332">
        <f t="shared" si="0"/>
        <v>1201666.6666666667</v>
      </c>
      <c r="AJ26" s="332">
        <f t="shared" si="1"/>
        <v>3605000</v>
      </c>
      <c r="AK26" s="332">
        <v>3605000</v>
      </c>
      <c r="AL26" s="332">
        <v>3605000</v>
      </c>
      <c r="AM26" s="302">
        <v>3605000</v>
      </c>
      <c r="AN26" s="302">
        <v>3605000</v>
      </c>
      <c r="AO26" s="302">
        <v>3605000</v>
      </c>
      <c r="AP26" s="302">
        <v>3605000</v>
      </c>
      <c r="AQ26" s="302">
        <v>3605000</v>
      </c>
      <c r="AR26" s="302">
        <v>3605000</v>
      </c>
      <c r="AS26" s="302">
        <v>3605000</v>
      </c>
      <c r="AT26" s="302">
        <f t="shared" si="2"/>
        <v>2403333.3333333335</v>
      </c>
      <c r="AU26" s="299">
        <f t="shared" si="3"/>
        <v>39655000.000000007</v>
      </c>
      <c r="AV26" s="276">
        <f t="shared" si="4"/>
        <v>0</v>
      </c>
      <c r="AX26" s="273">
        <f t="shared" si="5"/>
        <v>39655000.000000007</v>
      </c>
      <c r="AY26" s="273">
        <v>0</v>
      </c>
      <c r="AZ26" s="273">
        <v>0</v>
      </c>
      <c r="BA26" s="273">
        <v>0</v>
      </c>
      <c r="BB26" s="272">
        <f t="shared" si="6"/>
        <v>39655000.000000007</v>
      </c>
    </row>
    <row r="27" spans="1:54">
      <c r="A27" s="213" t="s">
        <v>743</v>
      </c>
      <c r="B27" s="214" t="s">
        <v>744</v>
      </c>
      <c r="C27" s="214" t="s">
        <v>744</v>
      </c>
      <c r="D27" s="214">
        <v>387</v>
      </c>
      <c r="E27" s="215">
        <v>387</v>
      </c>
      <c r="F27" s="216">
        <v>7673</v>
      </c>
      <c r="G27" s="213" t="s">
        <v>544</v>
      </c>
      <c r="H27" s="213" t="s">
        <v>745</v>
      </c>
      <c r="I27" s="213" t="s">
        <v>746</v>
      </c>
      <c r="J27" s="213" t="s">
        <v>747</v>
      </c>
      <c r="K27" s="213" t="s">
        <v>748</v>
      </c>
      <c r="L27" s="213" t="s">
        <v>749</v>
      </c>
      <c r="M27" s="213" t="s">
        <v>750</v>
      </c>
      <c r="N27" s="213" t="s">
        <v>751</v>
      </c>
      <c r="O27" s="213" t="s">
        <v>752</v>
      </c>
      <c r="P27" s="213" t="s">
        <v>753</v>
      </c>
      <c r="Q27" s="217">
        <v>1</v>
      </c>
      <c r="R27" s="213" t="s">
        <v>771</v>
      </c>
      <c r="S27" s="213" t="s">
        <v>772</v>
      </c>
      <c r="T27" s="214">
        <v>80111620</v>
      </c>
      <c r="U27" s="213" t="s">
        <v>773</v>
      </c>
      <c r="V27" s="214">
        <v>1</v>
      </c>
      <c r="W27" s="214">
        <v>1</v>
      </c>
      <c r="X27" s="214">
        <v>330</v>
      </c>
      <c r="Y27" s="219" t="s">
        <v>757</v>
      </c>
      <c r="Z27" s="220" t="s">
        <v>758</v>
      </c>
      <c r="AA27" s="308">
        <v>39655000</v>
      </c>
      <c r="AB27" s="221">
        <v>3605000</v>
      </c>
      <c r="AC27" s="220" t="s">
        <v>774</v>
      </c>
      <c r="AD27" s="220" t="s">
        <v>760</v>
      </c>
      <c r="AE27" s="229"/>
      <c r="AF27" s="223"/>
      <c r="AG27" s="224"/>
      <c r="AH27" s="274"/>
      <c r="AI27" s="332">
        <f t="shared" si="0"/>
        <v>1201666.6666666667</v>
      </c>
      <c r="AJ27" s="332">
        <f t="shared" si="1"/>
        <v>3605000</v>
      </c>
      <c r="AK27" s="332">
        <v>3605000</v>
      </c>
      <c r="AL27" s="332">
        <v>3605000</v>
      </c>
      <c r="AM27" s="302">
        <v>3605000</v>
      </c>
      <c r="AN27" s="302">
        <v>3605000</v>
      </c>
      <c r="AO27" s="302">
        <v>3605000</v>
      </c>
      <c r="AP27" s="302">
        <v>3605000</v>
      </c>
      <c r="AQ27" s="302">
        <v>3605000</v>
      </c>
      <c r="AR27" s="302">
        <v>3605000</v>
      </c>
      <c r="AS27" s="302">
        <v>3605000</v>
      </c>
      <c r="AT27" s="302">
        <f t="shared" si="2"/>
        <v>2403333.3333333335</v>
      </c>
      <c r="AU27" s="299">
        <f t="shared" si="3"/>
        <v>39655000.000000007</v>
      </c>
      <c r="AV27" s="276">
        <f t="shared" si="4"/>
        <v>0</v>
      </c>
      <c r="AX27" s="273">
        <f t="shared" si="5"/>
        <v>39655000.000000007</v>
      </c>
      <c r="AY27" s="273">
        <v>0</v>
      </c>
      <c r="AZ27" s="273">
        <v>0</v>
      </c>
      <c r="BA27" s="273">
        <v>0</v>
      </c>
      <c r="BB27" s="272">
        <f t="shared" si="6"/>
        <v>39655000.000000007</v>
      </c>
    </row>
    <row r="28" spans="1:54">
      <c r="A28" s="213" t="s">
        <v>743</v>
      </c>
      <c r="B28" s="214" t="s">
        <v>744</v>
      </c>
      <c r="C28" s="214" t="s">
        <v>744</v>
      </c>
      <c r="D28" s="214">
        <v>388</v>
      </c>
      <c r="E28" s="215">
        <v>388</v>
      </c>
      <c r="F28" s="216">
        <v>7673</v>
      </c>
      <c r="G28" s="213" t="s">
        <v>544</v>
      </c>
      <c r="H28" s="213" t="s">
        <v>745</v>
      </c>
      <c r="I28" s="213" t="s">
        <v>746</v>
      </c>
      <c r="J28" s="213" t="s">
        <v>747</v>
      </c>
      <c r="K28" s="213" t="s">
        <v>748</v>
      </c>
      <c r="L28" s="213" t="s">
        <v>749</v>
      </c>
      <c r="M28" s="213" t="s">
        <v>750</v>
      </c>
      <c r="N28" s="213" t="s">
        <v>751</v>
      </c>
      <c r="O28" s="213" t="s">
        <v>752</v>
      </c>
      <c r="P28" s="213" t="s">
        <v>753</v>
      </c>
      <c r="Q28" s="217">
        <v>1</v>
      </c>
      <c r="R28" s="213" t="s">
        <v>771</v>
      </c>
      <c r="S28" s="213" t="s">
        <v>772</v>
      </c>
      <c r="T28" s="214">
        <v>80111620</v>
      </c>
      <c r="U28" s="213" t="s">
        <v>775</v>
      </c>
      <c r="V28" s="214">
        <v>1</v>
      </c>
      <c r="W28" s="214">
        <v>1</v>
      </c>
      <c r="X28" s="214">
        <v>330</v>
      </c>
      <c r="Y28" s="219" t="s">
        <v>757</v>
      </c>
      <c r="Z28" s="220" t="s">
        <v>758</v>
      </c>
      <c r="AA28" s="308">
        <v>39655000</v>
      </c>
      <c r="AB28" s="221">
        <v>3605000</v>
      </c>
      <c r="AC28" s="220" t="s">
        <v>776</v>
      </c>
      <c r="AD28" s="220" t="s">
        <v>760</v>
      </c>
      <c r="AE28" s="222"/>
      <c r="AF28" s="223"/>
      <c r="AG28" s="224"/>
      <c r="AH28" s="274"/>
      <c r="AI28" s="332">
        <f t="shared" si="0"/>
        <v>1201666.6666666667</v>
      </c>
      <c r="AJ28" s="332">
        <f t="shared" si="1"/>
        <v>3605000</v>
      </c>
      <c r="AK28" s="332">
        <v>3605000</v>
      </c>
      <c r="AL28" s="332">
        <v>3605000</v>
      </c>
      <c r="AM28" s="302">
        <v>3605000</v>
      </c>
      <c r="AN28" s="302">
        <v>3605000</v>
      </c>
      <c r="AO28" s="302">
        <v>3605000</v>
      </c>
      <c r="AP28" s="302">
        <v>3605000</v>
      </c>
      <c r="AQ28" s="302">
        <v>3605000</v>
      </c>
      <c r="AR28" s="302">
        <v>3605000</v>
      </c>
      <c r="AS28" s="302">
        <v>3605000</v>
      </c>
      <c r="AT28" s="302">
        <f t="shared" si="2"/>
        <v>2403333.3333333335</v>
      </c>
      <c r="AU28" s="299">
        <f t="shared" si="3"/>
        <v>39655000.000000007</v>
      </c>
      <c r="AV28" s="276">
        <f t="shared" si="4"/>
        <v>0</v>
      </c>
      <c r="AX28" s="273">
        <f t="shared" si="5"/>
        <v>39655000.000000007</v>
      </c>
      <c r="AY28" s="273">
        <v>0</v>
      </c>
      <c r="AZ28" s="273">
        <v>0</v>
      </c>
      <c r="BA28" s="273">
        <v>0</v>
      </c>
      <c r="BB28" s="272">
        <f t="shared" si="6"/>
        <v>39655000.000000007</v>
      </c>
    </row>
    <row r="29" spans="1:54">
      <c r="A29" s="213" t="s">
        <v>743</v>
      </c>
      <c r="B29" s="214" t="s">
        <v>744</v>
      </c>
      <c r="C29" s="214" t="s">
        <v>744</v>
      </c>
      <c r="D29" s="214">
        <v>389</v>
      </c>
      <c r="E29" s="215">
        <v>389</v>
      </c>
      <c r="F29" s="216">
        <v>7673</v>
      </c>
      <c r="G29" s="213" t="s">
        <v>544</v>
      </c>
      <c r="H29" s="213" t="s">
        <v>745</v>
      </c>
      <c r="I29" s="213" t="s">
        <v>746</v>
      </c>
      <c r="J29" s="213" t="s">
        <v>747</v>
      </c>
      <c r="K29" s="213" t="s">
        <v>748</v>
      </c>
      <c r="L29" s="213" t="s">
        <v>749</v>
      </c>
      <c r="M29" s="213" t="s">
        <v>750</v>
      </c>
      <c r="N29" s="213" t="s">
        <v>751</v>
      </c>
      <c r="O29" s="213" t="s">
        <v>752</v>
      </c>
      <c r="P29" s="213" t="s">
        <v>753</v>
      </c>
      <c r="Q29" s="217">
        <v>1</v>
      </c>
      <c r="R29" s="213" t="s">
        <v>771</v>
      </c>
      <c r="S29" s="213" t="s">
        <v>772</v>
      </c>
      <c r="T29" s="214">
        <v>80111620</v>
      </c>
      <c r="U29" s="213" t="s">
        <v>775</v>
      </c>
      <c r="V29" s="214">
        <v>1</v>
      </c>
      <c r="W29" s="214">
        <v>1</v>
      </c>
      <c r="X29" s="214">
        <v>330</v>
      </c>
      <c r="Y29" s="219" t="s">
        <v>757</v>
      </c>
      <c r="Z29" s="220" t="s">
        <v>758</v>
      </c>
      <c r="AA29" s="308">
        <v>39655000</v>
      </c>
      <c r="AB29" s="221">
        <v>3605000</v>
      </c>
      <c r="AC29" s="220" t="s">
        <v>776</v>
      </c>
      <c r="AD29" s="220" t="s">
        <v>760</v>
      </c>
      <c r="AE29" s="222"/>
      <c r="AF29" s="223"/>
      <c r="AG29" s="224"/>
      <c r="AH29" s="274"/>
      <c r="AI29" s="332">
        <f t="shared" si="0"/>
        <v>1201666.6666666667</v>
      </c>
      <c r="AJ29" s="332">
        <f t="shared" si="1"/>
        <v>3605000</v>
      </c>
      <c r="AK29" s="332">
        <v>3605000</v>
      </c>
      <c r="AL29" s="332">
        <v>3605000</v>
      </c>
      <c r="AM29" s="302">
        <v>3605000</v>
      </c>
      <c r="AN29" s="302">
        <v>3605000</v>
      </c>
      <c r="AO29" s="302">
        <v>3605000</v>
      </c>
      <c r="AP29" s="302">
        <v>3605000</v>
      </c>
      <c r="AQ29" s="302">
        <v>3605000</v>
      </c>
      <c r="AR29" s="302">
        <v>3605000</v>
      </c>
      <c r="AS29" s="302">
        <v>3605000</v>
      </c>
      <c r="AT29" s="302">
        <f t="shared" si="2"/>
        <v>2403333.3333333335</v>
      </c>
      <c r="AU29" s="299">
        <f t="shared" si="3"/>
        <v>39655000.000000007</v>
      </c>
      <c r="AV29" s="276">
        <f t="shared" si="4"/>
        <v>0</v>
      </c>
      <c r="AX29" s="273">
        <f t="shared" si="5"/>
        <v>39655000.000000007</v>
      </c>
      <c r="AY29" s="273">
        <v>0</v>
      </c>
      <c r="AZ29" s="273">
        <v>0</v>
      </c>
      <c r="BA29" s="273">
        <v>0</v>
      </c>
      <c r="BB29" s="272">
        <f t="shared" si="6"/>
        <v>39655000.000000007</v>
      </c>
    </row>
    <row r="30" spans="1:54">
      <c r="A30" s="213" t="s">
        <v>743</v>
      </c>
      <c r="B30" s="214" t="s">
        <v>744</v>
      </c>
      <c r="C30" s="214" t="s">
        <v>744</v>
      </c>
      <c r="D30" s="214">
        <v>390</v>
      </c>
      <c r="E30" s="215">
        <v>390</v>
      </c>
      <c r="F30" s="216">
        <v>7673</v>
      </c>
      <c r="G30" s="213" t="s">
        <v>544</v>
      </c>
      <c r="H30" s="213" t="s">
        <v>745</v>
      </c>
      <c r="I30" s="213" t="s">
        <v>746</v>
      </c>
      <c r="J30" s="213" t="s">
        <v>747</v>
      </c>
      <c r="K30" s="213" t="s">
        <v>748</v>
      </c>
      <c r="L30" s="213" t="s">
        <v>749</v>
      </c>
      <c r="M30" s="213" t="s">
        <v>750</v>
      </c>
      <c r="N30" s="213" t="s">
        <v>751</v>
      </c>
      <c r="O30" s="213" t="s">
        <v>752</v>
      </c>
      <c r="P30" s="213" t="s">
        <v>753</v>
      </c>
      <c r="Q30" s="217">
        <v>1</v>
      </c>
      <c r="R30" s="213" t="s">
        <v>771</v>
      </c>
      <c r="S30" s="213" t="s">
        <v>772</v>
      </c>
      <c r="T30" s="214">
        <v>80111620</v>
      </c>
      <c r="U30" s="213" t="s">
        <v>775</v>
      </c>
      <c r="V30" s="214">
        <v>1</v>
      </c>
      <c r="W30" s="214">
        <v>1</v>
      </c>
      <c r="X30" s="214">
        <v>330</v>
      </c>
      <c r="Y30" s="219" t="s">
        <v>757</v>
      </c>
      <c r="Z30" s="220" t="s">
        <v>758</v>
      </c>
      <c r="AA30" s="308">
        <v>39655000</v>
      </c>
      <c r="AB30" s="221">
        <v>3605000</v>
      </c>
      <c r="AC30" s="220" t="s">
        <v>776</v>
      </c>
      <c r="AD30" s="220" t="s">
        <v>760</v>
      </c>
      <c r="AE30" s="228"/>
      <c r="AF30" s="223"/>
      <c r="AG30" s="226"/>
      <c r="AH30" s="275"/>
      <c r="AI30" s="332">
        <f t="shared" si="0"/>
        <v>1201666.6666666667</v>
      </c>
      <c r="AJ30" s="332">
        <f t="shared" si="1"/>
        <v>3605000</v>
      </c>
      <c r="AK30" s="332">
        <v>3605000</v>
      </c>
      <c r="AL30" s="332">
        <v>3605000</v>
      </c>
      <c r="AM30" s="302">
        <v>3605000</v>
      </c>
      <c r="AN30" s="302">
        <v>3605000</v>
      </c>
      <c r="AO30" s="302">
        <v>3605000</v>
      </c>
      <c r="AP30" s="302">
        <v>3605000</v>
      </c>
      <c r="AQ30" s="302">
        <v>3605000</v>
      </c>
      <c r="AR30" s="302">
        <v>3605000</v>
      </c>
      <c r="AS30" s="302">
        <v>3605000</v>
      </c>
      <c r="AT30" s="302">
        <f t="shared" si="2"/>
        <v>2403333.3333333335</v>
      </c>
      <c r="AU30" s="299">
        <f t="shared" si="3"/>
        <v>39655000.000000007</v>
      </c>
      <c r="AV30" s="276">
        <f t="shared" si="4"/>
        <v>0</v>
      </c>
      <c r="AX30" s="273">
        <f t="shared" si="5"/>
        <v>39655000.000000007</v>
      </c>
      <c r="AY30" s="273">
        <v>0</v>
      </c>
      <c r="AZ30" s="273">
        <v>0</v>
      </c>
      <c r="BA30" s="273">
        <v>0</v>
      </c>
      <c r="BB30" s="272">
        <f t="shared" si="6"/>
        <v>39655000.000000007</v>
      </c>
    </row>
    <row r="31" spans="1:54">
      <c r="A31" s="213" t="s">
        <v>743</v>
      </c>
      <c r="B31" s="214" t="s">
        <v>744</v>
      </c>
      <c r="C31" s="214" t="s">
        <v>744</v>
      </c>
      <c r="D31" s="214">
        <v>391</v>
      </c>
      <c r="E31" s="215">
        <v>391</v>
      </c>
      <c r="F31" s="216">
        <v>7673</v>
      </c>
      <c r="G31" s="213" t="s">
        <v>544</v>
      </c>
      <c r="H31" s="213" t="s">
        <v>745</v>
      </c>
      <c r="I31" s="213" t="s">
        <v>746</v>
      </c>
      <c r="J31" s="213" t="s">
        <v>747</v>
      </c>
      <c r="K31" s="213" t="s">
        <v>748</v>
      </c>
      <c r="L31" s="213" t="s">
        <v>749</v>
      </c>
      <c r="M31" s="213" t="s">
        <v>750</v>
      </c>
      <c r="N31" s="213" t="s">
        <v>751</v>
      </c>
      <c r="O31" s="213" t="s">
        <v>752</v>
      </c>
      <c r="P31" s="213" t="s">
        <v>753</v>
      </c>
      <c r="Q31" s="217">
        <v>1</v>
      </c>
      <c r="R31" s="213" t="s">
        <v>771</v>
      </c>
      <c r="S31" s="213" t="s">
        <v>772</v>
      </c>
      <c r="T31" s="214">
        <v>80111620</v>
      </c>
      <c r="U31" s="213" t="s">
        <v>775</v>
      </c>
      <c r="V31" s="214">
        <v>1</v>
      </c>
      <c r="W31" s="214">
        <v>1</v>
      </c>
      <c r="X31" s="214">
        <v>330</v>
      </c>
      <c r="Y31" s="219" t="s">
        <v>757</v>
      </c>
      <c r="Z31" s="220" t="s">
        <v>758</v>
      </c>
      <c r="AA31" s="308">
        <v>39655000</v>
      </c>
      <c r="AB31" s="221">
        <v>3605000</v>
      </c>
      <c r="AC31" s="220" t="s">
        <v>776</v>
      </c>
      <c r="AD31" s="220" t="s">
        <v>760</v>
      </c>
      <c r="AE31" s="228"/>
      <c r="AF31" s="223"/>
      <c r="AG31" s="226"/>
      <c r="AH31" s="275"/>
      <c r="AI31" s="332">
        <f t="shared" si="0"/>
        <v>1201666.6666666667</v>
      </c>
      <c r="AJ31" s="332">
        <f t="shared" si="1"/>
        <v>3605000</v>
      </c>
      <c r="AK31" s="332">
        <v>3605000</v>
      </c>
      <c r="AL31" s="332">
        <v>3605000</v>
      </c>
      <c r="AM31" s="302">
        <v>3605000</v>
      </c>
      <c r="AN31" s="302">
        <v>3605000</v>
      </c>
      <c r="AO31" s="302">
        <v>3605000</v>
      </c>
      <c r="AP31" s="302">
        <v>3605000</v>
      </c>
      <c r="AQ31" s="302">
        <v>3605000</v>
      </c>
      <c r="AR31" s="302">
        <v>3605000</v>
      </c>
      <c r="AS31" s="302">
        <v>3605000</v>
      </c>
      <c r="AT31" s="302">
        <f t="shared" si="2"/>
        <v>2403333.3333333335</v>
      </c>
      <c r="AU31" s="299">
        <f t="shared" si="3"/>
        <v>39655000.000000007</v>
      </c>
      <c r="AV31" s="276">
        <f t="shared" si="4"/>
        <v>0</v>
      </c>
      <c r="AX31" s="273">
        <f t="shared" si="5"/>
        <v>39655000.000000007</v>
      </c>
      <c r="AY31" s="273">
        <v>0</v>
      </c>
      <c r="AZ31" s="273">
        <v>0</v>
      </c>
      <c r="BA31" s="273">
        <v>0</v>
      </c>
      <c r="BB31" s="272">
        <f t="shared" si="6"/>
        <v>39655000.000000007</v>
      </c>
    </row>
    <row r="32" spans="1:54" hidden="1">
      <c r="A32" s="213" t="s">
        <v>743</v>
      </c>
      <c r="B32" s="214" t="s">
        <v>744</v>
      </c>
      <c r="C32" s="214" t="s">
        <v>744</v>
      </c>
      <c r="D32" s="214">
        <v>392</v>
      </c>
      <c r="E32" s="215">
        <v>392</v>
      </c>
      <c r="F32" s="216">
        <v>7673</v>
      </c>
      <c r="G32" s="213" t="s">
        <v>544</v>
      </c>
      <c r="H32" s="213" t="s">
        <v>745</v>
      </c>
      <c r="I32" s="213" t="s">
        <v>746</v>
      </c>
      <c r="J32" s="213" t="s">
        <v>747</v>
      </c>
      <c r="K32" s="213" t="s">
        <v>748</v>
      </c>
      <c r="L32" s="213" t="s">
        <v>749</v>
      </c>
      <c r="M32" s="213" t="s">
        <v>750</v>
      </c>
      <c r="N32" s="213" t="s">
        <v>751</v>
      </c>
      <c r="O32" s="213" t="s">
        <v>777</v>
      </c>
      <c r="P32" s="213" t="s">
        <v>778</v>
      </c>
      <c r="Q32" s="217">
        <v>1</v>
      </c>
      <c r="R32" s="213" t="s">
        <v>754</v>
      </c>
      <c r="S32" s="213" t="s">
        <v>755</v>
      </c>
      <c r="T32" s="214">
        <v>80111620</v>
      </c>
      <c r="U32" s="213" t="s">
        <v>779</v>
      </c>
      <c r="V32" s="214">
        <v>1</v>
      </c>
      <c r="W32" s="214">
        <v>1</v>
      </c>
      <c r="X32" s="214">
        <v>330</v>
      </c>
      <c r="Y32" s="219" t="s">
        <v>757</v>
      </c>
      <c r="Z32" s="220" t="s">
        <v>758</v>
      </c>
      <c r="AA32" s="308">
        <v>92818000</v>
      </c>
      <c r="AB32" s="221">
        <v>8438000</v>
      </c>
      <c r="AC32" s="220" t="s">
        <v>780</v>
      </c>
      <c r="AD32" s="220" t="s">
        <v>781</v>
      </c>
      <c r="AE32" s="230"/>
      <c r="AF32" s="223"/>
      <c r="AG32" s="226"/>
      <c r="AH32" s="226"/>
      <c r="AI32" s="332">
        <f t="shared" si="0"/>
        <v>2812666.666666667</v>
      </c>
      <c r="AJ32" s="332">
        <f t="shared" si="1"/>
        <v>8438000</v>
      </c>
      <c r="AK32" s="332">
        <v>8438000</v>
      </c>
      <c r="AL32" s="332">
        <v>8438000</v>
      </c>
      <c r="AM32" s="302">
        <v>8438000</v>
      </c>
      <c r="AN32" s="302">
        <v>8438000</v>
      </c>
      <c r="AO32" s="302">
        <v>8438000</v>
      </c>
      <c r="AP32" s="302">
        <v>8438000</v>
      </c>
      <c r="AQ32" s="302">
        <v>8438000</v>
      </c>
      <c r="AR32" s="302">
        <v>8438000</v>
      </c>
      <c r="AS32" s="302">
        <v>8438000</v>
      </c>
      <c r="AT32" s="302">
        <f t="shared" si="2"/>
        <v>5625333.333333334</v>
      </c>
      <c r="AU32" s="299">
        <f t="shared" si="3"/>
        <v>92818000</v>
      </c>
      <c r="AV32" s="276">
        <f t="shared" si="4"/>
        <v>0</v>
      </c>
      <c r="AX32" s="273">
        <v>0</v>
      </c>
      <c r="AY32" s="273">
        <v>0</v>
      </c>
      <c r="AZ32" s="273">
        <f>+AU32</f>
        <v>92818000</v>
      </c>
      <c r="BA32" s="273">
        <v>0</v>
      </c>
      <c r="BB32" s="272">
        <f t="shared" si="6"/>
        <v>92818000</v>
      </c>
    </row>
    <row r="33" spans="1:54" hidden="1">
      <c r="A33" s="213" t="s">
        <v>743</v>
      </c>
      <c r="B33" s="214" t="s">
        <v>744</v>
      </c>
      <c r="C33" s="214" t="s">
        <v>744</v>
      </c>
      <c r="D33" s="214">
        <v>393</v>
      </c>
      <c r="E33" s="215">
        <v>393</v>
      </c>
      <c r="F33" s="216">
        <v>7673</v>
      </c>
      <c r="G33" s="213" t="s">
        <v>544</v>
      </c>
      <c r="H33" s="213" t="s">
        <v>745</v>
      </c>
      <c r="I33" s="213" t="s">
        <v>746</v>
      </c>
      <c r="J33" s="213" t="s">
        <v>747</v>
      </c>
      <c r="K33" s="213" t="s">
        <v>748</v>
      </c>
      <c r="L33" s="213" t="s">
        <v>749</v>
      </c>
      <c r="M33" s="213" t="s">
        <v>750</v>
      </c>
      <c r="N33" s="213" t="s">
        <v>751</v>
      </c>
      <c r="O33" s="213" t="s">
        <v>777</v>
      </c>
      <c r="P33" s="213" t="s">
        <v>778</v>
      </c>
      <c r="Q33" s="217">
        <v>1</v>
      </c>
      <c r="R33" s="213" t="s">
        <v>754</v>
      </c>
      <c r="S33" s="213" t="s">
        <v>755</v>
      </c>
      <c r="T33" s="214">
        <v>80111620</v>
      </c>
      <c r="U33" s="213" t="s">
        <v>782</v>
      </c>
      <c r="V33" s="214">
        <v>1</v>
      </c>
      <c r="W33" s="214">
        <v>1</v>
      </c>
      <c r="X33" s="214">
        <v>330</v>
      </c>
      <c r="Y33" s="219" t="s">
        <v>757</v>
      </c>
      <c r="Z33" s="220" t="s">
        <v>758</v>
      </c>
      <c r="AA33" s="308">
        <v>63811000</v>
      </c>
      <c r="AB33" s="221">
        <v>5801000</v>
      </c>
      <c r="AC33" s="220" t="s">
        <v>783</v>
      </c>
      <c r="AD33" s="220" t="s">
        <v>781</v>
      </c>
      <c r="AE33" s="230"/>
      <c r="AF33" s="223"/>
      <c r="AG33" s="229"/>
      <c r="AH33" s="229"/>
      <c r="AI33" s="332">
        <f t="shared" si="0"/>
        <v>1933666.6666666665</v>
      </c>
      <c r="AJ33" s="332">
        <f t="shared" si="1"/>
        <v>5801000</v>
      </c>
      <c r="AK33" s="332">
        <v>5801000</v>
      </c>
      <c r="AL33" s="332">
        <v>5801000</v>
      </c>
      <c r="AM33" s="302">
        <v>5801000</v>
      </c>
      <c r="AN33" s="302">
        <v>5801000</v>
      </c>
      <c r="AO33" s="302">
        <v>5801000</v>
      </c>
      <c r="AP33" s="302">
        <v>5801000</v>
      </c>
      <c r="AQ33" s="302">
        <v>5801000</v>
      </c>
      <c r="AR33" s="302">
        <v>5801000</v>
      </c>
      <c r="AS33" s="302">
        <v>5801000</v>
      </c>
      <c r="AT33" s="302">
        <f t="shared" si="2"/>
        <v>3867333.333333333</v>
      </c>
      <c r="AU33" s="299">
        <f t="shared" si="3"/>
        <v>63811000</v>
      </c>
      <c r="AV33" s="276">
        <f t="shared" si="4"/>
        <v>0</v>
      </c>
      <c r="AX33" s="273">
        <v>0</v>
      </c>
      <c r="AY33" s="273">
        <v>0</v>
      </c>
      <c r="AZ33" s="273">
        <f t="shared" ref="AZ33:AZ52" si="7">+AU33</f>
        <v>63811000</v>
      </c>
      <c r="BA33" s="273">
        <v>0</v>
      </c>
      <c r="BB33" s="272">
        <f t="shared" si="6"/>
        <v>63811000</v>
      </c>
    </row>
    <row r="34" spans="1:54" hidden="1">
      <c r="A34" s="213" t="s">
        <v>743</v>
      </c>
      <c r="B34" s="214" t="s">
        <v>744</v>
      </c>
      <c r="C34" s="214" t="s">
        <v>744</v>
      </c>
      <c r="D34" s="214">
        <v>394</v>
      </c>
      <c r="E34" s="215">
        <v>394</v>
      </c>
      <c r="F34" s="216">
        <v>7673</v>
      </c>
      <c r="G34" s="213" t="s">
        <v>544</v>
      </c>
      <c r="H34" s="213" t="s">
        <v>745</v>
      </c>
      <c r="I34" s="213" t="s">
        <v>746</v>
      </c>
      <c r="J34" s="213" t="s">
        <v>747</v>
      </c>
      <c r="K34" s="213" t="s">
        <v>748</v>
      </c>
      <c r="L34" s="213" t="s">
        <v>749</v>
      </c>
      <c r="M34" s="213" t="s">
        <v>750</v>
      </c>
      <c r="N34" s="213" t="s">
        <v>751</v>
      </c>
      <c r="O34" s="213" t="s">
        <v>777</v>
      </c>
      <c r="P34" s="213" t="s">
        <v>778</v>
      </c>
      <c r="Q34" s="217">
        <v>1</v>
      </c>
      <c r="R34" s="213" t="s">
        <v>754</v>
      </c>
      <c r="S34" s="213" t="s">
        <v>755</v>
      </c>
      <c r="T34" s="214">
        <v>80111620</v>
      </c>
      <c r="U34" s="213" t="s">
        <v>784</v>
      </c>
      <c r="V34" s="214">
        <v>1</v>
      </c>
      <c r="W34" s="214">
        <v>1</v>
      </c>
      <c r="X34" s="214">
        <v>330</v>
      </c>
      <c r="Y34" s="219" t="s">
        <v>757</v>
      </c>
      <c r="Z34" s="220" t="s">
        <v>758</v>
      </c>
      <c r="AA34" s="308">
        <v>126500000</v>
      </c>
      <c r="AB34" s="221">
        <v>11500000</v>
      </c>
      <c r="AC34" s="220" t="s">
        <v>785</v>
      </c>
      <c r="AD34" s="220" t="s">
        <v>781</v>
      </c>
      <c r="AE34" s="230"/>
      <c r="AF34" s="231"/>
      <c r="AG34" s="226"/>
      <c r="AH34" s="229"/>
      <c r="AI34" s="332">
        <f t="shared" si="0"/>
        <v>3833333.333333333</v>
      </c>
      <c r="AJ34" s="332">
        <f t="shared" si="1"/>
        <v>11500000</v>
      </c>
      <c r="AK34" s="332">
        <v>11500000</v>
      </c>
      <c r="AL34" s="332">
        <v>11500000</v>
      </c>
      <c r="AM34" s="302">
        <v>11500000</v>
      </c>
      <c r="AN34" s="302">
        <v>11500000</v>
      </c>
      <c r="AO34" s="302">
        <v>11500000</v>
      </c>
      <c r="AP34" s="302">
        <v>11500000</v>
      </c>
      <c r="AQ34" s="302">
        <v>11500000</v>
      </c>
      <c r="AR34" s="302">
        <v>11500000</v>
      </c>
      <c r="AS34" s="302">
        <v>11500000</v>
      </c>
      <c r="AT34" s="302">
        <f t="shared" si="2"/>
        <v>7666666.666666666</v>
      </c>
      <c r="AU34" s="299">
        <f t="shared" si="3"/>
        <v>126500000</v>
      </c>
      <c r="AV34" s="276">
        <f t="shared" si="4"/>
        <v>0</v>
      </c>
      <c r="AX34" s="273">
        <v>0</v>
      </c>
      <c r="AY34" s="273">
        <v>0</v>
      </c>
      <c r="AZ34" s="273">
        <f t="shared" si="7"/>
        <v>126500000</v>
      </c>
      <c r="BA34" s="273">
        <v>0</v>
      </c>
      <c r="BB34" s="272">
        <f t="shared" si="6"/>
        <v>126500000</v>
      </c>
    </row>
    <row r="35" spans="1:54" hidden="1">
      <c r="A35" s="213" t="s">
        <v>743</v>
      </c>
      <c r="B35" s="214" t="s">
        <v>744</v>
      </c>
      <c r="C35" s="214" t="s">
        <v>744</v>
      </c>
      <c r="D35" s="214">
        <v>395</v>
      </c>
      <c r="E35" s="215">
        <v>395</v>
      </c>
      <c r="F35" s="216">
        <v>7673</v>
      </c>
      <c r="G35" s="213" t="s">
        <v>544</v>
      </c>
      <c r="H35" s="213" t="s">
        <v>745</v>
      </c>
      <c r="I35" s="213" t="s">
        <v>746</v>
      </c>
      <c r="J35" s="213" t="s">
        <v>747</v>
      </c>
      <c r="K35" s="213" t="s">
        <v>748</v>
      </c>
      <c r="L35" s="213" t="s">
        <v>749</v>
      </c>
      <c r="M35" s="213" t="s">
        <v>750</v>
      </c>
      <c r="N35" s="213" t="s">
        <v>751</v>
      </c>
      <c r="O35" s="213" t="s">
        <v>777</v>
      </c>
      <c r="P35" s="213" t="s">
        <v>778</v>
      </c>
      <c r="Q35" s="217">
        <v>1</v>
      </c>
      <c r="R35" s="213" t="s">
        <v>754</v>
      </c>
      <c r="S35" s="213" t="s">
        <v>755</v>
      </c>
      <c r="T35" s="214">
        <v>80111620</v>
      </c>
      <c r="U35" s="213" t="s">
        <v>786</v>
      </c>
      <c r="V35" s="214">
        <v>1</v>
      </c>
      <c r="W35" s="214">
        <v>1</v>
      </c>
      <c r="X35" s="214">
        <v>330</v>
      </c>
      <c r="Y35" s="219" t="s">
        <v>757</v>
      </c>
      <c r="Z35" s="220" t="s">
        <v>758</v>
      </c>
      <c r="AA35" s="308">
        <v>113300000</v>
      </c>
      <c r="AB35" s="221">
        <v>10300000</v>
      </c>
      <c r="AC35" s="220" t="s">
        <v>787</v>
      </c>
      <c r="AD35" s="220" t="s">
        <v>781</v>
      </c>
      <c r="AE35" s="232"/>
      <c r="AF35" s="223"/>
      <c r="AG35" s="224"/>
      <c r="AH35" s="229"/>
      <c r="AI35" s="332">
        <f t="shared" si="0"/>
        <v>3433333.333333333</v>
      </c>
      <c r="AJ35" s="332">
        <f t="shared" si="1"/>
        <v>10300000</v>
      </c>
      <c r="AK35" s="332">
        <v>10300000</v>
      </c>
      <c r="AL35" s="332">
        <v>10300000</v>
      </c>
      <c r="AM35" s="302">
        <v>10300000</v>
      </c>
      <c r="AN35" s="302">
        <v>10300000</v>
      </c>
      <c r="AO35" s="302">
        <v>10300000</v>
      </c>
      <c r="AP35" s="302">
        <v>10300000</v>
      </c>
      <c r="AQ35" s="302">
        <v>10300000</v>
      </c>
      <c r="AR35" s="302">
        <v>10300000</v>
      </c>
      <c r="AS35" s="302">
        <v>10300000</v>
      </c>
      <c r="AT35" s="302">
        <f t="shared" si="2"/>
        <v>6866666.666666666</v>
      </c>
      <c r="AU35" s="299">
        <f t="shared" si="3"/>
        <v>113300000</v>
      </c>
      <c r="AV35" s="276">
        <f t="shared" si="4"/>
        <v>0</v>
      </c>
      <c r="AX35" s="273">
        <v>0</v>
      </c>
      <c r="AY35" s="273">
        <v>0</v>
      </c>
      <c r="AZ35" s="273">
        <f t="shared" si="7"/>
        <v>113300000</v>
      </c>
      <c r="BA35" s="273">
        <v>0</v>
      </c>
      <c r="BB35" s="272">
        <f t="shared" si="6"/>
        <v>113300000</v>
      </c>
    </row>
    <row r="36" spans="1:54" hidden="1">
      <c r="A36" s="213" t="s">
        <v>743</v>
      </c>
      <c r="B36" s="214" t="s">
        <v>744</v>
      </c>
      <c r="C36" s="214" t="s">
        <v>744</v>
      </c>
      <c r="D36" s="214">
        <v>396</v>
      </c>
      <c r="E36" s="215">
        <v>396</v>
      </c>
      <c r="F36" s="216">
        <v>7673</v>
      </c>
      <c r="G36" s="213" t="s">
        <v>544</v>
      </c>
      <c r="H36" s="213" t="s">
        <v>745</v>
      </c>
      <c r="I36" s="213" t="s">
        <v>746</v>
      </c>
      <c r="J36" s="213" t="s">
        <v>747</v>
      </c>
      <c r="K36" s="213" t="s">
        <v>748</v>
      </c>
      <c r="L36" s="213" t="s">
        <v>749</v>
      </c>
      <c r="M36" s="213" t="s">
        <v>750</v>
      </c>
      <c r="N36" s="213" t="s">
        <v>751</v>
      </c>
      <c r="O36" s="213" t="s">
        <v>777</v>
      </c>
      <c r="P36" s="213" t="s">
        <v>778</v>
      </c>
      <c r="Q36" s="217">
        <v>1</v>
      </c>
      <c r="R36" s="213" t="s">
        <v>754</v>
      </c>
      <c r="S36" s="213" t="s">
        <v>755</v>
      </c>
      <c r="T36" s="214">
        <v>80111620</v>
      </c>
      <c r="U36" s="213" t="s">
        <v>788</v>
      </c>
      <c r="V36" s="214">
        <v>1</v>
      </c>
      <c r="W36" s="214">
        <v>1</v>
      </c>
      <c r="X36" s="214">
        <v>330</v>
      </c>
      <c r="Y36" s="219" t="s">
        <v>757</v>
      </c>
      <c r="Z36" s="220" t="s">
        <v>758</v>
      </c>
      <c r="AA36" s="308">
        <v>92818000</v>
      </c>
      <c r="AB36" s="221">
        <v>8438000</v>
      </c>
      <c r="AC36" s="220" t="s">
        <v>789</v>
      </c>
      <c r="AD36" s="220" t="s">
        <v>781</v>
      </c>
      <c r="AE36" s="230"/>
      <c r="AF36" s="223"/>
      <c r="AG36" s="224"/>
      <c r="AH36" s="229"/>
      <c r="AI36" s="332">
        <f t="shared" si="0"/>
        <v>2812666.666666667</v>
      </c>
      <c r="AJ36" s="332">
        <f t="shared" si="1"/>
        <v>8438000</v>
      </c>
      <c r="AK36" s="332">
        <v>8438000</v>
      </c>
      <c r="AL36" s="332">
        <v>8438000</v>
      </c>
      <c r="AM36" s="302">
        <v>8438000</v>
      </c>
      <c r="AN36" s="302">
        <v>8438000</v>
      </c>
      <c r="AO36" s="302">
        <v>8438000</v>
      </c>
      <c r="AP36" s="302">
        <v>8438000</v>
      </c>
      <c r="AQ36" s="302">
        <v>8438000</v>
      </c>
      <c r="AR36" s="302">
        <v>8438000</v>
      </c>
      <c r="AS36" s="302">
        <v>8438000</v>
      </c>
      <c r="AT36" s="302">
        <f t="shared" si="2"/>
        <v>5625333.333333334</v>
      </c>
      <c r="AU36" s="299">
        <f t="shared" si="3"/>
        <v>92818000</v>
      </c>
      <c r="AV36" s="276">
        <f t="shared" si="4"/>
        <v>0</v>
      </c>
      <c r="AX36" s="273">
        <v>0</v>
      </c>
      <c r="AY36" s="273">
        <v>0</v>
      </c>
      <c r="AZ36" s="273">
        <f t="shared" si="7"/>
        <v>92818000</v>
      </c>
      <c r="BA36" s="273">
        <v>0</v>
      </c>
      <c r="BB36" s="272">
        <f t="shared" si="6"/>
        <v>92818000</v>
      </c>
    </row>
    <row r="37" spans="1:54" hidden="1">
      <c r="A37" s="213" t="s">
        <v>743</v>
      </c>
      <c r="B37" s="214" t="s">
        <v>744</v>
      </c>
      <c r="C37" s="214" t="s">
        <v>744</v>
      </c>
      <c r="D37" s="214">
        <v>397</v>
      </c>
      <c r="E37" s="215">
        <v>397</v>
      </c>
      <c r="F37" s="216">
        <v>7673</v>
      </c>
      <c r="G37" s="213" t="s">
        <v>544</v>
      </c>
      <c r="H37" s="213" t="s">
        <v>745</v>
      </c>
      <c r="I37" s="213" t="s">
        <v>746</v>
      </c>
      <c r="J37" s="213" t="s">
        <v>747</v>
      </c>
      <c r="K37" s="213" t="s">
        <v>748</v>
      </c>
      <c r="L37" s="213" t="s">
        <v>749</v>
      </c>
      <c r="M37" s="213" t="s">
        <v>750</v>
      </c>
      <c r="N37" s="213" t="s">
        <v>751</v>
      </c>
      <c r="O37" s="213" t="s">
        <v>777</v>
      </c>
      <c r="P37" s="213" t="s">
        <v>778</v>
      </c>
      <c r="Q37" s="217">
        <v>1</v>
      </c>
      <c r="R37" s="213" t="s">
        <v>754</v>
      </c>
      <c r="S37" s="213" t="s">
        <v>755</v>
      </c>
      <c r="T37" s="214">
        <v>80111620</v>
      </c>
      <c r="U37" s="213" t="s">
        <v>790</v>
      </c>
      <c r="V37" s="214">
        <v>1</v>
      </c>
      <c r="W37" s="214">
        <v>1</v>
      </c>
      <c r="X37" s="214">
        <v>330</v>
      </c>
      <c r="Y37" s="219" t="s">
        <v>757</v>
      </c>
      <c r="Z37" s="220" t="s">
        <v>758</v>
      </c>
      <c r="AA37" s="308">
        <v>67980000</v>
      </c>
      <c r="AB37" s="221">
        <v>6180000</v>
      </c>
      <c r="AC37" s="220" t="s">
        <v>791</v>
      </c>
      <c r="AD37" s="220" t="s">
        <v>781</v>
      </c>
      <c r="AE37" s="230"/>
      <c r="AF37" s="223"/>
      <c r="AG37" s="224"/>
      <c r="AH37" s="229"/>
      <c r="AI37" s="332">
        <f t="shared" si="0"/>
        <v>2060000</v>
      </c>
      <c r="AJ37" s="332">
        <f t="shared" si="1"/>
        <v>6180000</v>
      </c>
      <c r="AK37" s="332">
        <v>6180000</v>
      </c>
      <c r="AL37" s="332">
        <v>6180000</v>
      </c>
      <c r="AM37" s="302">
        <v>6180000</v>
      </c>
      <c r="AN37" s="302">
        <v>6180000</v>
      </c>
      <c r="AO37" s="302">
        <v>6180000</v>
      </c>
      <c r="AP37" s="302">
        <v>6180000</v>
      </c>
      <c r="AQ37" s="302">
        <v>6180000</v>
      </c>
      <c r="AR37" s="302">
        <v>6180000</v>
      </c>
      <c r="AS37" s="302">
        <v>6180000</v>
      </c>
      <c r="AT37" s="302">
        <f t="shared" si="2"/>
        <v>4120000</v>
      </c>
      <c r="AU37" s="299">
        <f t="shared" si="3"/>
        <v>67980000</v>
      </c>
      <c r="AV37" s="276">
        <f t="shared" si="4"/>
        <v>0</v>
      </c>
      <c r="AX37" s="273">
        <v>0</v>
      </c>
      <c r="AY37" s="273">
        <v>0</v>
      </c>
      <c r="AZ37" s="273">
        <f t="shared" si="7"/>
        <v>67980000</v>
      </c>
      <c r="BA37" s="273">
        <v>0</v>
      </c>
      <c r="BB37" s="272">
        <f t="shared" si="6"/>
        <v>67980000</v>
      </c>
    </row>
    <row r="38" spans="1:54" hidden="1">
      <c r="A38" s="213" t="s">
        <v>743</v>
      </c>
      <c r="B38" s="214" t="s">
        <v>744</v>
      </c>
      <c r="C38" s="214" t="s">
        <v>744</v>
      </c>
      <c r="D38" s="214">
        <v>398</v>
      </c>
      <c r="E38" s="215">
        <v>398</v>
      </c>
      <c r="F38" s="216">
        <v>7673</v>
      </c>
      <c r="G38" s="213" t="s">
        <v>544</v>
      </c>
      <c r="H38" s="213" t="s">
        <v>745</v>
      </c>
      <c r="I38" s="213" t="s">
        <v>746</v>
      </c>
      <c r="J38" s="213" t="s">
        <v>747</v>
      </c>
      <c r="K38" s="213" t="s">
        <v>748</v>
      </c>
      <c r="L38" s="213" t="s">
        <v>749</v>
      </c>
      <c r="M38" s="213" t="s">
        <v>750</v>
      </c>
      <c r="N38" s="213" t="s">
        <v>751</v>
      </c>
      <c r="O38" s="213" t="s">
        <v>777</v>
      </c>
      <c r="P38" s="213" t="s">
        <v>778</v>
      </c>
      <c r="Q38" s="217">
        <v>1</v>
      </c>
      <c r="R38" s="213" t="s">
        <v>754</v>
      </c>
      <c r="S38" s="213" t="s">
        <v>755</v>
      </c>
      <c r="T38" s="214">
        <v>80111620</v>
      </c>
      <c r="U38" s="213" t="s">
        <v>792</v>
      </c>
      <c r="V38" s="214">
        <v>1</v>
      </c>
      <c r="W38" s="214">
        <v>1</v>
      </c>
      <c r="X38" s="214">
        <v>330</v>
      </c>
      <c r="Y38" s="219" t="s">
        <v>757</v>
      </c>
      <c r="Z38" s="220" t="s">
        <v>758</v>
      </c>
      <c r="AA38" s="308">
        <v>62315000</v>
      </c>
      <c r="AB38" s="221">
        <v>5665000</v>
      </c>
      <c r="AC38" s="220" t="s">
        <v>793</v>
      </c>
      <c r="AD38" s="220" t="s">
        <v>781</v>
      </c>
      <c r="AE38" s="230"/>
      <c r="AF38" s="223"/>
      <c r="AG38" s="224"/>
      <c r="AH38" s="229"/>
      <c r="AI38" s="332">
        <f t="shared" si="0"/>
        <v>1888333.3333333335</v>
      </c>
      <c r="AJ38" s="332">
        <f t="shared" si="1"/>
        <v>5665000</v>
      </c>
      <c r="AK38" s="332">
        <v>5665000</v>
      </c>
      <c r="AL38" s="332">
        <v>5665000</v>
      </c>
      <c r="AM38" s="302">
        <v>5665000</v>
      </c>
      <c r="AN38" s="302">
        <v>5665000</v>
      </c>
      <c r="AO38" s="302">
        <v>5665000</v>
      </c>
      <c r="AP38" s="302">
        <v>5665000</v>
      </c>
      <c r="AQ38" s="302">
        <v>5665000</v>
      </c>
      <c r="AR38" s="302">
        <v>5665000</v>
      </c>
      <c r="AS38" s="302">
        <v>5665000</v>
      </c>
      <c r="AT38" s="302">
        <f t="shared" si="2"/>
        <v>3776666.666666667</v>
      </c>
      <c r="AU38" s="299">
        <f t="shared" si="3"/>
        <v>62315000</v>
      </c>
      <c r="AV38" s="276">
        <f t="shared" si="4"/>
        <v>0</v>
      </c>
      <c r="AX38" s="273">
        <v>0</v>
      </c>
      <c r="AY38" s="273">
        <v>0</v>
      </c>
      <c r="AZ38" s="273">
        <f t="shared" si="7"/>
        <v>62315000</v>
      </c>
      <c r="BA38" s="273">
        <v>0</v>
      </c>
      <c r="BB38" s="272">
        <f t="shared" si="6"/>
        <v>62315000</v>
      </c>
    </row>
    <row r="39" spans="1:54" hidden="1">
      <c r="A39" s="213" t="s">
        <v>743</v>
      </c>
      <c r="B39" s="214" t="s">
        <v>744</v>
      </c>
      <c r="C39" s="214" t="s">
        <v>744</v>
      </c>
      <c r="D39" s="214">
        <v>399</v>
      </c>
      <c r="E39" s="215">
        <v>399</v>
      </c>
      <c r="F39" s="216">
        <v>7673</v>
      </c>
      <c r="G39" s="213" t="s">
        <v>544</v>
      </c>
      <c r="H39" s="213" t="s">
        <v>745</v>
      </c>
      <c r="I39" s="213" t="s">
        <v>746</v>
      </c>
      <c r="J39" s="213" t="s">
        <v>747</v>
      </c>
      <c r="K39" s="213" t="s">
        <v>748</v>
      </c>
      <c r="L39" s="213" t="s">
        <v>749</v>
      </c>
      <c r="M39" s="213" t="s">
        <v>750</v>
      </c>
      <c r="N39" s="213" t="s">
        <v>751</v>
      </c>
      <c r="O39" s="213" t="s">
        <v>777</v>
      </c>
      <c r="P39" s="213" t="s">
        <v>778</v>
      </c>
      <c r="Q39" s="217">
        <v>1</v>
      </c>
      <c r="R39" s="213" t="s">
        <v>754</v>
      </c>
      <c r="S39" s="213" t="s">
        <v>755</v>
      </c>
      <c r="T39" s="214">
        <v>80111620</v>
      </c>
      <c r="U39" s="213" t="s">
        <v>794</v>
      </c>
      <c r="V39" s="214">
        <v>1</v>
      </c>
      <c r="W39" s="214">
        <v>1</v>
      </c>
      <c r="X39" s="214">
        <v>330</v>
      </c>
      <c r="Y39" s="219" t="s">
        <v>757</v>
      </c>
      <c r="Z39" s="220" t="s">
        <v>758</v>
      </c>
      <c r="AA39" s="308">
        <v>62315000</v>
      </c>
      <c r="AB39" s="221">
        <v>5665000</v>
      </c>
      <c r="AC39" s="220" t="s">
        <v>795</v>
      </c>
      <c r="AD39" s="220" t="s">
        <v>781</v>
      </c>
      <c r="AE39" s="232"/>
      <c r="AF39" s="223"/>
      <c r="AG39" s="224"/>
      <c r="AH39" s="229"/>
      <c r="AI39" s="332">
        <f t="shared" si="0"/>
        <v>1888333.3333333335</v>
      </c>
      <c r="AJ39" s="332">
        <f t="shared" si="1"/>
        <v>5665000</v>
      </c>
      <c r="AK39" s="332">
        <v>5665000</v>
      </c>
      <c r="AL39" s="332">
        <v>5665000</v>
      </c>
      <c r="AM39" s="302">
        <v>5665000</v>
      </c>
      <c r="AN39" s="302">
        <v>5665000</v>
      </c>
      <c r="AO39" s="302">
        <v>5665000</v>
      </c>
      <c r="AP39" s="302">
        <v>5665000</v>
      </c>
      <c r="AQ39" s="302">
        <v>5665000</v>
      </c>
      <c r="AR39" s="302">
        <v>5665000</v>
      </c>
      <c r="AS39" s="302">
        <v>5665000</v>
      </c>
      <c r="AT39" s="302">
        <f t="shared" si="2"/>
        <v>3776666.666666667</v>
      </c>
      <c r="AU39" s="299">
        <f t="shared" si="3"/>
        <v>62315000</v>
      </c>
      <c r="AV39" s="276">
        <f t="shared" si="4"/>
        <v>0</v>
      </c>
      <c r="AX39" s="273">
        <v>0</v>
      </c>
      <c r="AY39" s="273">
        <v>0</v>
      </c>
      <c r="AZ39" s="273">
        <f t="shared" si="7"/>
        <v>62315000</v>
      </c>
      <c r="BA39" s="273">
        <v>0</v>
      </c>
      <c r="BB39" s="272">
        <f t="shared" si="6"/>
        <v>62315000</v>
      </c>
    </row>
    <row r="40" spans="1:54" hidden="1">
      <c r="A40" s="213" t="s">
        <v>743</v>
      </c>
      <c r="B40" s="214" t="s">
        <v>744</v>
      </c>
      <c r="C40" s="214" t="s">
        <v>744</v>
      </c>
      <c r="D40" s="214">
        <v>400</v>
      </c>
      <c r="E40" s="215">
        <v>400</v>
      </c>
      <c r="F40" s="216">
        <v>7673</v>
      </c>
      <c r="G40" s="213" t="s">
        <v>544</v>
      </c>
      <c r="H40" s="213" t="s">
        <v>745</v>
      </c>
      <c r="I40" s="213" t="s">
        <v>746</v>
      </c>
      <c r="J40" s="213" t="s">
        <v>747</v>
      </c>
      <c r="K40" s="213" t="s">
        <v>748</v>
      </c>
      <c r="L40" s="213" t="s">
        <v>749</v>
      </c>
      <c r="M40" s="213" t="s">
        <v>750</v>
      </c>
      <c r="N40" s="213" t="s">
        <v>751</v>
      </c>
      <c r="O40" s="213" t="s">
        <v>777</v>
      </c>
      <c r="P40" s="213" t="s">
        <v>778</v>
      </c>
      <c r="Q40" s="217">
        <v>1</v>
      </c>
      <c r="R40" s="213" t="s">
        <v>754</v>
      </c>
      <c r="S40" s="213" t="s">
        <v>755</v>
      </c>
      <c r="T40" s="214">
        <v>80111620</v>
      </c>
      <c r="U40" s="213" t="s">
        <v>796</v>
      </c>
      <c r="V40" s="214">
        <v>1</v>
      </c>
      <c r="W40" s="214">
        <v>1</v>
      </c>
      <c r="X40" s="214">
        <v>330</v>
      </c>
      <c r="Y40" s="219" t="s">
        <v>757</v>
      </c>
      <c r="Z40" s="220" t="s">
        <v>758</v>
      </c>
      <c r="AA40" s="308">
        <v>82500000</v>
      </c>
      <c r="AB40" s="221">
        <v>7500000</v>
      </c>
      <c r="AC40" s="220" t="s">
        <v>797</v>
      </c>
      <c r="AD40" s="220" t="s">
        <v>781</v>
      </c>
      <c r="AE40" s="230"/>
      <c r="AF40" s="223"/>
      <c r="AG40" s="224"/>
      <c r="AH40" s="229"/>
      <c r="AI40" s="332">
        <f t="shared" si="0"/>
        <v>2500000</v>
      </c>
      <c r="AJ40" s="332">
        <f t="shared" si="1"/>
        <v>7500000</v>
      </c>
      <c r="AK40" s="332">
        <v>7500000</v>
      </c>
      <c r="AL40" s="332">
        <v>7500000</v>
      </c>
      <c r="AM40" s="302">
        <v>7500000</v>
      </c>
      <c r="AN40" s="302">
        <v>7500000</v>
      </c>
      <c r="AO40" s="302">
        <v>7500000</v>
      </c>
      <c r="AP40" s="302">
        <v>7500000</v>
      </c>
      <c r="AQ40" s="302">
        <v>7500000</v>
      </c>
      <c r="AR40" s="302">
        <v>7500000</v>
      </c>
      <c r="AS40" s="302">
        <v>7500000</v>
      </c>
      <c r="AT40" s="302">
        <f t="shared" si="2"/>
        <v>5000000</v>
      </c>
      <c r="AU40" s="299">
        <f t="shared" si="3"/>
        <v>82500000</v>
      </c>
      <c r="AV40" s="276">
        <f t="shared" si="4"/>
        <v>0</v>
      </c>
      <c r="AX40" s="273">
        <v>0</v>
      </c>
      <c r="AY40" s="273">
        <v>0</v>
      </c>
      <c r="AZ40" s="273">
        <f t="shared" si="7"/>
        <v>82500000</v>
      </c>
      <c r="BA40" s="273">
        <v>0</v>
      </c>
      <c r="BB40" s="272">
        <f t="shared" si="6"/>
        <v>82500000</v>
      </c>
    </row>
    <row r="41" spans="1:54" hidden="1">
      <c r="A41" s="213" t="s">
        <v>743</v>
      </c>
      <c r="B41" s="214" t="s">
        <v>744</v>
      </c>
      <c r="C41" s="214" t="s">
        <v>744</v>
      </c>
      <c r="D41" s="214">
        <v>401</v>
      </c>
      <c r="E41" s="215">
        <v>401</v>
      </c>
      <c r="F41" s="216">
        <v>7673</v>
      </c>
      <c r="G41" s="213" t="s">
        <v>544</v>
      </c>
      <c r="H41" s="213" t="s">
        <v>745</v>
      </c>
      <c r="I41" s="213" t="s">
        <v>746</v>
      </c>
      <c r="J41" s="213" t="s">
        <v>747</v>
      </c>
      <c r="K41" s="213" t="s">
        <v>748</v>
      </c>
      <c r="L41" s="213" t="s">
        <v>749</v>
      </c>
      <c r="M41" s="213" t="s">
        <v>750</v>
      </c>
      <c r="N41" s="213" t="s">
        <v>751</v>
      </c>
      <c r="O41" s="213" t="s">
        <v>777</v>
      </c>
      <c r="P41" s="213" t="s">
        <v>778</v>
      </c>
      <c r="Q41" s="217">
        <v>1</v>
      </c>
      <c r="R41" s="213" t="s">
        <v>771</v>
      </c>
      <c r="S41" s="213" t="s">
        <v>772</v>
      </c>
      <c r="T41" s="214">
        <v>80111620</v>
      </c>
      <c r="U41" s="213" t="s">
        <v>798</v>
      </c>
      <c r="V41" s="214">
        <v>1</v>
      </c>
      <c r="W41" s="214">
        <v>1</v>
      </c>
      <c r="X41" s="214">
        <v>330</v>
      </c>
      <c r="Y41" s="219" t="s">
        <v>757</v>
      </c>
      <c r="Z41" s="220" t="s">
        <v>758</v>
      </c>
      <c r="AA41" s="308">
        <v>33990000</v>
      </c>
      <c r="AB41" s="221">
        <v>3090000</v>
      </c>
      <c r="AC41" s="220" t="s">
        <v>799</v>
      </c>
      <c r="AD41" s="220" t="s">
        <v>781</v>
      </c>
      <c r="AE41" s="230"/>
      <c r="AF41" s="223"/>
      <c r="AG41" s="224"/>
      <c r="AH41" s="229"/>
      <c r="AI41" s="332">
        <f t="shared" si="0"/>
        <v>1030000</v>
      </c>
      <c r="AJ41" s="332">
        <f t="shared" si="1"/>
        <v>3090000</v>
      </c>
      <c r="AK41" s="332">
        <v>3090000</v>
      </c>
      <c r="AL41" s="332">
        <v>3090000</v>
      </c>
      <c r="AM41" s="302">
        <v>3090000</v>
      </c>
      <c r="AN41" s="302">
        <v>3090000</v>
      </c>
      <c r="AO41" s="302">
        <v>3090000</v>
      </c>
      <c r="AP41" s="302">
        <v>3090000</v>
      </c>
      <c r="AQ41" s="302">
        <v>3090000</v>
      </c>
      <c r="AR41" s="302">
        <v>3090000</v>
      </c>
      <c r="AS41" s="302">
        <v>3090000</v>
      </c>
      <c r="AT41" s="302">
        <f t="shared" si="2"/>
        <v>2060000</v>
      </c>
      <c r="AU41" s="299">
        <f t="shared" si="3"/>
        <v>33990000</v>
      </c>
      <c r="AV41" s="276">
        <f t="shared" si="4"/>
        <v>0</v>
      </c>
      <c r="AX41" s="273">
        <v>0</v>
      </c>
      <c r="AY41" s="273">
        <v>0</v>
      </c>
      <c r="AZ41" s="273">
        <f t="shared" si="7"/>
        <v>33990000</v>
      </c>
      <c r="BA41" s="273">
        <v>0</v>
      </c>
      <c r="BB41" s="272">
        <f t="shared" si="6"/>
        <v>33990000</v>
      </c>
    </row>
    <row r="42" spans="1:54" hidden="1">
      <c r="A42" s="213" t="s">
        <v>743</v>
      </c>
      <c r="B42" s="214" t="s">
        <v>744</v>
      </c>
      <c r="C42" s="214" t="s">
        <v>744</v>
      </c>
      <c r="D42" s="214">
        <v>402</v>
      </c>
      <c r="E42" s="215">
        <v>402</v>
      </c>
      <c r="F42" s="216">
        <v>7673</v>
      </c>
      <c r="G42" s="213" t="s">
        <v>544</v>
      </c>
      <c r="H42" s="213" t="s">
        <v>745</v>
      </c>
      <c r="I42" s="213" t="s">
        <v>746</v>
      </c>
      <c r="J42" s="213" t="s">
        <v>747</v>
      </c>
      <c r="K42" s="213" t="s">
        <v>748</v>
      </c>
      <c r="L42" s="213" t="s">
        <v>749</v>
      </c>
      <c r="M42" s="213" t="s">
        <v>750</v>
      </c>
      <c r="N42" s="213" t="s">
        <v>751</v>
      </c>
      <c r="O42" s="213" t="s">
        <v>777</v>
      </c>
      <c r="P42" s="213" t="s">
        <v>778</v>
      </c>
      <c r="Q42" s="217">
        <v>1</v>
      </c>
      <c r="R42" s="213" t="s">
        <v>771</v>
      </c>
      <c r="S42" s="213" t="s">
        <v>772</v>
      </c>
      <c r="T42" s="214">
        <v>80111620</v>
      </c>
      <c r="U42" s="213" t="s">
        <v>800</v>
      </c>
      <c r="V42" s="214">
        <v>1</v>
      </c>
      <c r="W42" s="214">
        <v>1</v>
      </c>
      <c r="X42" s="214">
        <v>330</v>
      </c>
      <c r="Y42" s="219" t="s">
        <v>757</v>
      </c>
      <c r="Z42" s="220" t="s">
        <v>758</v>
      </c>
      <c r="AA42" s="308">
        <v>56650000</v>
      </c>
      <c r="AB42" s="221">
        <v>5150000</v>
      </c>
      <c r="AC42" s="220" t="s">
        <v>801</v>
      </c>
      <c r="AD42" s="220" t="s">
        <v>781</v>
      </c>
      <c r="AE42" s="230"/>
      <c r="AF42" s="223"/>
      <c r="AG42" s="229"/>
      <c r="AH42" s="229"/>
      <c r="AI42" s="332">
        <f t="shared" si="0"/>
        <v>1716666.6666666665</v>
      </c>
      <c r="AJ42" s="332">
        <f t="shared" si="1"/>
        <v>5150000</v>
      </c>
      <c r="AK42" s="332">
        <v>5150000</v>
      </c>
      <c r="AL42" s="332">
        <v>5150000</v>
      </c>
      <c r="AM42" s="302">
        <v>5150000</v>
      </c>
      <c r="AN42" s="302">
        <v>5150000</v>
      </c>
      <c r="AO42" s="302">
        <v>5150000</v>
      </c>
      <c r="AP42" s="302">
        <v>5150000</v>
      </c>
      <c r="AQ42" s="302">
        <v>5150000</v>
      </c>
      <c r="AR42" s="302">
        <v>5150000</v>
      </c>
      <c r="AS42" s="302">
        <v>5150000</v>
      </c>
      <c r="AT42" s="302">
        <f t="shared" si="2"/>
        <v>3433333.333333333</v>
      </c>
      <c r="AU42" s="299">
        <f t="shared" si="3"/>
        <v>56650000</v>
      </c>
      <c r="AV42" s="276">
        <f t="shared" si="4"/>
        <v>0</v>
      </c>
      <c r="AX42" s="273">
        <v>0</v>
      </c>
      <c r="AY42" s="273">
        <v>0</v>
      </c>
      <c r="AZ42" s="273">
        <f t="shared" si="7"/>
        <v>56650000</v>
      </c>
      <c r="BA42" s="273">
        <v>0</v>
      </c>
      <c r="BB42" s="272">
        <f t="shared" si="6"/>
        <v>56650000</v>
      </c>
    </row>
    <row r="43" spans="1:54" hidden="1">
      <c r="A43" s="213" t="s">
        <v>743</v>
      </c>
      <c r="B43" s="214" t="s">
        <v>744</v>
      </c>
      <c r="C43" s="214" t="s">
        <v>744</v>
      </c>
      <c r="D43" s="214">
        <v>403</v>
      </c>
      <c r="E43" s="215">
        <v>403</v>
      </c>
      <c r="F43" s="216">
        <v>7673</v>
      </c>
      <c r="G43" s="213" t="s">
        <v>544</v>
      </c>
      <c r="H43" s="213" t="s">
        <v>745</v>
      </c>
      <c r="I43" s="213" t="s">
        <v>746</v>
      </c>
      <c r="J43" s="213" t="s">
        <v>747</v>
      </c>
      <c r="K43" s="213" t="s">
        <v>748</v>
      </c>
      <c r="L43" s="213" t="s">
        <v>749</v>
      </c>
      <c r="M43" s="213" t="s">
        <v>750</v>
      </c>
      <c r="N43" s="213" t="s">
        <v>751</v>
      </c>
      <c r="O43" s="213" t="s">
        <v>777</v>
      </c>
      <c r="P43" s="213" t="s">
        <v>778</v>
      </c>
      <c r="Q43" s="217">
        <v>1</v>
      </c>
      <c r="R43" s="213" t="s">
        <v>771</v>
      </c>
      <c r="S43" s="213" t="s">
        <v>772</v>
      </c>
      <c r="T43" s="214">
        <v>80111620</v>
      </c>
      <c r="U43" s="213" t="s">
        <v>800</v>
      </c>
      <c r="V43" s="214">
        <v>1</v>
      </c>
      <c r="W43" s="214">
        <v>1</v>
      </c>
      <c r="X43" s="214">
        <v>330</v>
      </c>
      <c r="Y43" s="219" t="s">
        <v>757</v>
      </c>
      <c r="Z43" s="220" t="s">
        <v>758</v>
      </c>
      <c r="AA43" s="308">
        <v>56650000</v>
      </c>
      <c r="AB43" s="221">
        <v>5150000</v>
      </c>
      <c r="AC43" s="220" t="s">
        <v>801</v>
      </c>
      <c r="AD43" s="233" t="s">
        <v>781</v>
      </c>
      <c r="AE43" s="230"/>
      <c r="AF43" s="223"/>
      <c r="AG43" s="224"/>
      <c r="AH43" s="229"/>
      <c r="AI43" s="332">
        <f t="shared" si="0"/>
        <v>1716666.6666666665</v>
      </c>
      <c r="AJ43" s="332">
        <f t="shared" si="1"/>
        <v>5150000</v>
      </c>
      <c r="AK43" s="332">
        <v>5150000</v>
      </c>
      <c r="AL43" s="332">
        <v>5150000</v>
      </c>
      <c r="AM43" s="302">
        <v>5150000</v>
      </c>
      <c r="AN43" s="302">
        <v>5150000</v>
      </c>
      <c r="AO43" s="302">
        <v>5150000</v>
      </c>
      <c r="AP43" s="302">
        <v>5150000</v>
      </c>
      <c r="AQ43" s="302">
        <v>5150000</v>
      </c>
      <c r="AR43" s="302">
        <v>5150000</v>
      </c>
      <c r="AS43" s="302">
        <v>5150000</v>
      </c>
      <c r="AT43" s="302">
        <f t="shared" si="2"/>
        <v>3433333.333333333</v>
      </c>
      <c r="AU43" s="299">
        <f t="shared" si="3"/>
        <v>56650000</v>
      </c>
      <c r="AV43" s="276">
        <f t="shared" si="4"/>
        <v>0</v>
      </c>
      <c r="AX43" s="273">
        <v>0</v>
      </c>
      <c r="AY43" s="273">
        <v>0</v>
      </c>
      <c r="AZ43" s="273">
        <f t="shared" si="7"/>
        <v>56650000</v>
      </c>
      <c r="BA43" s="273">
        <v>0</v>
      </c>
      <c r="BB43" s="272">
        <f t="shared" si="6"/>
        <v>56650000</v>
      </c>
    </row>
    <row r="44" spans="1:54" hidden="1">
      <c r="A44" s="213" t="s">
        <v>743</v>
      </c>
      <c r="B44" s="214" t="s">
        <v>744</v>
      </c>
      <c r="C44" s="214" t="s">
        <v>744</v>
      </c>
      <c r="D44" s="214">
        <v>404</v>
      </c>
      <c r="E44" s="215">
        <v>404</v>
      </c>
      <c r="F44" s="216">
        <v>7673</v>
      </c>
      <c r="G44" s="213" t="s">
        <v>544</v>
      </c>
      <c r="H44" s="213" t="s">
        <v>745</v>
      </c>
      <c r="I44" s="213" t="s">
        <v>746</v>
      </c>
      <c r="J44" s="213" t="s">
        <v>747</v>
      </c>
      <c r="K44" s="213" t="s">
        <v>748</v>
      </c>
      <c r="L44" s="213" t="s">
        <v>749</v>
      </c>
      <c r="M44" s="213" t="s">
        <v>750</v>
      </c>
      <c r="N44" s="213" t="s">
        <v>751</v>
      </c>
      <c r="O44" s="213" t="s">
        <v>777</v>
      </c>
      <c r="P44" s="213" t="s">
        <v>778</v>
      </c>
      <c r="Q44" s="217">
        <v>1</v>
      </c>
      <c r="R44" s="213" t="s">
        <v>771</v>
      </c>
      <c r="S44" s="213" t="s">
        <v>772</v>
      </c>
      <c r="T44" s="214">
        <v>80111620</v>
      </c>
      <c r="U44" s="213" t="s">
        <v>800</v>
      </c>
      <c r="V44" s="214">
        <v>1</v>
      </c>
      <c r="W44" s="214">
        <v>1</v>
      </c>
      <c r="X44" s="214">
        <v>330</v>
      </c>
      <c r="Y44" s="219" t="s">
        <v>757</v>
      </c>
      <c r="Z44" s="220" t="s">
        <v>758</v>
      </c>
      <c r="AA44" s="308">
        <v>56650000</v>
      </c>
      <c r="AB44" s="221">
        <v>5150000</v>
      </c>
      <c r="AC44" s="220" t="s">
        <v>801</v>
      </c>
      <c r="AD44" s="220" t="s">
        <v>781</v>
      </c>
      <c r="AE44" s="230"/>
      <c r="AF44" s="223"/>
      <c r="AG44" s="224"/>
      <c r="AH44" s="229"/>
      <c r="AI44" s="332">
        <f t="shared" si="0"/>
        <v>1716666.6666666665</v>
      </c>
      <c r="AJ44" s="332">
        <f t="shared" si="1"/>
        <v>5150000</v>
      </c>
      <c r="AK44" s="332">
        <v>5150000</v>
      </c>
      <c r="AL44" s="332">
        <v>5150000</v>
      </c>
      <c r="AM44" s="302">
        <v>5150000</v>
      </c>
      <c r="AN44" s="302">
        <v>5150000</v>
      </c>
      <c r="AO44" s="302">
        <v>5150000</v>
      </c>
      <c r="AP44" s="302">
        <v>5150000</v>
      </c>
      <c r="AQ44" s="302">
        <v>5150000</v>
      </c>
      <c r="AR44" s="302">
        <v>5150000</v>
      </c>
      <c r="AS44" s="302">
        <v>5150000</v>
      </c>
      <c r="AT44" s="302">
        <f t="shared" si="2"/>
        <v>3433333.333333333</v>
      </c>
      <c r="AU44" s="299">
        <f t="shared" si="3"/>
        <v>56650000</v>
      </c>
      <c r="AV44" s="276">
        <f t="shared" si="4"/>
        <v>0</v>
      </c>
      <c r="AX44" s="273">
        <v>0</v>
      </c>
      <c r="AY44" s="273">
        <v>0</v>
      </c>
      <c r="AZ44" s="273">
        <f t="shared" si="7"/>
        <v>56650000</v>
      </c>
      <c r="BA44" s="273">
        <v>0</v>
      </c>
      <c r="BB44" s="272">
        <f t="shared" si="6"/>
        <v>56650000</v>
      </c>
    </row>
    <row r="45" spans="1:54" hidden="1">
      <c r="A45" s="213" t="s">
        <v>743</v>
      </c>
      <c r="B45" s="214" t="s">
        <v>744</v>
      </c>
      <c r="C45" s="214" t="s">
        <v>744</v>
      </c>
      <c r="D45" s="214">
        <v>405</v>
      </c>
      <c r="E45" s="215">
        <v>405</v>
      </c>
      <c r="F45" s="216">
        <v>7673</v>
      </c>
      <c r="G45" s="213" t="s">
        <v>544</v>
      </c>
      <c r="H45" s="213" t="s">
        <v>745</v>
      </c>
      <c r="I45" s="213" t="s">
        <v>746</v>
      </c>
      <c r="J45" s="213" t="s">
        <v>747</v>
      </c>
      <c r="K45" s="213" t="s">
        <v>748</v>
      </c>
      <c r="L45" s="213" t="s">
        <v>749</v>
      </c>
      <c r="M45" s="213" t="s">
        <v>750</v>
      </c>
      <c r="N45" s="213" t="s">
        <v>751</v>
      </c>
      <c r="O45" s="213" t="s">
        <v>777</v>
      </c>
      <c r="P45" s="213" t="s">
        <v>778</v>
      </c>
      <c r="Q45" s="217">
        <v>1</v>
      </c>
      <c r="R45" s="213" t="s">
        <v>771</v>
      </c>
      <c r="S45" s="213" t="s">
        <v>772</v>
      </c>
      <c r="T45" s="214">
        <v>80111620</v>
      </c>
      <c r="U45" s="213" t="s">
        <v>800</v>
      </c>
      <c r="V45" s="214">
        <v>1</v>
      </c>
      <c r="W45" s="214">
        <v>1</v>
      </c>
      <c r="X45" s="214">
        <v>330</v>
      </c>
      <c r="Y45" s="219" t="s">
        <v>757</v>
      </c>
      <c r="Z45" s="220" t="s">
        <v>758</v>
      </c>
      <c r="AA45" s="308">
        <v>56650000</v>
      </c>
      <c r="AB45" s="221">
        <v>5150000</v>
      </c>
      <c r="AC45" s="220" t="s">
        <v>801</v>
      </c>
      <c r="AD45" s="220" t="s">
        <v>781</v>
      </c>
      <c r="AE45" s="232"/>
      <c r="AF45" s="223"/>
      <c r="AG45" s="224"/>
      <c r="AH45" s="229"/>
      <c r="AI45" s="332">
        <f t="shared" si="0"/>
        <v>1716666.6666666665</v>
      </c>
      <c r="AJ45" s="332">
        <f t="shared" si="1"/>
        <v>5150000</v>
      </c>
      <c r="AK45" s="332">
        <v>5150000</v>
      </c>
      <c r="AL45" s="332">
        <v>5150000</v>
      </c>
      <c r="AM45" s="302">
        <v>5150000</v>
      </c>
      <c r="AN45" s="302">
        <v>5150000</v>
      </c>
      <c r="AO45" s="302">
        <v>5150000</v>
      </c>
      <c r="AP45" s="302">
        <v>5150000</v>
      </c>
      <c r="AQ45" s="302">
        <v>5150000</v>
      </c>
      <c r="AR45" s="302">
        <v>5150000</v>
      </c>
      <c r="AS45" s="302">
        <v>5150000</v>
      </c>
      <c r="AT45" s="302">
        <f t="shared" si="2"/>
        <v>3433333.333333333</v>
      </c>
      <c r="AU45" s="299">
        <f t="shared" si="3"/>
        <v>56650000</v>
      </c>
      <c r="AV45" s="276">
        <f t="shared" si="4"/>
        <v>0</v>
      </c>
      <c r="AX45" s="273">
        <v>0</v>
      </c>
      <c r="AY45" s="273">
        <v>0</v>
      </c>
      <c r="AZ45" s="273">
        <f t="shared" si="7"/>
        <v>56650000</v>
      </c>
      <c r="BA45" s="273">
        <v>0</v>
      </c>
      <c r="BB45" s="272">
        <f t="shared" si="6"/>
        <v>56650000</v>
      </c>
    </row>
    <row r="46" spans="1:54" hidden="1">
      <c r="A46" s="213" t="s">
        <v>743</v>
      </c>
      <c r="B46" s="214" t="s">
        <v>744</v>
      </c>
      <c r="C46" s="214" t="s">
        <v>744</v>
      </c>
      <c r="D46" s="214">
        <v>406</v>
      </c>
      <c r="E46" s="215">
        <v>406</v>
      </c>
      <c r="F46" s="216">
        <v>7673</v>
      </c>
      <c r="G46" s="213" t="s">
        <v>544</v>
      </c>
      <c r="H46" s="213" t="s">
        <v>745</v>
      </c>
      <c r="I46" s="213" t="s">
        <v>746</v>
      </c>
      <c r="J46" s="213" t="s">
        <v>747</v>
      </c>
      <c r="K46" s="213" t="s">
        <v>748</v>
      </c>
      <c r="L46" s="213" t="s">
        <v>749</v>
      </c>
      <c r="M46" s="213" t="s">
        <v>750</v>
      </c>
      <c r="N46" s="213" t="s">
        <v>751</v>
      </c>
      <c r="O46" s="213" t="s">
        <v>777</v>
      </c>
      <c r="P46" s="213" t="s">
        <v>778</v>
      </c>
      <c r="Q46" s="217">
        <v>1</v>
      </c>
      <c r="R46" s="213" t="s">
        <v>771</v>
      </c>
      <c r="S46" s="213" t="s">
        <v>772</v>
      </c>
      <c r="T46" s="214">
        <v>80111620</v>
      </c>
      <c r="U46" s="213" t="s">
        <v>800</v>
      </c>
      <c r="V46" s="214">
        <v>1</v>
      </c>
      <c r="W46" s="214">
        <v>1</v>
      </c>
      <c r="X46" s="214">
        <v>330</v>
      </c>
      <c r="Y46" s="219" t="s">
        <v>757</v>
      </c>
      <c r="Z46" s="220" t="s">
        <v>758</v>
      </c>
      <c r="AA46" s="308">
        <v>56650000</v>
      </c>
      <c r="AB46" s="221">
        <v>5150000</v>
      </c>
      <c r="AC46" s="220" t="s">
        <v>801</v>
      </c>
      <c r="AD46" s="220" t="s">
        <v>781</v>
      </c>
      <c r="AE46" s="230"/>
      <c r="AF46" s="223"/>
      <c r="AG46" s="224"/>
      <c r="AH46" s="229"/>
      <c r="AI46" s="332">
        <f t="shared" si="0"/>
        <v>1716666.6666666665</v>
      </c>
      <c r="AJ46" s="332">
        <f t="shared" si="1"/>
        <v>5150000</v>
      </c>
      <c r="AK46" s="332">
        <v>5150000</v>
      </c>
      <c r="AL46" s="332">
        <v>5150000</v>
      </c>
      <c r="AM46" s="302">
        <v>5150000</v>
      </c>
      <c r="AN46" s="302">
        <v>5150000</v>
      </c>
      <c r="AO46" s="302">
        <v>5150000</v>
      </c>
      <c r="AP46" s="302">
        <v>5150000</v>
      </c>
      <c r="AQ46" s="302">
        <v>5150000</v>
      </c>
      <c r="AR46" s="302">
        <v>5150000</v>
      </c>
      <c r="AS46" s="302">
        <v>5150000</v>
      </c>
      <c r="AT46" s="302">
        <f t="shared" si="2"/>
        <v>3433333.333333333</v>
      </c>
      <c r="AU46" s="299">
        <f t="shared" si="3"/>
        <v>56650000</v>
      </c>
      <c r="AV46" s="276">
        <f t="shared" si="4"/>
        <v>0</v>
      </c>
      <c r="AX46" s="273">
        <v>0</v>
      </c>
      <c r="AY46" s="273">
        <v>0</v>
      </c>
      <c r="AZ46" s="273">
        <f t="shared" si="7"/>
        <v>56650000</v>
      </c>
      <c r="BA46" s="273">
        <v>0</v>
      </c>
      <c r="BB46" s="272">
        <f t="shared" si="6"/>
        <v>56650000</v>
      </c>
    </row>
    <row r="47" spans="1:54" hidden="1">
      <c r="A47" s="213" t="s">
        <v>743</v>
      </c>
      <c r="B47" s="214" t="s">
        <v>744</v>
      </c>
      <c r="C47" s="214" t="s">
        <v>744</v>
      </c>
      <c r="D47" s="214">
        <v>407</v>
      </c>
      <c r="E47" s="215">
        <v>407</v>
      </c>
      <c r="F47" s="216">
        <v>7673</v>
      </c>
      <c r="G47" s="213" t="s">
        <v>544</v>
      </c>
      <c r="H47" s="213" t="s">
        <v>745</v>
      </c>
      <c r="I47" s="213" t="s">
        <v>746</v>
      </c>
      <c r="J47" s="213" t="s">
        <v>747</v>
      </c>
      <c r="K47" s="213" t="s">
        <v>748</v>
      </c>
      <c r="L47" s="213" t="s">
        <v>749</v>
      </c>
      <c r="M47" s="213" t="s">
        <v>750</v>
      </c>
      <c r="N47" s="213" t="s">
        <v>751</v>
      </c>
      <c r="O47" s="213" t="s">
        <v>777</v>
      </c>
      <c r="P47" s="213" t="s">
        <v>778</v>
      </c>
      <c r="Q47" s="217">
        <v>1</v>
      </c>
      <c r="R47" s="213" t="s">
        <v>771</v>
      </c>
      <c r="S47" s="213" t="s">
        <v>772</v>
      </c>
      <c r="T47" s="214">
        <v>80111620</v>
      </c>
      <c r="U47" s="213" t="s">
        <v>800</v>
      </c>
      <c r="V47" s="214">
        <v>1</v>
      </c>
      <c r="W47" s="214">
        <v>1</v>
      </c>
      <c r="X47" s="214">
        <v>330</v>
      </c>
      <c r="Y47" s="219" t="s">
        <v>757</v>
      </c>
      <c r="Z47" s="220" t="s">
        <v>758</v>
      </c>
      <c r="AA47" s="308">
        <v>56650000</v>
      </c>
      <c r="AB47" s="221">
        <v>5150000</v>
      </c>
      <c r="AC47" s="220" t="s">
        <v>801</v>
      </c>
      <c r="AD47" s="220" t="s">
        <v>781</v>
      </c>
      <c r="AE47" s="232"/>
      <c r="AF47" s="223"/>
      <c r="AG47" s="224"/>
      <c r="AH47" s="229"/>
      <c r="AI47" s="332">
        <f t="shared" si="0"/>
        <v>1716666.6666666665</v>
      </c>
      <c r="AJ47" s="332">
        <f t="shared" si="1"/>
        <v>5150000</v>
      </c>
      <c r="AK47" s="332">
        <v>5150000</v>
      </c>
      <c r="AL47" s="332">
        <v>5150000</v>
      </c>
      <c r="AM47" s="302">
        <v>5150000</v>
      </c>
      <c r="AN47" s="302">
        <v>5150000</v>
      </c>
      <c r="AO47" s="302">
        <v>5150000</v>
      </c>
      <c r="AP47" s="302">
        <v>5150000</v>
      </c>
      <c r="AQ47" s="302">
        <v>5150000</v>
      </c>
      <c r="AR47" s="302">
        <v>5150000</v>
      </c>
      <c r="AS47" s="302">
        <v>5150000</v>
      </c>
      <c r="AT47" s="302">
        <f t="shared" si="2"/>
        <v>3433333.333333333</v>
      </c>
      <c r="AU47" s="299">
        <f t="shared" si="3"/>
        <v>56650000</v>
      </c>
      <c r="AV47" s="276">
        <f t="shared" si="4"/>
        <v>0</v>
      </c>
      <c r="AX47" s="273">
        <v>0</v>
      </c>
      <c r="AY47" s="273">
        <v>0</v>
      </c>
      <c r="AZ47" s="273">
        <f t="shared" si="7"/>
        <v>56650000</v>
      </c>
      <c r="BA47" s="273">
        <v>0</v>
      </c>
      <c r="BB47" s="272">
        <f t="shared" si="6"/>
        <v>56650000</v>
      </c>
    </row>
    <row r="48" spans="1:54" hidden="1">
      <c r="A48" s="213" t="s">
        <v>743</v>
      </c>
      <c r="B48" s="214" t="s">
        <v>744</v>
      </c>
      <c r="C48" s="214" t="s">
        <v>744</v>
      </c>
      <c r="D48" s="214">
        <v>408</v>
      </c>
      <c r="E48" s="215">
        <v>408</v>
      </c>
      <c r="F48" s="216">
        <v>7673</v>
      </c>
      <c r="G48" s="213" t="s">
        <v>544</v>
      </c>
      <c r="H48" s="213" t="s">
        <v>745</v>
      </c>
      <c r="I48" s="213" t="s">
        <v>746</v>
      </c>
      <c r="J48" s="213" t="s">
        <v>747</v>
      </c>
      <c r="K48" s="213" t="s">
        <v>748</v>
      </c>
      <c r="L48" s="213" t="s">
        <v>749</v>
      </c>
      <c r="M48" s="213" t="s">
        <v>750</v>
      </c>
      <c r="N48" s="213" t="s">
        <v>751</v>
      </c>
      <c r="O48" s="213" t="s">
        <v>777</v>
      </c>
      <c r="P48" s="213" t="s">
        <v>778</v>
      </c>
      <c r="Q48" s="217">
        <v>1</v>
      </c>
      <c r="R48" s="213" t="s">
        <v>771</v>
      </c>
      <c r="S48" s="213" t="s">
        <v>772</v>
      </c>
      <c r="T48" s="214">
        <v>80111620</v>
      </c>
      <c r="U48" s="213" t="s">
        <v>800</v>
      </c>
      <c r="V48" s="214">
        <v>1</v>
      </c>
      <c r="W48" s="214">
        <v>1</v>
      </c>
      <c r="X48" s="214">
        <v>330</v>
      </c>
      <c r="Y48" s="219" t="s">
        <v>757</v>
      </c>
      <c r="Z48" s="220" t="s">
        <v>758</v>
      </c>
      <c r="AA48" s="308">
        <v>56650000</v>
      </c>
      <c r="AB48" s="221">
        <v>5150000</v>
      </c>
      <c r="AC48" s="220" t="s">
        <v>801</v>
      </c>
      <c r="AD48" s="220" t="s">
        <v>781</v>
      </c>
      <c r="AE48" s="230"/>
      <c r="AF48" s="223"/>
      <c r="AG48" s="224"/>
      <c r="AH48" s="229"/>
      <c r="AI48" s="332">
        <f t="shared" si="0"/>
        <v>1716666.6666666665</v>
      </c>
      <c r="AJ48" s="332">
        <f t="shared" si="1"/>
        <v>5150000</v>
      </c>
      <c r="AK48" s="332">
        <v>5150000</v>
      </c>
      <c r="AL48" s="332">
        <v>5150000</v>
      </c>
      <c r="AM48" s="302">
        <v>5150000</v>
      </c>
      <c r="AN48" s="302">
        <v>5150000</v>
      </c>
      <c r="AO48" s="302">
        <v>5150000</v>
      </c>
      <c r="AP48" s="302">
        <v>5150000</v>
      </c>
      <c r="AQ48" s="302">
        <v>5150000</v>
      </c>
      <c r="AR48" s="302">
        <v>5150000</v>
      </c>
      <c r="AS48" s="302">
        <v>5150000</v>
      </c>
      <c r="AT48" s="302">
        <f t="shared" si="2"/>
        <v>3433333.333333333</v>
      </c>
      <c r="AU48" s="299">
        <f t="shared" si="3"/>
        <v>56650000</v>
      </c>
      <c r="AV48" s="276">
        <f t="shared" si="4"/>
        <v>0</v>
      </c>
      <c r="AX48" s="273">
        <v>0</v>
      </c>
      <c r="AY48" s="273">
        <v>0</v>
      </c>
      <c r="AZ48" s="273">
        <f t="shared" si="7"/>
        <v>56650000</v>
      </c>
      <c r="BA48" s="273">
        <v>0</v>
      </c>
      <c r="BB48" s="272">
        <f t="shared" si="6"/>
        <v>56650000</v>
      </c>
    </row>
    <row r="49" spans="1:54" hidden="1">
      <c r="A49" s="213" t="s">
        <v>743</v>
      </c>
      <c r="B49" s="214" t="s">
        <v>744</v>
      </c>
      <c r="C49" s="214" t="s">
        <v>744</v>
      </c>
      <c r="D49" s="214">
        <v>409</v>
      </c>
      <c r="E49" s="215">
        <v>409</v>
      </c>
      <c r="F49" s="216">
        <v>7673</v>
      </c>
      <c r="G49" s="213" t="s">
        <v>544</v>
      </c>
      <c r="H49" s="213" t="s">
        <v>745</v>
      </c>
      <c r="I49" s="213" t="s">
        <v>746</v>
      </c>
      <c r="J49" s="213" t="s">
        <v>747</v>
      </c>
      <c r="K49" s="213" t="s">
        <v>748</v>
      </c>
      <c r="L49" s="213" t="s">
        <v>749</v>
      </c>
      <c r="M49" s="213" t="s">
        <v>750</v>
      </c>
      <c r="N49" s="213" t="s">
        <v>751</v>
      </c>
      <c r="O49" s="213" t="s">
        <v>777</v>
      </c>
      <c r="P49" s="213" t="s">
        <v>778</v>
      </c>
      <c r="Q49" s="217">
        <v>1</v>
      </c>
      <c r="R49" s="213" t="s">
        <v>771</v>
      </c>
      <c r="S49" s="213" t="s">
        <v>772</v>
      </c>
      <c r="T49" s="214">
        <v>80111620</v>
      </c>
      <c r="U49" s="213" t="s">
        <v>800</v>
      </c>
      <c r="V49" s="214">
        <v>1</v>
      </c>
      <c r="W49" s="214">
        <v>1</v>
      </c>
      <c r="X49" s="214">
        <v>330</v>
      </c>
      <c r="Y49" s="219" t="s">
        <v>757</v>
      </c>
      <c r="Z49" s="220" t="s">
        <v>758</v>
      </c>
      <c r="AA49" s="308">
        <v>56650000</v>
      </c>
      <c r="AB49" s="221">
        <v>5150000</v>
      </c>
      <c r="AC49" s="220" t="s">
        <v>801</v>
      </c>
      <c r="AD49" s="220" t="s">
        <v>781</v>
      </c>
      <c r="AE49" s="230"/>
      <c r="AF49" s="223"/>
      <c r="AG49" s="224"/>
      <c r="AH49" s="229"/>
      <c r="AI49" s="332">
        <f t="shared" si="0"/>
        <v>1716666.6666666665</v>
      </c>
      <c r="AJ49" s="332">
        <f t="shared" si="1"/>
        <v>5150000</v>
      </c>
      <c r="AK49" s="332">
        <v>5150000</v>
      </c>
      <c r="AL49" s="332">
        <v>5150000</v>
      </c>
      <c r="AM49" s="302">
        <v>5150000</v>
      </c>
      <c r="AN49" s="302">
        <v>5150000</v>
      </c>
      <c r="AO49" s="302">
        <v>5150000</v>
      </c>
      <c r="AP49" s="302">
        <v>5150000</v>
      </c>
      <c r="AQ49" s="302">
        <v>5150000</v>
      </c>
      <c r="AR49" s="302">
        <v>5150000</v>
      </c>
      <c r="AS49" s="302">
        <v>5150000</v>
      </c>
      <c r="AT49" s="302">
        <f t="shared" si="2"/>
        <v>3433333.333333333</v>
      </c>
      <c r="AU49" s="299">
        <f t="shared" si="3"/>
        <v>56650000</v>
      </c>
      <c r="AV49" s="276">
        <f t="shared" si="4"/>
        <v>0</v>
      </c>
      <c r="AX49" s="273">
        <v>0</v>
      </c>
      <c r="AY49" s="273">
        <v>0</v>
      </c>
      <c r="AZ49" s="273">
        <f t="shared" si="7"/>
        <v>56650000</v>
      </c>
      <c r="BA49" s="273">
        <v>0</v>
      </c>
      <c r="BB49" s="272">
        <f t="shared" si="6"/>
        <v>56650000</v>
      </c>
    </row>
    <row r="50" spans="1:54" hidden="1">
      <c r="A50" s="213" t="s">
        <v>743</v>
      </c>
      <c r="B50" s="214" t="s">
        <v>744</v>
      </c>
      <c r="C50" s="214" t="s">
        <v>744</v>
      </c>
      <c r="D50" s="214">
        <v>410</v>
      </c>
      <c r="E50" s="215">
        <v>410</v>
      </c>
      <c r="F50" s="216">
        <v>7673</v>
      </c>
      <c r="G50" s="213" t="s">
        <v>544</v>
      </c>
      <c r="H50" s="213" t="s">
        <v>745</v>
      </c>
      <c r="I50" s="213" t="s">
        <v>746</v>
      </c>
      <c r="J50" s="213" t="s">
        <v>747</v>
      </c>
      <c r="K50" s="213" t="s">
        <v>748</v>
      </c>
      <c r="L50" s="213" t="s">
        <v>749</v>
      </c>
      <c r="M50" s="213" t="s">
        <v>750</v>
      </c>
      <c r="N50" s="213" t="s">
        <v>751</v>
      </c>
      <c r="O50" s="213" t="s">
        <v>777</v>
      </c>
      <c r="P50" s="213" t="s">
        <v>778</v>
      </c>
      <c r="Q50" s="217">
        <v>1</v>
      </c>
      <c r="R50" s="213" t="s">
        <v>771</v>
      </c>
      <c r="S50" s="213" t="s">
        <v>772</v>
      </c>
      <c r="T50" s="214">
        <v>80111620</v>
      </c>
      <c r="U50" s="213" t="s">
        <v>800</v>
      </c>
      <c r="V50" s="214">
        <v>1</v>
      </c>
      <c r="W50" s="214">
        <v>1</v>
      </c>
      <c r="X50" s="214">
        <v>330</v>
      </c>
      <c r="Y50" s="219" t="s">
        <v>757</v>
      </c>
      <c r="Z50" s="220" t="s">
        <v>758</v>
      </c>
      <c r="AA50" s="308">
        <v>56650000</v>
      </c>
      <c r="AB50" s="221">
        <v>5150000</v>
      </c>
      <c r="AC50" s="220" t="s">
        <v>801</v>
      </c>
      <c r="AD50" s="220" t="s">
        <v>781</v>
      </c>
      <c r="AE50" s="230"/>
      <c r="AF50" s="223"/>
      <c r="AG50" s="224"/>
      <c r="AH50" s="229"/>
      <c r="AI50" s="332">
        <f t="shared" si="0"/>
        <v>1716666.6666666665</v>
      </c>
      <c r="AJ50" s="332">
        <f t="shared" si="1"/>
        <v>5150000</v>
      </c>
      <c r="AK50" s="332">
        <v>5150000</v>
      </c>
      <c r="AL50" s="332">
        <v>5150000</v>
      </c>
      <c r="AM50" s="302">
        <v>5150000</v>
      </c>
      <c r="AN50" s="302">
        <v>5150000</v>
      </c>
      <c r="AO50" s="302">
        <v>5150000</v>
      </c>
      <c r="AP50" s="302">
        <v>5150000</v>
      </c>
      <c r="AQ50" s="302">
        <v>5150000</v>
      </c>
      <c r="AR50" s="302">
        <v>5150000</v>
      </c>
      <c r="AS50" s="302">
        <v>5150000</v>
      </c>
      <c r="AT50" s="302">
        <f t="shared" si="2"/>
        <v>3433333.333333333</v>
      </c>
      <c r="AU50" s="299">
        <f t="shared" si="3"/>
        <v>56650000</v>
      </c>
      <c r="AV50" s="276">
        <f t="shared" si="4"/>
        <v>0</v>
      </c>
      <c r="AX50" s="273">
        <v>0</v>
      </c>
      <c r="AY50" s="273">
        <v>0</v>
      </c>
      <c r="AZ50" s="273">
        <f t="shared" si="7"/>
        <v>56650000</v>
      </c>
      <c r="BA50" s="273">
        <v>0</v>
      </c>
      <c r="BB50" s="272">
        <f t="shared" si="6"/>
        <v>56650000</v>
      </c>
    </row>
    <row r="51" spans="1:54" hidden="1">
      <c r="A51" s="213" t="s">
        <v>743</v>
      </c>
      <c r="B51" s="214" t="s">
        <v>744</v>
      </c>
      <c r="C51" s="214" t="s">
        <v>744</v>
      </c>
      <c r="D51" s="214">
        <v>411</v>
      </c>
      <c r="E51" s="215">
        <v>411</v>
      </c>
      <c r="F51" s="216">
        <v>7673</v>
      </c>
      <c r="G51" s="213" t="s">
        <v>544</v>
      </c>
      <c r="H51" s="213" t="s">
        <v>745</v>
      </c>
      <c r="I51" s="213" t="s">
        <v>746</v>
      </c>
      <c r="J51" s="213" t="s">
        <v>747</v>
      </c>
      <c r="K51" s="213" t="s">
        <v>748</v>
      </c>
      <c r="L51" s="213" t="s">
        <v>749</v>
      </c>
      <c r="M51" s="213" t="s">
        <v>750</v>
      </c>
      <c r="N51" s="213" t="s">
        <v>751</v>
      </c>
      <c r="O51" s="213" t="s">
        <v>777</v>
      </c>
      <c r="P51" s="213" t="s">
        <v>778</v>
      </c>
      <c r="Q51" s="217">
        <v>1</v>
      </c>
      <c r="R51" s="213" t="s">
        <v>771</v>
      </c>
      <c r="S51" s="213" t="s">
        <v>772</v>
      </c>
      <c r="T51" s="214">
        <v>80111620</v>
      </c>
      <c r="U51" s="213" t="s">
        <v>800</v>
      </c>
      <c r="V51" s="214">
        <v>1</v>
      </c>
      <c r="W51" s="214">
        <v>1</v>
      </c>
      <c r="X51" s="214">
        <v>330</v>
      </c>
      <c r="Y51" s="219" t="s">
        <v>757</v>
      </c>
      <c r="Z51" s="220" t="s">
        <v>758</v>
      </c>
      <c r="AA51" s="308">
        <v>56650000</v>
      </c>
      <c r="AB51" s="221">
        <v>5150000</v>
      </c>
      <c r="AC51" s="220" t="s">
        <v>801</v>
      </c>
      <c r="AD51" s="220" t="s">
        <v>781</v>
      </c>
      <c r="AE51" s="230"/>
      <c r="AF51" s="223"/>
      <c r="AG51" s="226"/>
      <c r="AH51" s="226"/>
      <c r="AI51" s="332">
        <f t="shared" si="0"/>
        <v>1716666.6666666665</v>
      </c>
      <c r="AJ51" s="332">
        <f t="shared" si="1"/>
        <v>5150000</v>
      </c>
      <c r="AK51" s="332">
        <v>5150000</v>
      </c>
      <c r="AL51" s="332">
        <v>5150000</v>
      </c>
      <c r="AM51" s="302">
        <v>5150000</v>
      </c>
      <c r="AN51" s="302">
        <v>5150000</v>
      </c>
      <c r="AO51" s="302">
        <v>5150000</v>
      </c>
      <c r="AP51" s="302">
        <v>5150000</v>
      </c>
      <c r="AQ51" s="302">
        <v>5150000</v>
      </c>
      <c r="AR51" s="302">
        <v>5150000</v>
      </c>
      <c r="AS51" s="302">
        <v>5150000</v>
      </c>
      <c r="AT51" s="302">
        <f t="shared" si="2"/>
        <v>3433333.333333333</v>
      </c>
      <c r="AU51" s="299">
        <f t="shared" si="3"/>
        <v>56650000</v>
      </c>
      <c r="AV51" s="276">
        <f t="shared" si="4"/>
        <v>0</v>
      </c>
      <c r="AX51" s="273">
        <v>0</v>
      </c>
      <c r="AY51" s="273">
        <v>0</v>
      </c>
      <c r="AZ51" s="273">
        <f t="shared" si="7"/>
        <v>56650000</v>
      </c>
      <c r="BA51" s="273">
        <v>0</v>
      </c>
      <c r="BB51" s="272">
        <f t="shared" si="6"/>
        <v>56650000</v>
      </c>
    </row>
    <row r="52" spans="1:54" hidden="1">
      <c r="A52" s="213" t="s">
        <v>743</v>
      </c>
      <c r="B52" s="214" t="s">
        <v>744</v>
      </c>
      <c r="C52" s="214" t="s">
        <v>744</v>
      </c>
      <c r="D52" s="214">
        <v>412</v>
      </c>
      <c r="E52" s="215">
        <v>412</v>
      </c>
      <c r="F52" s="216">
        <v>7673</v>
      </c>
      <c r="G52" s="213" t="s">
        <v>544</v>
      </c>
      <c r="H52" s="213" t="s">
        <v>745</v>
      </c>
      <c r="I52" s="213" t="s">
        <v>746</v>
      </c>
      <c r="J52" s="213" t="s">
        <v>747</v>
      </c>
      <c r="K52" s="213" t="s">
        <v>748</v>
      </c>
      <c r="L52" s="213" t="s">
        <v>749</v>
      </c>
      <c r="M52" s="213" t="s">
        <v>750</v>
      </c>
      <c r="N52" s="213" t="s">
        <v>751</v>
      </c>
      <c r="O52" s="213" t="s">
        <v>777</v>
      </c>
      <c r="P52" s="213" t="s">
        <v>778</v>
      </c>
      <c r="Q52" s="217">
        <v>1</v>
      </c>
      <c r="R52" s="213" t="s">
        <v>754</v>
      </c>
      <c r="S52" s="213" t="s">
        <v>755</v>
      </c>
      <c r="T52" s="214">
        <v>80111600</v>
      </c>
      <c r="U52" s="213" t="s">
        <v>802</v>
      </c>
      <c r="V52" s="214">
        <v>1</v>
      </c>
      <c r="W52" s="214">
        <v>1</v>
      </c>
      <c r="X52" s="214">
        <v>330</v>
      </c>
      <c r="Y52" s="219" t="s">
        <v>757</v>
      </c>
      <c r="Z52" s="220" t="s">
        <v>758</v>
      </c>
      <c r="AA52" s="308">
        <v>88000000</v>
      </c>
      <c r="AB52" s="221">
        <v>8000000</v>
      </c>
      <c r="AC52" s="220" t="s">
        <v>803</v>
      </c>
      <c r="AD52" s="220" t="s">
        <v>804</v>
      </c>
      <c r="AE52" s="230"/>
      <c r="AF52" s="223"/>
      <c r="AG52" s="226"/>
      <c r="AH52" s="226"/>
      <c r="AI52" s="332">
        <f t="shared" si="0"/>
        <v>2666666.666666667</v>
      </c>
      <c r="AJ52" s="332">
        <f t="shared" si="1"/>
        <v>8000000</v>
      </c>
      <c r="AK52" s="332">
        <v>8000000</v>
      </c>
      <c r="AL52" s="332">
        <v>8000000</v>
      </c>
      <c r="AM52" s="302">
        <v>8000000</v>
      </c>
      <c r="AN52" s="302">
        <v>8000000</v>
      </c>
      <c r="AO52" s="302">
        <v>8000000</v>
      </c>
      <c r="AP52" s="302">
        <v>8000000</v>
      </c>
      <c r="AQ52" s="302">
        <v>8000000</v>
      </c>
      <c r="AR52" s="302">
        <v>8000000</v>
      </c>
      <c r="AS52" s="302">
        <v>8000000</v>
      </c>
      <c r="AT52" s="302">
        <f t="shared" si="2"/>
        <v>5333333.333333334</v>
      </c>
      <c r="AU52" s="299">
        <f t="shared" si="3"/>
        <v>88000000</v>
      </c>
      <c r="AV52" s="276">
        <f t="shared" si="4"/>
        <v>0</v>
      </c>
      <c r="AX52" s="273">
        <v>0</v>
      </c>
      <c r="AY52" s="273">
        <v>0</v>
      </c>
      <c r="AZ52" s="273">
        <f t="shared" si="7"/>
        <v>88000000</v>
      </c>
      <c r="BA52" s="273">
        <v>0</v>
      </c>
      <c r="BB52" s="272">
        <f t="shared" si="6"/>
        <v>88000000</v>
      </c>
    </row>
    <row r="53" spans="1:54" s="257" customFormat="1">
      <c r="A53" s="247" t="s">
        <v>743</v>
      </c>
      <c r="B53" s="248" t="s">
        <v>744</v>
      </c>
      <c r="C53" s="248" t="s">
        <v>744</v>
      </c>
      <c r="D53" s="248">
        <v>413</v>
      </c>
      <c r="E53" s="248">
        <v>413</v>
      </c>
      <c r="F53" s="249">
        <v>7673</v>
      </c>
      <c r="G53" s="247" t="s">
        <v>544</v>
      </c>
      <c r="H53" s="247" t="s">
        <v>805</v>
      </c>
      <c r="I53" s="247" t="s">
        <v>806</v>
      </c>
      <c r="J53" s="247" t="s">
        <v>747</v>
      </c>
      <c r="K53" s="247" t="s">
        <v>748</v>
      </c>
      <c r="L53" s="247" t="s">
        <v>749</v>
      </c>
      <c r="M53" s="247" t="s">
        <v>750</v>
      </c>
      <c r="N53" s="247" t="s">
        <v>751</v>
      </c>
      <c r="O53" s="247" t="s">
        <v>752</v>
      </c>
      <c r="P53" s="247" t="s">
        <v>753</v>
      </c>
      <c r="Q53" s="250">
        <v>1</v>
      </c>
      <c r="R53" s="247" t="s">
        <v>807</v>
      </c>
      <c r="S53" s="247" t="s">
        <v>808</v>
      </c>
      <c r="T53" s="248">
        <v>72151605</v>
      </c>
      <c r="U53" s="247" t="s">
        <v>809</v>
      </c>
      <c r="V53" s="248">
        <v>3</v>
      </c>
      <c r="W53" s="248">
        <v>5</v>
      </c>
      <c r="X53" s="248">
        <v>210</v>
      </c>
      <c r="Y53" s="247" t="s">
        <v>810</v>
      </c>
      <c r="Z53" s="251" t="s">
        <v>758</v>
      </c>
      <c r="AA53" s="354">
        <v>157760500</v>
      </c>
      <c r="AB53" s="252">
        <v>22537214.285714287</v>
      </c>
      <c r="AC53" s="251" t="s">
        <v>811</v>
      </c>
      <c r="AD53" s="251" t="s">
        <v>812</v>
      </c>
      <c r="AE53" s="253"/>
      <c r="AF53" s="254"/>
      <c r="AG53" s="255"/>
      <c r="AH53" s="277"/>
      <c r="AI53" s="333">
        <v>0</v>
      </c>
      <c r="AJ53" s="333">
        <v>0</v>
      </c>
      <c r="AK53" s="333">
        <v>0</v>
      </c>
      <c r="AL53" s="333">
        <v>0</v>
      </c>
      <c r="AM53" s="334">
        <v>0</v>
      </c>
      <c r="AN53" s="333">
        <v>22537214.285714287</v>
      </c>
      <c r="AO53" s="333">
        <v>22537214.285714287</v>
      </c>
      <c r="AP53" s="333">
        <v>22537214.285714287</v>
      </c>
      <c r="AQ53" s="333">
        <v>22537214.285714287</v>
      </c>
      <c r="AR53" s="333">
        <v>22537214.285714287</v>
      </c>
      <c r="AS53" s="333">
        <v>22537214.285714287</v>
      </c>
      <c r="AT53" s="333">
        <v>22537214.285714287</v>
      </c>
      <c r="AU53" s="300">
        <f t="shared" si="3"/>
        <v>157760500.00000003</v>
      </c>
      <c r="AV53" s="280">
        <f t="shared" si="4"/>
        <v>0</v>
      </c>
      <c r="AW53" s="278"/>
      <c r="AX53" s="278">
        <f>AU53</f>
        <v>157760500.00000003</v>
      </c>
      <c r="AY53" s="278">
        <v>0</v>
      </c>
      <c r="AZ53" s="278">
        <v>0</v>
      </c>
      <c r="BA53" s="278">
        <v>0</v>
      </c>
      <c r="BB53" s="279">
        <f t="shared" si="6"/>
        <v>157760500.00000003</v>
      </c>
    </row>
    <row r="54" spans="1:54" s="323" customFormat="1">
      <c r="A54" s="309" t="s">
        <v>743</v>
      </c>
      <c r="B54" s="310" t="s">
        <v>744</v>
      </c>
      <c r="C54" s="310" t="s">
        <v>744</v>
      </c>
      <c r="D54" s="310">
        <v>414</v>
      </c>
      <c r="E54" s="310">
        <v>414</v>
      </c>
      <c r="F54" s="311">
        <v>7673</v>
      </c>
      <c r="G54" s="309" t="s">
        <v>544</v>
      </c>
      <c r="H54" s="309" t="s">
        <v>813</v>
      </c>
      <c r="I54" s="309" t="s">
        <v>814</v>
      </c>
      <c r="J54" s="309" t="s">
        <v>747</v>
      </c>
      <c r="K54" s="309" t="s">
        <v>748</v>
      </c>
      <c r="L54" s="309" t="s">
        <v>749</v>
      </c>
      <c r="M54" s="309" t="s">
        <v>750</v>
      </c>
      <c r="N54" s="309" t="s">
        <v>751</v>
      </c>
      <c r="O54" s="309" t="s">
        <v>752</v>
      </c>
      <c r="P54" s="309" t="s">
        <v>753</v>
      </c>
      <c r="Q54" s="312">
        <v>1</v>
      </c>
      <c r="R54" s="309" t="s">
        <v>815</v>
      </c>
      <c r="S54" s="309" t="s">
        <v>816</v>
      </c>
      <c r="T54" s="310" t="s">
        <v>817</v>
      </c>
      <c r="U54" s="309" t="s">
        <v>818</v>
      </c>
      <c r="V54" s="310">
        <v>3</v>
      </c>
      <c r="W54" s="310">
        <v>5</v>
      </c>
      <c r="X54" s="310">
        <v>30</v>
      </c>
      <c r="Y54" s="309" t="s">
        <v>819</v>
      </c>
      <c r="Z54" s="313" t="s">
        <v>758</v>
      </c>
      <c r="AA54" s="352">
        <v>92608376</v>
      </c>
      <c r="AB54" s="314">
        <v>92608376</v>
      </c>
      <c r="AC54" s="313" t="s">
        <v>820</v>
      </c>
      <c r="AD54" s="313" t="s">
        <v>760</v>
      </c>
      <c r="AE54" s="315"/>
      <c r="AF54" s="316"/>
      <c r="AG54" s="317"/>
      <c r="AH54" s="318"/>
      <c r="AI54" s="335">
        <v>0</v>
      </c>
      <c r="AJ54" s="335">
        <v>0</v>
      </c>
      <c r="AK54" s="335">
        <v>0</v>
      </c>
      <c r="AL54" s="335">
        <v>0</v>
      </c>
      <c r="AM54" s="336">
        <v>0</v>
      </c>
      <c r="AN54" s="336">
        <v>0</v>
      </c>
      <c r="AO54" s="336">
        <v>0</v>
      </c>
      <c r="AP54" s="336">
        <v>0</v>
      </c>
      <c r="AQ54" s="336">
        <v>0</v>
      </c>
      <c r="AR54" s="336">
        <v>92608376</v>
      </c>
      <c r="AS54" s="336">
        <v>0</v>
      </c>
      <c r="AT54" s="336">
        <v>0</v>
      </c>
      <c r="AU54" s="319">
        <f t="shared" si="3"/>
        <v>92608376</v>
      </c>
      <c r="AV54" s="320">
        <f t="shared" si="4"/>
        <v>0</v>
      </c>
      <c r="AW54" s="321"/>
      <c r="AX54" s="321">
        <f>+AU54</f>
        <v>92608376</v>
      </c>
      <c r="AY54" s="321">
        <v>0</v>
      </c>
      <c r="AZ54" s="321">
        <v>0</v>
      </c>
      <c r="BA54" s="321">
        <v>0</v>
      </c>
      <c r="BB54" s="322">
        <f t="shared" si="6"/>
        <v>92608376</v>
      </c>
    </row>
    <row r="55" spans="1:54" s="257" customFormat="1" hidden="1">
      <c r="A55" s="247" t="s">
        <v>743</v>
      </c>
      <c r="B55" s="248" t="s">
        <v>744</v>
      </c>
      <c r="C55" s="248" t="s">
        <v>744</v>
      </c>
      <c r="D55" s="248">
        <v>415</v>
      </c>
      <c r="E55" s="248">
        <v>415</v>
      </c>
      <c r="F55" s="249">
        <v>7673</v>
      </c>
      <c r="G55" s="247" t="s">
        <v>544</v>
      </c>
      <c r="H55" s="247" t="s">
        <v>821</v>
      </c>
      <c r="I55" s="247" t="s">
        <v>583</v>
      </c>
      <c r="J55" s="247" t="s">
        <v>747</v>
      </c>
      <c r="K55" s="247" t="s">
        <v>748</v>
      </c>
      <c r="L55" s="247" t="s">
        <v>749</v>
      </c>
      <c r="M55" s="247" t="s">
        <v>750</v>
      </c>
      <c r="N55" s="247" t="s">
        <v>751</v>
      </c>
      <c r="O55" s="247" t="s">
        <v>777</v>
      </c>
      <c r="P55" s="247" t="s">
        <v>822</v>
      </c>
      <c r="Q55" s="250">
        <v>1</v>
      </c>
      <c r="R55" s="247" t="s">
        <v>771</v>
      </c>
      <c r="S55" s="247" t="s">
        <v>772</v>
      </c>
      <c r="T55" s="248" t="s">
        <v>823</v>
      </c>
      <c r="U55" s="247" t="s">
        <v>824</v>
      </c>
      <c r="V55" s="248">
        <v>4</v>
      </c>
      <c r="W55" s="248">
        <v>5</v>
      </c>
      <c r="X55" s="248">
        <v>240</v>
      </c>
      <c r="Y55" s="258" t="s">
        <v>757</v>
      </c>
      <c r="Z55" s="251" t="s">
        <v>758</v>
      </c>
      <c r="AA55" s="252">
        <v>184761500</v>
      </c>
      <c r="AB55" s="252">
        <v>23095187.5</v>
      </c>
      <c r="AC55" s="251" t="s">
        <v>825</v>
      </c>
      <c r="AD55" s="251" t="s">
        <v>781</v>
      </c>
      <c r="AE55" s="253"/>
      <c r="AF55" s="254"/>
      <c r="AG55" s="255"/>
      <c r="AH55" s="255"/>
      <c r="AI55" s="333">
        <v>0</v>
      </c>
      <c r="AJ55" s="333">
        <v>0</v>
      </c>
      <c r="AK55" s="333">
        <v>0</v>
      </c>
      <c r="AL55" s="333">
        <v>0</v>
      </c>
      <c r="AM55" s="334">
        <v>0</v>
      </c>
      <c r="AN55" s="334">
        <v>0</v>
      </c>
      <c r="AO55" s="334">
        <v>0</v>
      </c>
      <c r="AP55" s="334">
        <f>AA55*40%</f>
        <v>73904600</v>
      </c>
      <c r="AQ55" s="334">
        <v>0</v>
      </c>
      <c r="AR55" s="334">
        <f>AA55*30%</f>
        <v>55428450</v>
      </c>
      <c r="AS55" s="334">
        <v>0</v>
      </c>
      <c r="AT55" s="334">
        <f>AA55*30%</f>
        <v>55428450</v>
      </c>
      <c r="AU55" s="300">
        <f>SUM(AI55:AT55)</f>
        <v>184761500</v>
      </c>
      <c r="AV55" s="280">
        <f t="shared" si="4"/>
        <v>0</v>
      </c>
      <c r="AW55" s="278"/>
      <c r="AX55" s="278">
        <v>0</v>
      </c>
      <c r="AY55" s="278">
        <f>+AU55</f>
        <v>184761500</v>
      </c>
      <c r="AZ55" s="278">
        <v>0</v>
      </c>
      <c r="BA55" s="278">
        <v>0</v>
      </c>
      <c r="BB55" s="279">
        <f t="shared" si="6"/>
        <v>184761500</v>
      </c>
    </row>
    <row r="56" spans="1:54" s="257" customFormat="1">
      <c r="A56" s="247" t="s">
        <v>743</v>
      </c>
      <c r="B56" s="248" t="s">
        <v>744</v>
      </c>
      <c r="C56" s="248" t="s">
        <v>744</v>
      </c>
      <c r="D56" s="248" t="s">
        <v>826</v>
      </c>
      <c r="E56" s="248">
        <v>934</v>
      </c>
      <c r="F56" s="249">
        <v>7673</v>
      </c>
      <c r="G56" s="247" t="s">
        <v>544</v>
      </c>
      <c r="H56" s="247" t="s">
        <v>827</v>
      </c>
      <c r="I56" s="247" t="s">
        <v>583</v>
      </c>
      <c r="J56" s="247" t="s">
        <v>747</v>
      </c>
      <c r="K56" s="247" t="s">
        <v>748</v>
      </c>
      <c r="L56" s="247" t="s">
        <v>749</v>
      </c>
      <c r="M56" s="247" t="s">
        <v>750</v>
      </c>
      <c r="N56" s="259" t="s">
        <v>751</v>
      </c>
      <c r="O56" s="247" t="s">
        <v>752</v>
      </c>
      <c r="P56" s="247" t="s">
        <v>753</v>
      </c>
      <c r="Q56" s="250">
        <v>1</v>
      </c>
      <c r="R56" s="247" t="s">
        <v>828</v>
      </c>
      <c r="S56" s="247" t="s">
        <v>829</v>
      </c>
      <c r="T56" s="248" t="s">
        <v>830</v>
      </c>
      <c r="U56" s="247" t="s">
        <v>831</v>
      </c>
      <c r="V56" s="248">
        <v>8</v>
      </c>
      <c r="W56" s="248">
        <v>11</v>
      </c>
      <c r="X56" s="248">
        <v>360</v>
      </c>
      <c r="Y56" s="260" t="s">
        <v>819</v>
      </c>
      <c r="Z56" s="251" t="s">
        <v>758</v>
      </c>
      <c r="AA56" s="354">
        <v>3360000</v>
      </c>
      <c r="AB56" s="252">
        <v>280000</v>
      </c>
      <c r="AC56" s="251" t="s">
        <v>832</v>
      </c>
      <c r="AD56" s="251" t="s">
        <v>833</v>
      </c>
      <c r="AE56" s="253"/>
      <c r="AF56" s="254"/>
      <c r="AG56" s="261"/>
      <c r="AH56" s="278"/>
      <c r="AI56" s="334">
        <v>280000</v>
      </c>
      <c r="AJ56" s="334">
        <v>280000</v>
      </c>
      <c r="AK56" s="334">
        <v>280000</v>
      </c>
      <c r="AL56" s="334">
        <v>280000</v>
      </c>
      <c r="AM56" s="334">
        <v>280000</v>
      </c>
      <c r="AN56" s="334">
        <v>280000</v>
      </c>
      <c r="AO56" s="334">
        <v>280000</v>
      </c>
      <c r="AP56" s="334">
        <v>280000</v>
      </c>
      <c r="AQ56" s="334">
        <v>280000</v>
      </c>
      <c r="AR56" s="334">
        <v>280000</v>
      </c>
      <c r="AS56" s="334">
        <v>280000</v>
      </c>
      <c r="AT56" s="334">
        <v>280000</v>
      </c>
      <c r="AU56" s="300">
        <f t="shared" si="3"/>
        <v>3360000</v>
      </c>
      <c r="AV56" s="280">
        <f t="shared" si="4"/>
        <v>0</v>
      </c>
      <c r="AW56" s="278"/>
      <c r="AX56" s="278">
        <f>+AU56</f>
        <v>3360000</v>
      </c>
      <c r="AY56" s="278">
        <v>0</v>
      </c>
      <c r="AZ56" s="278">
        <v>0</v>
      </c>
      <c r="BA56" s="278">
        <v>0</v>
      </c>
      <c r="BB56" s="279">
        <f t="shared" si="6"/>
        <v>3360000</v>
      </c>
    </row>
    <row r="57" spans="1:54" s="296" customFormat="1">
      <c r="A57" s="281" t="s">
        <v>743</v>
      </c>
      <c r="B57" s="282" t="s">
        <v>744</v>
      </c>
      <c r="C57" s="282" t="s">
        <v>744</v>
      </c>
      <c r="D57" s="282" t="s">
        <v>834</v>
      </c>
      <c r="E57" s="282">
        <v>935</v>
      </c>
      <c r="F57" s="283">
        <v>7673</v>
      </c>
      <c r="G57" s="281" t="s">
        <v>544</v>
      </c>
      <c r="H57" s="281" t="s">
        <v>835</v>
      </c>
      <c r="I57" s="281" t="s">
        <v>836</v>
      </c>
      <c r="J57" s="281" t="s">
        <v>747</v>
      </c>
      <c r="K57" s="281" t="s">
        <v>748</v>
      </c>
      <c r="L57" s="281" t="s">
        <v>749</v>
      </c>
      <c r="M57" s="281" t="s">
        <v>750</v>
      </c>
      <c r="N57" s="284" t="s">
        <v>751</v>
      </c>
      <c r="O57" s="281" t="s">
        <v>752</v>
      </c>
      <c r="P57" s="281" t="s">
        <v>753</v>
      </c>
      <c r="Q57" s="285">
        <v>0.86</v>
      </c>
      <c r="R57" s="281" t="s">
        <v>837</v>
      </c>
      <c r="S57" s="281" t="s">
        <v>838</v>
      </c>
      <c r="T57" s="282">
        <v>80141607</v>
      </c>
      <c r="U57" s="281" t="s">
        <v>839</v>
      </c>
      <c r="V57" s="282">
        <v>2</v>
      </c>
      <c r="W57" s="282">
        <v>3</v>
      </c>
      <c r="X57" s="286">
        <v>240</v>
      </c>
      <c r="Y57" s="287" t="s">
        <v>810</v>
      </c>
      <c r="Z57" s="288" t="s">
        <v>758</v>
      </c>
      <c r="AA57" s="353">
        <f>58000000*86%</f>
        <v>49880000</v>
      </c>
      <c r="AB57" s="289">
        <f>7250000*86%</f>
        <v>6235000</v>
      </c>
      <c r="AC57" s="288" t="s">
        <v>840</v>
      </c>
      <c r="AD57" s="288" t="s">
        <v>841</v>
      </c>
      <c r="AE57" s="290"/>
      <c r="AF57" s="291"/>
      <c r="AG57" s="292"/>
      <c r="AH57" s="293"/>
      <c r="AI57" s="337">
        <v>0</v>
      </c>
      <c r="AJ57" s="337">
        <v>0</v>
      </c>
      <c r="AK57" s="338">
        <v>0</v>
      </c>
      <c r="AL57" s="338">
        <v>0</v>
      </c>
      <c r="AM57" s="338">
        <v>0</v>
      </c>
      <c r="AN57" s="339">
        <f t="shared" ref="AN57:AS57" si="8">7250000*86%</f>
        <v>6235000</v>
      </c>
      <c r="AO57" s="339">
        <f t="shared" si="8"/>
        <v>6235000</v>
      </c>
      <c r="AP57" s="339">
        <f t="shared" si="8"/>
        <v>6235000</v>
      </c>
      <c r="AQ57" s="339">
        <f t="shared" si="8"/>
        <v>6235000</v>
      </c>
      <c r="AR57" s="339">
        <f t="shared" si="8"/>
        <v>6235000</v>
      </c>
      <c r="AS57" s="339">
        <f t="shared" si="8"/>
        <v>6235000</v>
      </c>
      <c r="AT57" s="339">
        <f>(7250000*86%)*2</f>
        <v>12470000</v>
      </c>
      <c r="AU57" s="301">
        <f>SUM(AI57:AT57)</f>
        <v>49880000</v>
      </c>
      <c r="AV57" s="295">
        <f t="shared" si="4"/>
        <v>0</v>
      </c>
      <c r="AW57" s="293"/>
      <c r="AX57" s="293">
        <f>AU57*86%</f>
        <v>42896800</v>
      </c>
      <c r="AY57" s="293">
        <v>0</v>
      </c>
      <c r="AZ57" s="293">
        <f>AU57*14%</f>
        <v>6983200.0000000009</v>
      </c>
      <c r="BA57" s="293">
        <v>0</v>
      </c>
      <c r="BB57" s="294">
        <f t="shared" si="6"/>
        <v>49880000</v>
      </c>
    </row>
    <row r="58" spans="1:54" s="296" customFormat="1" hidden="1">
      <c r="A58" s="281" t="s">
        <v>743</v>
      </c>
      <c r="B58" s="282" t="s">
        <v>744</v>
      </c>
      <c r="C58" s="282" t="s">
        <v>744</v>
      </c>
      <c r="D58" s="282" t="s">
        <v>834</v>
      </c>
      <c r="E58" s="282">
        <v>935</v>
      </c>
      <c r="F58" s="283">
        <v>7673</v>
      </c>
      <c r="G58" s="281" t="s">
        <v>544</v>
      </c>
      <c r="H58" s="281" t="s">
        <v>835</v>
      </c>
      <c r="I58" s="281" t="s">
        <v>836</v>
      </c>
      <c r="J58" s="281" t="s">
        <v>747</v>
      </c>
      <c r="K58" s="281" t="s">
        <v>748</v>
      </c>
      <c r="L58" s="281" t="s">
        <v>749</v>
      </c>
      <c r="M58" s="281" t="s">
        <v>750</v>
      </c>
      <c r="N58" s="284" t="s">
        <v>751</v>
      </c>
      <c r="O58" s="281" t="s">
        <v>752</v>
      </c>
      <c r="P58" s="281" t="s">
        <v>778</v>
      </c>
      <c r="Q58" s="285">
        <v>0.14000000000000001</v>
      </c>
      <c r="R58" s="281" t="s">
        <v>837</v>
      </c>
      <c r="S58" s="281" t="s">
        <v>838</v>
      </c>
      <c r="T58" s="282">
        <v>80141607</v>
      </c>
      <c r="U58" s="281" t="s">
        <v>839</v>
      </c>
      <c r="V58" s="282">
        <v>2</v>
      </c>
      <c r="W58" s="282">
        <v>3</v>
      </c>
      <c r="X58" s="286">
        <v>240</v>
      </c>
      <c r="Y58" s="287" t="s">
        <v>810</v>
      </c>
      <c r="Z58" s="288" t="s">
        <v>758</v>
      </c>
      <c r="AA58" s="289">
        <f>58000000*14%</f>
        <v>8120000.0000000009</v>
      </c>
      <c r="AB58" s="289">
        <f>7250000*14%</f>
        <v>1015000.0000000001</v>
      </c>
      <c r="AC58" s="288" t="s">
        <v>840</v>
      </c>
      <c r="AD58" s="288" t="s">
        <v>841</v>
      </c>
      <c r="AE58" s="290"/>
      <c r="AF58" s="291"/>
      <c r="AG58" s="292"/>
      <c r="AH58" s="292"/>
      <c r="AI58" s="337">
        <v>0</v>
      </c>
      <c r="AJ58" s="337">
        <v>0</v>
      </c>
      <c r="AK58" s="338">
        <v>0</v>
      </c>
      <c r="AL58" s="338">
        <v>0</v>
      </c>
      <c r="AM58" s="338">
        <v>0</v>
      </c>
      <c r="AN58" s="342">
        <f t="shared" ref="AN58:AS58" si="9">7250000*14%</f>
        <v>1015000.0000000001</v>
      </c>
      <c r="AO58" s="342">
        <f t="shared" si="9"/>
        <v>1015000.0000000001</v>
      </c>
      <c r="AP58" s="342">
        <f t="shared" si="9"/>
        <v>1015000.0000000001</v>
      </c>
      <c r="AQ58" s="342">
        <f t="shared" si="9"/>
        <v>1015000.0000000001</v>
      </c>
      <c r="AR58" s="342">
        <f t="shared" si="9"/>
        <v>1015000.0000000001</v>
      </c>
      <c r="AS58" s="342">
        <f t="shared" si="9"/>
        <v>1015000.0000000001</v>
      </c>
      <c r="AT58" s="342">
        <f>(7250000*14%)*2</f>
        <v>2030000.0000000002</v>
      </c>
      <c r="AU58" s="301">
        <f t="shared" ref="AU58" si="10">SUM(AI58:AT58)</f>
        <v>8120000.0000000009</v>
      </c>
      <c r="AV58" s="295">
        <f t="shared" ref="AV58" si="11">+AU58-AA58</f>
        <v>0</v>
      </c>
      <c r="AW58" s="293"/>
      <c r="AX58" s="293">
        <f>AU58*86%</f>
        <v>6983200.0000000009</v>
      </c>
      <c r="AY58" s="293">
        <v>0</v>
      </c>
      <c r="AZ58" s="293">
        <f>AU58*14%</f>
        <v>1136800.0000000002</v>
      </c>
      <c r="BA58" s="293">
        <v>0</v>
      </c>
      <c r="BB58" s="294">
        <f t="shared" ref="BB58" si="12">SUM(AX58:BA58)</f>
        <v>8120000.0000000009</v>
      </c>
    </row>
    <row r="59" spans="1:54" s="296" customFormat="1">
      <c r="A59" s="281" t="s">
        <v>743</v>
      </c>
      <c r="B59" s="282" t="s">
        <v>744</v>
      </c>
      <c r="C59" s="282" t="s">
        <v>744</v>
      </c>
      <c r="D59" s="282" t="s">
        <v>842</v>
      </c>
      <c r="E59" s="282">
        <v>937</v>
      </c>
      <c r="F59" s="283">
        <v>7673</v>
      </c>
      <c r="G59" s="281" t="s">
        <v>544</v>
      </c>
      <c r="H59" s="281" t="s">
        <v>843</v>
      </c>
      <c r="I59" s="281" t="s">
        <v>844</v>
      </c>
      <c r="J59" s="281" t="s">
        <v>747</v>
      </c>
      <c r="K59" s="281" t="s">
        <v>748</v>
      </c>
      <c r="L59" s="281" t="s">
        <v>749</v>
      </c>
      <c r="M59" s="281" t="s">
        <v>750</v>
      </c>
      <c r="N59" s="284" t="s">
        <v>751</v>
      </c>
      <c r="O59" s="281" t="s">
        <v>752</v>
      </c>
      <c r="P59" s="281" t="s">
        <v>753</v>
      </c>
      <c r="Q59" s="285">
        <v>0.71</v>
      </c>
      <c r="R59" s="281" t="s">
        <v>845</v>
      </c>
      <c r="S59" s="281" t="s">
        <v>846</v>
      </c>
      <c r="T59" s="282" t="s">
        <v>847</v>
      </c>
      <c r="U59" s="281" t="s">
        <v>848</v>
      </c>
      <c r="V59" s="282">
        <v>4</v>
      </c>
      <c r="W59" s="282">
        <v>5</v>
      </c>
      <c r="X59" s="286">
        <v>60</v>
      </c>
      <c r="Y59" s="287" t="s">
        <v>849</v>
      </c>
      <c r="Z59" s="288" t="s">
        <v>758</v>
      </c>
      <c r="AA59" s="353">
        <f>5117000*71%</f>
        <v>3633070</v>
      </c>
      <c r="AB59" s="289">
        <f>2558500*71%</f>
        <v>1816535</v>
      </c>
      <c r="AC59" s="288" t="s">
        <v>850</v>
      </c>
      <c r="AD59" s="288" t="s">
        <v>851</v>
      </c>
      <c r="AE59" s="290"/>
      <c r="AF59" s="291"/>
      <c r="AG59" s="292"/>
      <c r="AH59" s="293"/>
      <c r="AI59" s="337">
        <v>0</v>
      </c>
      <c r="AJ59" s="337">
        <v>0</v>
      </c>
      <c r="AK59" s="338">
        <v>0</v>
      </c>
      <c r="AL59" s="338">
        <v>0</v>
      </c>
      <c r="AM59" s="338">
        <v>0</v>
      </c>
      <c r="AN59" s="338">
        <v>0</v>
      </c>
      <c r="AO59" s="338">
        <v>0</v>
      </c>
      <c r="AP59" s="338">
        <v>0</v>
      </c>
      <c r="AQ59" s="338">
        <v>0</v>
      </c>
      <c r="AR59" s="338">
        <v>0</v>
      </c>
      <c r="AS59" s="338">
        <v>0</v>
      </c>
      <c r="AT59" s="339">
        <f>5117000*71%</f>
        <v>3633070</v>
      </c>
      <c r="AU59" s="301">
        <f t="shared" si="3"/>
        <v>3633070</v>
      </c>
      <c r="AV59" s="295">
        <f t="shared" si="4"/>
        <v>0</v>
      </c>
      <c r="AW59" s="293"/>
      <c r="AX59" s="293">
        <f>AU59*71%</f>
        <v>2579479.6999999997</v>
      </c>
      <c r="AY59" s="293">
        <v>0</v>
      </c>
      <c r="AZ59" s="293">
        <f>AU59*29%</f>
        <v>1053590.2999999998</v>
      </c>
      <c r="BA59" s="293">
        <v>0</v>
      </c>
      <c r="BB59" s="294">
        <f>SUM(AX59:BA59)</f>
        <v>3633069.9999999995</v>
      </c>
    </row>
    <row r="60" spans="1:54" s="296" customFormat="1" hidden="1">
      <c r="A60" s="281" t="s">
        <v>743</v>
      </c>
      <c r="B60" s="282" t="s">
        <v>744</v>
      </c>
      <c r="C60" s="282" t="s">
        <v>744</v>
      </c>
      <c r="D60" s="282" t="s">
        <v>842</v>
      </c>
      <c r="E60" s="282">
        <v>937</v>
      </c>
      <c r="F60" s="283">
        <v>7673</v>
      </c>
      <c r="G60" s="281" t="s">
        <v>544</v>
      </c>
      <c r="H60" s="281" t="s">
        <v>843</v>
      </c>
      <c r="I60" s="281" t="s">
        <v>844</v>
      </c>
      <c r="J60" s="281" t="s">
        <v>747</v>
      </c>
      <c r="K60" s="281" t="s">
        <v>748</v>
      </c>
      <c r="L60" s="281" t="s">
        <v>749</v>
      </c>
      <c r="M60" s="281" t="s">
        <v>750</v>
      </c>
      <c r="N60" s="284" t="s">
        <v>751</v>
      </c>
      <c r="O60" s="281" t="s">
        <v>752</v>
      </c>
      <c r="P60" s="281" t="s">
        <v>778</v>
      </c>
      <c r="Q60" s="285">
        <v>0.28999999999999998</v>
      </c>
      <c r="R60" s="281" t="s">
        <v>845</v>
      </c>
      <c r="S60" s="281" t="s">
        <v>846</v>
      </c>
      <c r="T60" s="282" t="s">
        <v>847</v>
      </c>
      <c r="U60" s="281" t="s">
        <v>848</v>
      </c>
      <c r="V60" s="282">
        <v>4</v>
      </c>
      <c r="W60" s="282">
        <v>5</v>
      </c>
      <c r="X60" s="286">
        <v>60</v>
      </c>
      <c r="Y60" s="287" t="s">
        <v>849</v>
      </c>
      <c r="Z60" s="288" t="s">
        <v>758</v>
      </c>
      <c r="AA60" s="289">
        <f>5117000*29%</f>
        <v>1483930</v>
      </c>
      <c r="AB60" s="289">
        <f>2558500*29%</f>
        <v>741965</v>
      </c>
      <c r="AC60" s="288" t="s">
        <v>850</v>
      </c>
      <c r="AD60" s="288" t="s">
        <v>851</v>
      </c>
      <c r="AE60" s="290"/>
      <c r="AF60" s="291"/>
      <c r="AG60" s="292"/>
      <c r="AH60" s="292"/>
      <c r="AI60" s="337">
        <v>0</v>
      </c>
      <c r="AJ60" s="337">
        <v>0</v>
      </c>
      <c r="AK60" s="338">
        <v>0</v>
      </c>
      <c r="AL60" s="338">
        <v>0</v>
      </c>
      <c r="AM60" s="338">
        <v>0</v>
      </c>
      <c r="AN60" s="338">
        <v>0</v>
      </c>
      <c r="AO60" s="338">
        <v>0</v>
      </c>
      <c r="AP60" s="338">
        <v>0</v>
      </c>
      <c r="AQ60" s="338">
        <v>0</v>
      </c>
      <c r="AR60" s="338">
        <v>0</v>
      </c>
      <c r="AS60" s="338">
        <v>0</v>
      </c>
      <c r="AT60" s="342">
        <f>5117000*29%</f>
        <v>1483930</v>
      </c>
      <c r="AU60" s="301">
        <f t="shared" ref="AU60" si="13">SUM(AI60:AT60)</f>
        <v>1483930</v>
      </c>
      <c r="AV60" s="295">
        <f t="shared" ref="AV60" si="14">+AU60-AA60</f>
        <v>0</v>
      </c>
      <c r="AW60" s="293"/>
      <c r="AX60" s="293">
        <f>AU60*71%</f>
        <v>1053590.3</v>
      </c>
      <c r="AY60" s="293">
        <v>0</v>
      </c>
      <c r="AZ60" s="293">
        <f>AU60*29%</f>
        <v>430339.69999999995</v>
      </c>
      <c r="BA60" s="293">
        <v>0</v>
      </c>
      <c r="BB60" s="294">
        <f>SUM(AX60:BA60)</f>
        <v>1483930</v>
      </c>
    </row>
    <row r="61" spans="1:54" s="296" customFormat="1">
      <c r="A61" s="281" t="s">
        <v>743</v>
      </c>
      <c r="B61" s="282" t="s">
        <v>744</v>
      </c>
      <c r="C61" s="282" t="s">
        <v>744</v>
      </c>
      <c r="D61" s="282" t="s">
        <v>852</v>
      </c>
      <c r="E61" s="282">
        <v>938</v>
      </c>
      <c r="F61" s="283">
        <v>7673</v>
      </c>
      <c r="G61" s="281" t="s">
        <v>544</v>
      </c>
      <c r="H61" s="281" t="s">
        <v>853</v>
      </c>
      <c r="I61" s="281" t="s">
        <v>583</v>
      </c>
      <c r="J61" s="281" t="s">
        <v>747</v>
      </c>
      <c r="K61" s="281" t="s">
        <v>748</v>
      </c>
      <c r="L61" s="281" t="s">
        <v>749</v>
      </c>
      <c r="M61" s="281" t="s">
        <v>750</v>
      </c>
      <c r="N61" s="284" t="s">
        <v>751</v>
      </c>
      <c r="O61" s="281" t="s">
        <v>752</v>
      </c>
      <c r="P61" s="281" t="s">
        <v>753</v>
      </c>
      <c r="Q61" s="285">
        <v>0.95</v>
      </c>
      <c r="R61" s="281" t="s">
        <v>854</v>
      </c>
      <c r="S61" s="281" t="s">
        <v>855</v>
      </c>
      <c r="T61" s="282" t="s">
        <v>856</v>
      </c>
      <c r="U61" s="281" t="s">
        <v>857</v>
      </c>
      <c r="V61" s="282">
        <v>3</v>
      </c>
      <c r="W61" s="282">
        <v>5</v>
      </c>
      <c r="X61" s="286">
        <v>360</v>
      </c>
      <c r="Y61" s="287" t="s">
        <v>858</v>
      </c>
      <c r="Z61" s="288" t="s">
        <v>758</v>
      </c>
      <c r="AA61" s="353">
        <f>471340694*95%</f>
        <v>447773659.29999995</v>
      </c>
      <c r="AB61" s="289">
        <f>39278391.1666667*95%</f>
        <v>37314471.608333364</v>
      </c>
      <c r="AC61" s="288" t="s">
        <v>859</v>
      </c>
      <c r="AD61" s="288" t="s">
        <v>833</v>
      </c>
      <c r="AE61" s="290"/>
      <c r="AF61" s="291"/>
      <c r="AG61" s="292"/>
      <c r="AH61" s="293"/>
      <c r="AI61" s="339">
        <f t="shared" ref="AI61:AT61" si="15">39278391.1666667*95%</f>
        <v>37314471.608333364</v>
      </c>
      <c r="AJ61" s="339">
        <f t="shared" si="15"/>
        <v>37314471.608333364</v>
      </c>
      <c r="AK61" s="339">
        <f t="shared" si="15"/>
        <v>37314471.608333364</v>
      </c>
      <c r="AL61" s="339">
        <f t="shared" si="15"/>
        <v>37314471.608333364</v>
      </c>
      <c r="AM61" s="339">
        <f t="shared" si="15"/>
        <v>37314471.608333364</v>
      </c>
      <c r="AN61" s="339">
        <f t="shared" si="15"/>
        <v>37314471.608333364</v>
      </c>
      <c r="AO61" s="339">
        <f t="shared" si="15"/>
        <v>37314471.608333364</v>
      </c>
      <c r="AP61" s="339">
        <f t="shared" si="15"/>
        <v>37314471.608333364</v>
      </c>
      <c r="AQ61" s="339">
        <f t="shared" si="15"/>
        <v>37314471.608333364</v>
      </c>
      <c r="AR61" s="339">
        <f t="shared" si="15"/>
        <v>37314471.608333364</v>
      </c>
      <c r="AS61" s="339">
        <f t="shared" si="15"/>
        <v>37314471.608333364</v>
      </c>
      <c r="AT61" s="339">
        <f t="shared" si="15"/>
        <v>37314471.608333364</v>
      </c>
      <c r="AU61" s="301">
        <f t="shared" si="3"/>
        <v>447773659.30000025</v>
      </c>
      <c r="AV61" s="295">
        <f t="shared" si="4"/>
        <v>0</v>
      </c>
      <c r="AW61" s="293"/>
      <c r="AX61" s="293">
        <f>AU61*95%</f>
        <v>425384976.33500022</v>
      </c>
      <c r="AY61" s="293">
        <v>0</v>
      </c>
      <c r="AZ61" s="293">
        <f>AU61*5%</f>
        <v>22388682.965000015</v>
      </c>
      <c r="BA61" s="293">
        <v>0</v>
      </c>
      <c r="BB61" s="294">
        <f t="shared" si="6"/>
        <v>447773659.30000025</v>
      </c>
    </row>
    <row r="62" spans="1:54" s="296" customFormat="1" hidden="1">
      <c r="A62" s="281" t="s">
        <v>743</v>
      </c>
      <c r="B62" s="282" t="s">
        <v>744</v>
      </c>
      <c r="C62" s="282" t="s">
        <v>744</v>
      </c>
      <c r="D62" s="282" t="s">
        <v>852</v>
      </c>
      <c r="E62" s="282">
        <v>938</v>
      </c>
      <c r="F62" s="283">
        <v>7673</v>
      </c>
      <c r="G62" s="281" t="s">
        <v>544</v>
      </c>
      <c r="H62" s="281" t="s">
        <v>853</v>
      </c>
      <c r="I62" s="281" t="s">
        <v>583</v>
      </c>
      <c r="J62" s="281" t="s">
        <v>747</v>
      </c>
      <c r="K62" s="281" t="s">
        <v>748</v>
      </c>
      <c r="L62" s="281" t="s">
        <v>749</v>
      </c>
      <c r="M62" s="281" t="s">
        <v>750</v>
      </c>
      <c r="N62" s="284" t="s">
        <v>751</v>
      </c>
      <c r="O62" s="281" t="s">
        <v>752</v>
      </c>
      <c r="P62" s="281" t="s">
        <v>778</v>
      </c>
      <c r="Q62" s="285">
        <v>0.05</v>
      </c>
      <c r="R62" s="281" t="s">
        <v>854</v>
      </c>
      <c r="S62" s="281" t="s">
        <v>855</v>
      </c>
      <c r="T62" s="282" t="s">
        <v>856</v>
      </c>
      <c r="U62" s="281" t="s">
        <v>857</v>
      </c>
      <c r="V62" s="282">
        <v>3</v>
      </c>
      <c r="W62" s="282">
        <v>5</v>
      </c>
      <c r="X62" s="286">
        <v>360</v>
      </c>
      <c r="Y62" s="287" t="s">
        <v>858</v>
      </c>
      <c r="Z62" s="288" t="s">
        <v>758</v>
      </c>
      <c r="AA62" s="289">
        <f>471340694*5%</f>
        <v>23567034.700000003</v>
      </c>
      <c r="AB62" s="289">
        <f>39278391.1666667*5%</f>
        <v>1963919.5583333352</v>
      </c>
      <c r="AC62" s="288" t="s">
        <v>859</v>
      </c>
      <c r="AD62" s="288" t="s">
        <v>833</v>
      </c>
      <c r="AE62" s="290"/>
      <c r="AF62" s="291"/>
      <c r="AG62" s="292"/>
      <c r="AH62" s="292"/>
      <c r="AI62" s="342">
        <f t="shared" ref="AI62:AT62" si="16">39278391.1666667*5%</f>
        <v>1963919.5583333352</v>
      </c>
      <c r="AJ62" s="342">
        <f t="shared" si="16"/>
        <v>1963919.5583333352</v>
      </c>
      <c r="AK62" s="342">
        <f t="shared" si="16"/>
        <v>1963919.5583333352</v>
      </c>
      <c r="AL62" s="342">
        <f t="shared" si="16"/>
        <v>1963919.5583333352</v>
      </c>
      <c r="AM62" s="342">
        <f t="shared" si="16"/>
        <v>1963919.5583333352</v>
      </c>
      <c r="AN62" s="342">
        <f t="shared" si="16"/>
        <v>1963919.5583333352</v>
      </c>
      <c r="AO62" s="342">
        <f t="shared" si="16"/>
        <v>1963919.5583333352</v>
      </c>
      <c r="AP62" s="342">
        <f t="shared" si="16"/>
        <v>1963919.5583333352</v>
      </c>
      <c r="AQ62" s="342">
        <f t="shared" si="16"/>
        <v>1963919.5583333352</v>
      </c>
      <c r="AR62" s="342">
        <f t="shared" si="16"/>
        <v>1963919.5583333352</v>
      </c>
      <c r="AS62" s="342">
        <f t="shared" si="16"/>
        <v>1963919.5583333352</v>
      </c>
      <c r="AT62" s="342">
        <f t="shared" si="16"/>
        <v>1963919.5583333352</v>
      </c>
      <c r="AU62" s="301">
        <f t="shared" ref="AU62" si="17">SUM(AI62:AT62)</f>
        <v>23567034.700000018</v>
      </c>
      <c r="AV62" s="295">
        <f t="shared" ref="AV62" si="18">+AU62-AA62</f>
        <v>0</v>
      </c>
      <c r="AW62" s="293"/>
      <c r="AX62" s="293">
        <f>AU62*95%</f>
        <v>22388682.965000015</v>
      </c>
      <c r="AY62" s="293">
        <v>0</v>
      </c>
      <c r="AZ62" s="293">
        <f>AU62*5%</f>
        <v>1178351.735000001</v>
      </c>
      <c r="BA62" s="293">
        <v>0</v>
      </c>
      <c r="BB62" s="294">
        <f t="shared" ref="BB62" si="19">SUM(AX62:BA62)</f>
        <v>23567034.700000014</v>
      </c>
    </row>
    <row r="63" spans="1:54" s="257" customFormat="1">
      <c r="A63" s="247" t="s">
        <v>743</v>
      </c>
      <c r="B63" s="248" t="s">
        <v>744</v>
      </c>
      <c r="C63" s="248" t="s">
        <v>744</v>
      </c>
      <c r="D63" s="248" t="s">
        <v>860</v>
      </c>
      <c r="E63" s="248">
        <v>939</v>
      </c>
      <c r="F63" s="249">
        <v>7673</v>
      </c>
      <c r="G63" s="247" t="s">
        <v>544</v>
      </c>
      <c r="H63" s="247" t="s">
        <v>861</v>
      </c>
      <c r="I63" s="247" t="s">
        <v>844</v>
      </c>
      <c r="J63" s="247" t="s">
        <v>747</v>
      </c>
      <c r="K63" s="247" t="s">
        <v>748</v>
      </c>
      <c r="L63" s="247" t="s">
        <v>749</v>
      </c>
      <c r="M63" s="247" t="s">
        <v>750</v>
      </c>
      <c r="N63" s="259" t="s">
        <v>751</v>
      </c>
      <c r="O63" s="247" t="s">
        <v>752</v>
      </c>
      <c r="P63" s="247" t="s">
        <v>753</v>
      </c>
      <c r="Q63" s="250">
        <v>1</v>
      </c>
      <c r="R63" s="247" t="s">
        <v>862</v>
      </c>
      <c r="S63" s="247" t="s">
        <v>863</v>
      </c>
      <c r="T63" s="248" t="s">
        <v>864</v>
      </c>
      <c r="U63" s="247" t="s">
        <v>865</v>
      </c>
      <c r="V63" s="248">
        <v>2</v>
      </c>
      <c r="W63" s="248">
        <v>2</v>
      </c>
      <c r="X63" s="248">
        <v>30</v>
      </c>
      <c r="Y63" s="260" t="s">
        <v>849</v>
      </c>
      <c r="Z63" s="251" t="s">
        <v>758</v>
      </c>
      <c r="AA63" s="353">
        <v>5539000</v>
      </c>
      <c r="AB63" s="252">
        <v>5539000</v>
      </c>
      <c r="AC63" s="251" t="s">
        <v>866</v>
      </c>
      <c r="AD63" s="251" t="s">
        <v>841</v>
      </c>
      <c r="AE63" s="253"/>
      <c r="AF63" s="254"/>
      <c r="AG63" s="261"/>
      <c r="AH63" s="278"/>
      <c r="AI63" s="333">
        <v>0</v>
      </c>
      <c r="AJ63" s="333">
        <v>0</v>
      </c>
      <c r="AK63" s="334">
        <v>0</v>
      </c>
      <c r="AL63" s="334">
        <v>0</v>
      </c>
      <c r="AM63" s="334">
        <v>0</v>
      </c>
      <c r="AN63" s="334">
        <v>0</v>
      </c>
      <c r="AO63" s="334">
        <v>0</v>
      </c>
      <c r="AP63" s="334">
        <v>0</v>
      </c>
      <c r="AQ63" s="334">
        <v>0</v>
      </c>
      <c r="AR63" s="334">
        <v>0</v>
      </c>
      <c r="AS63" s="334">
        <v>5539000</v>
      </c>
      <c r="AT63" s="334"/>
      <c r="AU63" s="300">
        <f t="shared" si="3"/>
        <v>5539000</v>
      </c>
      <c r="AV63" s="280">
        <f t="shared" si="4"/>
        <v>0</v>
      </c>
      <c r="AW63" s="278"/>
      <c r="AX63" s="278">
        <f>AU63</f>
        <v>5539000</v>
      </c>
      <c r="AY63" s="278">
        <v>0</v>
      </c>
      <c r="AZ63" s="278">
        <v>0</v>
      </c>
      <c r="BA63" s="278">
        <v>0</v>
      </c>
      <c r="BB63" s="279">
        <f t="shared" si="6"/>
        <v>5539000</v>
      </c>
    </row>
    <row r="64" spans="1:54" s="257" customFormat="1">
      <c r="A64" s="247" t="s">
        <v>743</v>
      </c>
      <c r="B64" s="248" t="s">
        <v>744</v>
      </c>
      <c r="C64" s="248" t="s">
        <v>744</v>
      </c>
      <c r="D64" s="248" t="s">
        <v>867</v>
      </c>
      <c r="E64" s="248">
        <v>941</v>
      </c>
      <c r="F64" s="249">
        <v>7673</v>
      </c>
      <c r="G64" s="247" t="s">
        <v>544</v>
      </c>
      <c r="H64" s="247" t="s">
        <v>868</v>
      </c>
      <c r="I64" s="247" t="s">
        <v>869</v>
      </c>
      <c r="J64" s="247" t="s">
        <v>747</v>
      </c>
      <c r="K64" s="247" t="s">
        <v>748</v>
      </c>
      <c r="L64" s="247" t="s">
        <v>749</v>
      </c>
      <c r="M64" s="247" t="s">
        <v>750</v>
      </c>
      <c r="N64" s="259" t="s">
        <v>751</v>
      </c>
      <c r="O64" s="247" t="s">
        <v>752</v>
      </c>
      <c r="P64" s="247" t="s">
        <v>753</v>
      </c>
      <c r="Q64" s="250">
        <v>1</v>
      </c>
      <c r="R64" s="247" t="s">
        <v>870</v>
      </c>
      <c r="S64" s="247" t="s">
        <v>871</v>
      </c>
      <c r="T64" s="248">
        <v>31162800</v>
      </c>
      <c r="U64" s="247" t="s">
        <v>872</v>
      </c>
      <c r="V64" s="248">
        <v>2</v>
      </c>
      <c r="W64" s="248">
        <v>4</v>
      </c>
      <c r="X64" s="262">
        <v>180</v>
      </c>
      <c r="Y64" s="260" t="s">
        <v>819</v>
      </c>
      <c r="Z64" s="251" t="s">
        <v>758</v>
      </c>
      <c r="AA64" s="353">
        <v>20000000</v>
      </c>
      <c r="AB64" s="252">
        <v>3333333.3333333302</v>
      </c>
      <c r="AC64" s="251" t="s">
        <v>873</v>
      </c>
      <c r="AD64" s="251" t="s">
        <v>841</v>
      </c>
      <c r="AE64" s="253"/>
      <c r="AF64" s="254"/>
      <c r="AG64" s="261"/>
      <c r="AH64" s="278"/>
      <c r="AI64" s="333">
        <v>0</v>
      </c>
      <c r="AJ64" s="333">
        <v>0</v>
      </c>
      <c r="AK64" s="334">
        <v>0</v>
      </c>
      <c r="AL64" s="334">
        <v>0</v>
      </c>
      <c r="AM64" s="334">
        <v>0</v>
      </c>
      <c r="AN64" s="334">
        <v>0</v>
      </c>
      <c r="AO64" s="334">
        <v>3333333.3333333302</v>
      </c>
      <c r="AP64" s="334">
        <v>3333333.3333333302</v>
      </c>
      <c r="AQ64" s="334">
        <v>3333333.3333333302</v>
      </c>
      <c r="AR64" s="334">
        <v>3333333.3333333302</v>
      </c>
      <c r="AS64" s="334">
        <v>3333333.3333333302</v>
      </c>
      <c r="AT64" s="334">
        <v>3333333.3333333302</v>
      </c>
      <c r="AU64" s="300">
        <f t="shared" si="3"/>
        <v>19999999.999999981</v>
      </c>
      <c r="AV64" s="280">
        <f t="shared" si="4"/>
        <v>0</v>
      </c>
      <c r="AW64" s="278"/>
      <c r="AX64" s="278">
        <f>AU64</f>
        <v>19999999.999999981</v>
      </c>
      <c r="AY64" s="278">
        <v>0</v>
      </c>
      <c r="AZ64" s="278">
        <v>0</v>
      </c>
      <c r="BA64" s="278">
        <v>0</v>
      </c>
      <c r="BB64" s="279">
        <f t="shared" si="6"/>
        <v>19999999.999999981</v>
      </c>
    </row>
    <row r="65" spans="1:54" s="296" customFormat="1">
      <c r="A65" s="281" t="s">
        <v>743</v>
      </c>
      <c r="B65" s="282" t="s">
        <v>744</v>
      </c>
      <c r="C65" s="282" t="s">
        <v>744</v>
      </c>
      <c r="D65" s="282" t="s">
        <v>874</v>
      </c>
      <c r="E65" s="282">
        <v>942</v>
      </c>
      <c r="F65" s="283">
        <v>7673</v>
      </c>
      <c r="G65" s="281" t="s">
        <v>544</v>
      </c>
      <c r="H65" s="281" t="s">
        <v>875</v>
      </c>
      <c r="I65" s="281" t="s">
        <v>583</v>
      </c>
      <c r="J65" s="281" t="s">
        <v>747</v>
      </c>
      <c r="K65" s="281" t="s">
        <v>748</v>
      </c>
      <c r="L65" s="281" t="s">
        <v>749</v>
      </c>
      <c r="M65" s="281" t="s">
        <v>750</v>
      </c>
      <c r="N65" s="284" t="s">
        <v>751</v>
      </c>
      <c r="O65" s="281" t="s">
        <v>752</v>
      </c>
      <c r="P65" s="281" t="s">
        <v>753</v>
      </c>
      <c r="Q65" s="285">
        <v>0.81</v>
      </c>
      <c r="R65" s="281" t="s">
        <v>828</v>
      </c>
      <c r="S65" s="281" t="s">
        <v>829</v>
      </c>
      <c r="T65" s="282" t="s">
        <v>876</v>
      </c>
      <c r="U65" s="281" t="s">
        <v>877</v>
      </c>
      <c r="V65" s="282">
        <v>3</v>
      </c>
      <c r="W65" s="282">
        <v>4</v>
      </c>
      <c r="X65" s="286">
        <v>360</v>
      </c>
      <c r="Y65" s="287" t="s">
        <v>849</v>
      </c>
      <c r="Z65" s="288" t="s">
        <v>758</v>
      </c>
      <c r="AA65" s="353">
        <f>71651306*81%</f>
        <v>58037557.860000007</v>
      </c>
      <c r="AB65" s="289">
        <f>5970942.16666667*81%</f>
        <v>4836463.1550000031</v>
      </c>
      <c r="AC65" s="288" t="s">
        <v>878</v>
      </c>
      <c r="AD65" s="288" t="s">
        <v>833</v>
      </c>
      <c r="AE65" s="290"/>
      <c r="AF65" s="291"/>
      <c r="AG65" s="297"/>
      <c r="AH65" s="293"/>
      <c r="AI65" s="339">
        <f t="shared" ref="AI65:AT65" si="20">5970942.16666667*81%</f>
        <v>4836463.1550000031</v>
      </c>
      <c r="AJ65" s="339">
        <f t="shared" si="20"/>
        <v>4836463.1550000031</v>
      </c>
      <c r="AK65" s="339">
        <f t="shared" si="20"/>
        <v>4836463.1550000031</v>
      </c>
      <c r="AL65" s="339">
        <f t="shared" si="20"/>
        <v>4836463.1550000031</v>
      </c>
      <c r="AM65" s="339">
        <f t="shared" si="20"/>
        <v>4836463.1550000031</v>
      </c>
      <c r="AN65" s="339">
        <f t="shared" si="20"/>
        <v>4836463.1550000031</v>
      </c>
      <c r="AO65" s="339">
        <f t="shared" si="20"/>
        <v>4836463.1550000031</v>
      </c>
      <c r="AP65" s="339">
        <f t="shared" si="20"/>
        <v>4836463.1550000031</v>
      </c>
      <c r="AQ65" s="339">
        <f t="shared" si="20"/>
        <v>4836463.1550000031</v>
      </c>
      <c r="AR65" s="339">
        <f t="shared" si="20"/>
        <v>4836463.1550000031</v>
      </c>
      <c r="AS65" s="339">
        <f t="shared" si="20"/>
        <v>4836463.1550000031</v>
      </c>
      <c r="AT65" s="339">
        <f t="shared" si="20"/>
        <v>4836463.1550000031</v>
      </c>
      <c r="AU65" s="301">
        <f t="shared" si="3"/>
        <v>58037557.860000022</v>
      </c>
      <c r="AV65" s="295">
        <f t="shared" si="4"/>
        <v>0</v>
      </c>
      <c r="AW65" s="293"/>
      <c r="AX65" s="293">
        <f>AU65*81%</f>
        <v>47010421.866600022</v>
      </c>
      <c r="AY65" s="293">
        <v>0</v>
      </c>
      <c r="AZ65" s="293">
        <f>AU65*19%</f>
        <v>11027135.993400004</v>
      </c>
      <c r="BA65" s="293">
        <v>0</v>
      </c>
      <c r="BB65" s="294">
        <f t="shared" si="6"/>
        <v>58037557.860000029</v>
      </c>
    </row>
    <row r="66" spans="1:54" s="296" customFormat="1" hidden="1">
      <c r="A66" s="281" t="s">
        <v>743</v>
      </c>
      <c r="B66" s="282" t="s">
        <v>744</v>
      </c>
      <c r="C66" s="282" t="s">
        <v>744</v>
      </c>
      <c r="D66" s="282" t="s">
        <v>874</v>
      </c>
      <c r="E66" s="282">
        <v>942</v>
      </c>
      <c r="F66" s="283">
        <v>7673</v>
      </c>
      <c r="G66" s="281" t="s">
        <v>544</v>
      </c>
      <c r="H66" s="281" t="s">
        <v>875</v>
      </c>
      <c r="I66" s="281" t="s">
        <v>583</v>
      </c>
      <c r="J66" s="281" t="s">
        <v>747</v>
      </c>
      <c r="K66" s="281" t="s">
        <v>748</v>
      </c>
      <c r="L66" s="281" t="s">
        <v>749</v>
      </c>
      <c r="M66" s="281" t="s">
        <v>750</v>
      </c>
      <c r="N66" s="284" t="s">
        <v>751</v>
      </c>
      <c r="O66" s="281" t="s">
        <v>752</v>
      </c>
      <c r="P66" s="281" t="s">
        <v>778</v>
      </c>
      <c r="Q66" s="285">
        <v>0.19</v>
      </c>
      <c r="R66" s="281" t="s">
        <v>828</v>
      </c>
      <c r="S66" s="281" t="s">
        <v>829</v>
      </c>
      <c r="T66" s="282" t="s">
        <v>876</v>
      </c>
      <c r="U66" s="281" t="s">
        <v>877</v>
      </c>
      <c r="V66" s="282">
        <v>3</v>
      </c>
      <c r="W66" s="282">
        <v>4</v>
      </c>
      <c r="X66" s="286">
        <v>360</v>
      </c>
      <c r="Y66" s="287" t="s">
        <v>849</v>
      </c>
      <c r="Z66" s="288" t="s">
        <v>758</v>
      </c>
      <c r="AA66" s="289">
        <f>71651306*19%</f>
        <v>13613748.140000001</v>
      </c>
      <c r="AB66" s="289">
        <f>5970942.16666667*19%</f>
        <v>1134479.0116666672</v>
      </c>
      <c r="AC66" s="288" t="s">
        <v>878</v>
      </c>
      <c r="AD66" s="288" t="s">
        <v>833</v>
      </c>
      <c r="AE66" s="290"/>
      <c r="AF66" s="291"/>
      <c r="AG66" s="297"/>
      <c r="AH66" s="292"/>
      <c r="AI66" s="342">
        <f t="shared" ref="AI66:AT66" si="21">5970942.16666667*19%</f>
        <v>1134479.0116666672</v>
      </c>
      <c r="AJ66" s="342">
        <f t="shared" si="21"/>
        <v>1134479.0116666672</v>
      </c>
      <c r="AK66" s="342">
        <f t="shared" si="21"/>
        <v>1134479.0116666672</v>
      </c>
      <c r="AL66" s="342">
        <f t="shared" si="21"/>
        <v>1134479.0116666672</v>
      </c>
      <c r="AM66" s="342">
        <f t="shared" si="21"/>
        <v>1134479.0116666672</v>
      </c>
      <c r="AN66" s="342">
        <f t="shared" si="21"/>
        <v>1134479.0116666672</v>
      </c>
      <c r="AO66" s="342">
        <f t="shared" si="21"/>
        <v>1134479.0116666672</v>
      </c>
      <c r="AP66" s="342">
        <f t="shared" si="21"/>
        <v>1134479.0116666672</v>
      </c>
      <c r="AQ66" s="342">
        <f t="shared" si="21"/>
        <v>1134479.0116666672</v>
      </c>
      <c r="AR66" s="342">
        <f t="shared" si="21"/>
        <v>1134479.0116666672</v>
      </c>
      <c r="AS66" s="342">
        <f t="shared" si="21"/>
        <v>1134479.0116666672</v>
      </c>
      <c r="AT66" s="342">
        <f t="shared" si="21"/>
        <v>1134479.0116666672</v>
      </c>
      <c r="AU66" s="301">
        <f t="shared" ref="AU66" si="22">SUM(AI66:AT66)</f>
        <v>13613748.140000002</v>
      </c>
      <c r="AV66" s="295">
        <f t="shared" ref="AV66" si="23">+AU66-AA66</f>
        <v>0</v>
      </c>
      <c r="AW66" s="293"/>
      <c r="AX66" s="293">
        <f>AU66*81%</f>
        <v>11027135.993400002</v>
      </c>
      <c r="AY66" s="293">
        <v>0</v>
      </c>
      <c r="AZ66" s="293">
        <f>AU66*19%</f>
        <v>2586612.1466000006</v>
      </c>
      <c r="BA66" s="293">
        <v>0</v>
      </c>
      <c r="BB66" s="294">
        <f t="shared" ref="BB66" si="24">SUM(AX66:BA66)</f>
        <v>13613748.140000002</v>
      </c>
    </row>
    <row r="67" spans="1:54" s="296" customFormat="1">
      <c r="A67" s="281" t="s">
        <v>743</v>
      </c>
      <c r="B67" s="282" t="s">
        <v>744</v>
      </c>
      <c r="C67" s="282" t="s">
        <v>744</v>
      </c>
      <c r="D67" s="282" t="s">
        <v>879</v>
      </c>
      <c r="E67" s="282">
        <v>943</v>
      </c>
      <c r="F67" s="283">
        <v>7673</v>
      </c>
      <c r="G67" s="281" t="s">
        <v>544</v>
      </c>
      <c r="H67" s="281" t="s">
        <v>880</v>
      </c>
      <c r="I67" s="281" t="s">
        <v>844</v>
      </c>
      <c r="J67" s="281" t="s">
        <v>747</v>
      </c>
      <c r="K67" s="281" t="s">
        <v>748</v>
      </c>
      <c r="L67" s="281" t="s">
        <v>749</v>
      </c>
      <c r="M67" s="281" t="s">
        <v>750</v>
      </c>
      <c r="N67" s="284" t="s">
        <v>751</v>
      </c>
      <c r="O67" s="281" t="s">
        <v>752</v>
      </c>
      <c r="P67" s="281" t="s">
        <v>753</v>
      </c>
      <c r="Q67" s="285">
        <v>0.91</v>
      </c>
      <c r="R67" s="281" t="s">
        <v>881</v>
      </c>
      <c r="S67" s="281" t="s">
        <v>882</v>
      </c>
      <c r="T67" s="282" t="s">
        <v>883</v>
      </c>
      <c r="U67" s="281" t="s">
        <v>884</v>
      </c>
      <c r="V67" s="282">
        <v>3</v>
      </c>
      <c r="W67" s="282">
        <v>4</v>
      </c>
      <c r="X67" s="282">
        <v>240</v>
      </c>
      <c r="Y67" s="287" t="s">
        <v>819</v>
      </c>
      <c r="Z67" s="288" t="s">
        <v>758</v>
      </c>
      <c r="AA67" s="353">
        <f>5500000*91%</f>
        <v>5005000</v>
      </c>
      <c r="AB67" s="289">
        <f>687500*91%</f>
        <v>625625</v>
      </c>
      <c r="AC67" s="288" t="s">
        <v>885</v>
      </c>
      <c r="AD67" s="288" t="s">
        <v>886</v>
      </c>
      <c r="AE67" s="290"/>
      <c r="AF67" s="291"/>
      <c r="AG67" s="292"/>
      <c r="AH67" s="293"/>
      <c r="AI67" s="337">
        <v>0</v>
      </c>
      <c r="AJ67" s="337">
        <v>0</v>
      </c>
      <c r="AK67" s="337">
        <v>0</v>
      </c>
      <c r="AL67" s="337">
        <v>0</v>
      </c>
      <c r="AM67" s="339">
        <f t="shared" ref="AM67:AT67" si="25">687500*91%</f>
        <v>625625</v>
      </c>
      <c r="AN67" s="339">
        <f t="shared" si="25"/>
        <v>625625</v>
      </c>
      <c r="AO67" s="339">
        <f t="shared" si="25"/>
        <v>625625</v>
      </c>
      <c r="AP67" s="339">
        <f t="shared" si="25"/>
        <v>625625</v>
      </c>
      <c r="AQ67" s="339">
        <f t="shared" si="25"/>
        <v>625625</v>
      </c>
      <c r="AR67" s="339">
        <f t="shared" si="25"/>
        <v>625625</v>
      </c>
      <c r="AS67" s="339">
        <f t="shared" si="25"/>
        <v>625625</v>
      </c>
      <c r="AT67" s="339">
        <f t="shared" si="25"/>
        <v>625625</v>
      </c>
      <c r="AU67" s="301">
        <f t="shared" si="3"/>
        <v>5005000</v>
      </c>
      <c r="AV67" s="295">
        <f t="shared" si="4"/>
        <v>0</v>
      </c>
      <c r="AW67" s="293"/>
      <c r="AX67" s="293">
        <f>AU67*91%</f>
        <v>4554550</v>
      </c>
      <c r="AY67" s="293">
        <v>0</v>
      </c>
      <c r="AZ67" s="293">
        <f>AU67*9%</f>
        <v>450450</v>
      </c>
      <c r="BA67" s="293">
        <v>0</v>
      </c>
      <c r="BB67" s="294">
        <f t="shared" si="6"/>
        <v>5005000</v>
      </c>
    </row>
    <row r="68" spans="1:54" s="296" customFormat="1" hidden="1">
      <c r="A68" s="281" t="s">
        <v>743</v>
      </c>
      <c r="B68" s="282" t="s">
        <v>744</v>
      </c>
      <c r="C68" s="282" t="s">
        <v>744</v>
      </c>
      <c r="D68" s="282" t="s">
        <v>879</v>
      </c>
      <c r="E68" s="282">
        <v>943</v>
      </c>
      <c r="F68" s="283">
        <v>7673</v>
      </c>
      <c r="G68" s="281" t="s">
        <v>544</v>
      </c>
      <c r="H68" s="281" t="s">
        <v>880</v>
      </c>
      <c r="I68" s="281" t="s">
        <v>844</v>
      </c>
      <c r="J68" s="281" t="s">
        <v>747</v>
      </c>
      <c r="K68" s="281" t="s">
        <v>748</v>
      </c>
      <c r="L68" s="281" t="s">
        <v>749</v>
      </c>
      <c r="M68" s="281" t="s">
        <v>750</v>
      </c>
      <c r="N68" s="284" t="s">
        <v>751</v>
      </c>
      <c r="O68" s="281" t="s">
        <v>752</v>
      </c>
      <c r="P68" s="281" t="s">
        <v>778</v>
      </c>
      <c r="Q68" s="285">
        <v>0.09</v>
      </c>
      <c r="R68" s="281" t="s">
        <v>881</v>
      </c>
      <c r="S68" s="281" t="s">
        <v>882</v>
      </c>
      <c r="T68" s="282" t="s">
        <v>883</v>
      </c>
      <c r="U68" s="281" t="s">
        <v>884</v>
      </c>
      <c r="V68" s="282">
        <v>3</v>
      </c>
      <c r="W68" s="282">
        <v>4</v>
      </c>
      <c r="X68" s="282">
        <v>240</v>
      </c>
      <c r="Y68" s="287" t="s">
        <v>819</v>
      </c>
      <c r="Z68" s="288" t="s">
        <v>758</v>
      </c>
      <c r="AA68" s="289">
        <f>5500000*9%</f>
        <v>495000</v>
      </c>
      <c r="AB68" s="289">
        <f>687500*9%</f>
        <v>61875</v>
      </c>
      <c r="AC68" s="288" t="s">
        <v>885</v>
      </c>
      <c r="AD68" s="288" t="s">
        <v>886</v>
      </c>
      <c r="AE68" s="290"/>
      <c r="AF68" s="291"/>
      <c r="AG68" s="292"/>
      <c r="AH68" s="292"/>
      <c r="AI68" s="337">
        <v>0</v>
      </c>
      <c r="AJ68" s="337">
        <v>0</v>
      </c>
      <c r="AK68" s="337">
        <v>0</v>
      </c>
      <c r="AL68" s="337">
        <v>0</v>
      </c>
      <c r="AM68" s="342">
        <f t="shared" ref="AM68:AT68" si="26">687500*9%</f>
        <v>61875</v>
      </c>
      <c r="AN68" s="342">
        <f t="shared" si="26"/>
        <v>61875</v>
      </c>
      <c r="AO68" s="342">
        <f t="shared" si="26"/>
        <v>61875</v>
      </c>
      <c r="AP68" s="342">
        <f t="shared" si="26"/>
        <v>61875</v>
      </c>
      <c r="AQ68" s="342">
        <f t="shared" si="26"/>
        <v>61875</v>
      </c>
      <c r="AR68" s="342">
        <f t="shared" si="26"/>
        <v>61875</v>
      </c>
      <c r="AS68" s="342">
        <f t="shared" si="26"/>
        <v>61875</v>
      </c>
      <c r="AT68" s="342">
        <f t="shared" si="26"/>
        <v>61875</v>
      </c>
      <c r="AU68" s="301">
        <f t="shared" ref="AU68" si="27">SUM(AI68:AT68)</f>
        <v>495000</v>
      </c>
      <c r="AV68" s="295">
        <f t="shared" ref="AV68" si="28">+AU68-AA68</f>
        <v>0</v>
      </c>
      <c r="AW68" s="293"/>
      <c r="AX68" s="293">
        <f>AU68*91%</f>
        <v>450450</v>
      </c>
      <c r="AY68" s="293">
        <v>0</v>
      </c>
      <c r="AZ68" s="293">
        <f>AU68*9%</f>
        <v>44550</v>
      </c>
      <c r="BA68" s="293">
        <v>0</v>
      </c>
      <c r="BB68" s="294">
        <f t="shared" ref="BB68" si="29">SUM(AX68:BA68)</f>
        <v>495000</v>
      </c>
    </row>
    <row r="69" spans="1:54" s="257" customFormat="1">
      <c r="A69" s="247" t="s">
        <v>743</v>
      </c>
      <c r="B69" s="248" t="s">
        <v>744</v>
      </c>
      <c r="C69" s="248" t="s">
        <v>744</v>
      </c>
      <c r="D69" s="248" t="s">
        <v>887</v>
      </c>
      <c r="E69" s="248">
        <v>945</v>
      </c>
      <c r="F69" s="249">
        <v>7673</v>
      </c>
      <c r="G69" s="247" t="s">
        <v>544</v>
      </c>
      <c r="H69" s="247" t="s">
        <v>888</v>
      </c>
      <c r="I69" s="247" t="s">
        <v>583</v>
      </c>
      <c r="J69" s="247" t="s">
        <v>747</v>
      </c>
      <c r="K69" s="247" t="s">
        <v>748</v>
      </c>
      <c r="L69" s="247" t="s">
        <v>749</v>
      </c>
      <c r="M69" s="247" t="s">
        <v>750</v>
      </c>
      <c r="N69" s="259" t="s">
        <v>751</v>
      </c>
      <c r="O69" s="247" t="s">
        <v>752</v>
      </c>
      <c r="P69" s="247" t="s">
        <v>753</v>
      </c>
      <c r="Q69" s="250">
        <v>1</v>
      </c>
      <c r="R69" s="247" t="s">
        <v>889</v>
      </c>
      <c r="S69" s="247" t="s">
        <v>890</v>
      </c>
      <c r="T69" s="248">
        <v>82101905</v>
      </c>
      <c r="U69" s="247" t="s">
        <v>891</v>
      </c>
      <c r="V69" s="248">
        <v>5</v>
      </c>
      <c r="W69" s="248">
        <v>8</v>
      </c>
      <c r="X69" s="248">
        <v>360</v>
      </c>
      <c r="Y69" s="260" t="s">
        <v>810</v>
      </c>
      <c r="Z69" s="251" t="s">
        <v>758</v>
      </c>
      <c r="AA69" s="353">
        <v>10550000</v>
      </c>
      <c r="AB69" s="252">
        <v>879166.66666666698</v>
      </c>
      <c r="AC69" s="251" t="s">
        <v>892</v>
      </c>
      <c r="AD69" s="251" t="s">
        <v>893</v>
      </c>
      <c r="AE69" s="253"/>
      <c r="AF69" s="254"/>
      <c r="AG69" s="261"/>
      <c r="AH69" s="278"/>
      <c r="AI69" s="333">
        <v>0</v>
      </c>
      <c r="AJ69" s="333">
        <v>0</v>
      </c>
      <c r="AK69" s="334">
        <v>0</v>
      </c>
      <c r="AL69" s="334">
        <v>0</v>
      </c>
      <c r="AM69" s="334">
        <v>0</v>
      </c>
      <c r="AN69" s="334">
        <v>0</v>
      </c>
      <c r="AO69" s="334">
        <f t="shared" ref="AO69:AT69" si="30">879166.666666667*2</f>
        <v>1758333.333333334</v>
      </c>
      <c r="AP69" s="334">
        <f t="shared" si="30"/>
        <v>1758333.333333334</v>
      </c>
      <c r="AQ69" s="334">
        <f t="shared" si="30"/>
        <v>1758333.333333334</v>
      </c>
      <c r="AR69" s="334">
        <f t="shared" si="30"/>
        <v>1758333.333333334</v>
      </c>
      <c r="AS69" s="334">
        <f t="shared" si="30"/>
        <v>1758333.333333334</v>
      </c>
      <c r="AT69" s="334">
        <f t="shared" si="30"/>
        <v>1758333.333333334</v>
      </c>
      <c r="AU69" s="300">
        <f t="shared" si="3"/>
        <v>10550000.000000004</v>
      </c>
      <c r="AV69" s="280">
        <f t="shared" si="4"/>
        <v>0</v>
      </c>
      <c r="AW69" s="278"/>
      <c r="AX69" s="278">
        <f>AU69</f>
        <v>10550000.000000004</v>
      </c>
      <c r="AY69" s="278">
        <v>0</v>
      </c>
      <c r="AZ69" s="278">
        <v>0</v>
      </c>
      <c r="BA69" s="278">
        <v>0</v>
      </c>
      <c r="BB69" s="279">
        <f t="shared" si="6"/>
        <v>10550000.000000004</v>
      </c>
    </row>
    <row r="70" spans="1:54" s="257" customFormat="1" hidden="1">
      <c r="A70" s="247" t="s">
        <v>743</v>
      </c>
      <c r="B70" s="248" t="s">
        <v>744</v>
      </c>
      <c r="C70" s="248" t="s">
        <v>744</v>
      </c>
      <c r="D70" s="248" t="s">
        <v>894</v>
      </c>
      <c r="E70" s="248">
        <v>946</v>
      </c>
      <c r="F70" s="249">
        <v>7673</v>
      </c>
      <c r="G70" s="247" t="s">
        <v>544</v>
      </c>
      <c r="H70" s="247" t="s">
        <v>895</v>
      </c>
      <c r="I70" s="247" t="s">
        <v>896</v>
      </c>
      <c r="J70" s="247" t="s">
        <v>747</v>
      </c>
      <c r="K70" s="247" t="s">
        <v>748</v>
      </c>
      <c r="L70" s="247" t="s">
        <v>749</v>
      </c>
      <c r="M70" s="247" t="s">
        <v>750</v>
      </c>
      <c r="N70" s="247" t="s">
        <v>751</v>
      </c>
      <c r="O70" s="247" t="s">
        <v>777</v>
      </c>
      <c r="P70" s="247" t="s">
        <v>778</v>
      </c>
      <c r="Q70" s="250">
        <v>1</v>
      </c>
      <c r="R70" s="247" t="s">
        <v>897</v>
      </c>
      <c r="S70" s="247" t="s">
        <v>898</v>
      </c>
      <c r="T70" s="248" t="s">
        <v>899</v>
      </c>
      <c r="U70" s="247" t="s">
        <v>900</v>
      </c>
      <c r="V70" s="248">
        <v>2</v>
      </c>
      <c r="W70" s="248">
        <v>2</v>
      </c>
      <c r="X70" s="248">
        <v>315</v>
      </c>
      <c r="Y70" s="247" t="s">
        <v>849</v>
      </c>
      <c r="Z70" s="251" t="s">
        <v>758</v>
      </c>
      <c r="AA70" s="353">
        <v>8000000</v>
      </c>
      <c r="AB70" s="252">
        <v>761904.76190476189</v>
      </c>
      <c r="AC70" s="251" t="s">
        <v>901</v>
      </c>
      <c r="AD70" s="251" t="s">
        <v>841</v>
      </c>
      <c r="AE70" s="253"/>
      <c r="AF70" s="254"/>
      <c r="AG70" s="261"/>
      <c r="AH70" s="261"/>
      <c r="AI70" s="333">
        <v>0</v>
      </c>
      <c r="AJ70" s="333">
        <v>0</v>
      </c>
      <c r="AK70" s="334">
        <v>0</v>
      </c>
      <c r="AL70" s="334">
        <v>0</v>
      </c>
      <c r="AM70" s="334">
        <v>0</v>
      </c>
      <c r="AN70" s="334">
        <v>1000000</v>
      </c>
      <c r="AO70" s="334">
        <v>1000000</v>
      </c>
      <c r="AP70" s="334">
        <v>1000000</v>
      </c>
      <c r="AQ70" s="334">
        <v>1000000</v>
      </c>
      <c r="AR70" s="334">
        <v>1000000</v>
      </c>
      <c r="AS70" s="334">
        <v>1000000</v>
      </c>
      <c r="AT70" s="334">
        <v>2000000</v>
      </c>
      <c r="AU70" s="300">
        <f t="shared" si="3"/>
        <v>8000000</v>
      </c>
      <c r="AV70" s="280">
        <f t="shared" si="4"/>
        <v>0</v>
      </c>
      <c r="AW70" s="278"/>
      <c r="AX70" s="278">
        <v>0</v>
      </c>
      <c r="AY70" s="278">
        <v>0</v>
      </c>
      <c r="AZ70" s="278">
        <f>AU70</f>
        <v>8000000</v>
      </c>
      <c r="BA70" s="278">
        <v>0</v>
      </c>
      <c r="BB70" s="279">
        <f t="shared" si="6"/>
        <v>8000000</v>
      </c>
    </row>
    <row r="71" spans="1:54" s="323" customFormat="1">
      <c r="A71" s="309" t="s">
        <v>743</v>
      </c>
      <c r="B71" s="310" t="s">
        <v>744</v>
      </c>
      <c r="C71" s="310" t="s">
        <v>744</v>
      </c>
      <c r="D71" s="310" t="s">
        <v>902</v>
      </c>
      <c r="E71" s="310">
        <v>952</v>
      </c>
      <c r="F71" s="311">
        <v>7673</v>
      </c>
      <c r="G71" s="309" t="s">
        <v>544</v>
      </c>
      <c r="H71" s="309" t="s">
        <v>903</v>
      </c>
      <c r="I71" s="309" t="s">
        <v>814</v>
      </c>
      <c r="J71" s="309" t="s">
        <v>747</v>
      </c>
      <c r="K71" s="309" t="s">
        <v>748</v>
      </c>
      <c r="L71" s="309" t="s">
        <v>749</v>
      </c>
      <c r="M71" s="309" t="s">
        <v>750</v>
      </c>
      <c r="N71" s="309" t="s">
        <v>751</v>
      </c>
      <c r="O71" s="309" t="s">
        <v>752</v>
      </c>
      <c r="P71" s="324" t="s">
        <v>753</v>
      </c>
      <c r="Q71" s="312">
        <v>1</v>
      </c>
      <c r="R71" s="313" t="s">
        <v>904</v>
      </c>
      <c r="S71" s="325" t="s">
        <v>905</v>
      </c>
      <c r="T71" s="310" t="s">
        <v>906</v>
      </c>
      <c r="U71" s="309" t="s">
        <v>907</v>
      </c>
      <c r="V71" s="310">
        <v>3</v>
      </c>
      <c r="W71" s="326">
        <v>5</v>
      </c>
      <c r="X71" s="310">
        <v>30</v>
      </c>
      <c r="Y71" s="309" t="s">
        <v>849</v>
      </c>
      <c r="Z71" s="327" t="s">
        <v>758</v>
      </c>
      <c r="AA71" s="355">
        <v>92608376</v>
      </c>
      <c r="AB71" s="314">
        <v>92608376</v>
      </c>
      <c r="AC71" s="313" t="s">
        <v>908</v>
      </c>
      <c r="AD71" s="313" t="s">
        <v>812</v>
      </c>
      <c r="AE71" s="315"/>
      <c r="AF71" s="316"/>
      <c r="AG71" s="317"/>
      <c r="AH71" s="318"/>
      <c r="AI71" s="335">
        <v>0</v>
      </c>
      <c r="AJ71" s="335">
        <v>0</v>
      </c>
      <c r="AK71" s="336">
        <v>0</v>
      </c>
      <c r="AL71" s="336">
        <v>0</v>
      </c>
      <c r="AM71" s="336">
        <v>0</v>
      </c>
      <c r="AN71" s="336">
        <v>0</v>
      </c>
      <c r="AO71" s="336">
        <v>0</v>
      </c>
      <c r="AP71" s="336">
        <v>0</v>
      </c>
      <c r="AQ71" s="336">
        <v>0</v>
      </c>
      <c r="AR71" s="336">
        <v>0</v>
      </c>
      <c r="AS71" s="336">
        <v>92608376</v>
      </c>
      <c r="AT71" s="336">
        <v>0</v>
      </c>
      <c r="AU71" s="319">
        <f t="shared" si="3"/>
        <v>92608376</v>
      </c>
      <c r="AV71" s="320">
        <f t="shared" si="4"/>
        <v>0</v>
      </c>
      <c r="AW71" s="321"/>
      <c r="AX71" s="321">
        <f>AU71</f>
        <v>92608376</v>
      </c>
      <c r="AY71" s="321">
        <v>0</v>
      </c>
      <c r="AZ71" s="321">
        <v>0</v>
      </c>
      <c r="BA71" s="321">
        <v>0</v>
      </c>
      <c r="BB71" s="322">
        <f t="shared" si="6"/>
        <v>92608376</v>
      </c>
    </row>
    <row r="72" spans="1:54" s="257" customFormat="1" hidden="1">
      <c r="A72" s="247" t="s">
        <v>743</v>
      </c>
      <c r="B72" s="248" t="s">
        <v>744</v>
      </c>
      <c r="C72" s="248" t="s">
        <v>744</v>
      </c>
      <c r="D72" s="248">
        <v>952</v>
      </c>
      <c r="E72" s="248">
        <v>931</v>
      </c>
      <c r="F72" s="249">
        <v>7673</v>
      </c>
      <c r="G72" s="247" t="s">
        <v>544</v>
      </c>
      <c r="H72" s="247" t="s">
        <v>909</v>
      </c>
      <c r="I72" s="247" t="s">
        <v>583</v>
      </c>
      <c r="J72" s="247" t="s">
        <v>747</v>
      </c>
      <c r="K72" s="247" t="s">
        <v>748</v>
      </c>
      <c r="L72" s="247" t="s">
        <v>749</v>
      </c>
      <c r="M72" s="247" t="s">
        <v>750</v>
      </c>
      <c r="N72" s="247" t="s">
        <v>751</v>
      </c>
      <c r="O72" s="247" t="s">
        <v>777</v>
      </c>
      <c r="P72" s="247" t="s">
        <v>910</v>
      </c>
      <c r="Q72" s="250">
        <v>1</v>
      </c>
      <c r="R72" s="247" t="s">
        <v>911</v>
      </c>
      <c r="S72" s="247" t="s">
        <v>912</v>
      </c>
      <c r="T72" s="247">
        <v>93141501</v>
      </c>
      <c r="U72" s="247" t="s">
        <v>913</v>
      </c>
      <c r="V72" s="248">
        <v>3</v>
      </c>
      <c r="W72" s="248">
        <v>7</v>
      </c>
      <c r="X72" s="248">
        <v>210</v>
      </c>
      <c r="Y72" s="260" t="s">
        <v>757</v>
      </c>
      <c r="Z72" s="251" t="s">
        <v>914</v>
      </c>
      <c r="AA72" s="263">
        <v>1076000000</v>
      </c>
      <c r="AB72" s="252">
        <v>153714285.714286</v>
      </c>
      <c r="AC72" s="251" t="s">
        <v>915</v>
      </c>
      <c r="AD72" s="264" t="s">
        <v>781</v>
      </c>
      <c r="AE72" s="265"/>
      <c r="AF72" s="254"/>
      <c r="AG72" s="256"/>
      <c r="AH72" s="255"/>
      <c r="AI72" s="333">
        <v>0</v>
      </c>
      <c r="AJ72" s="333">
        <v>0</v>
      </c>
      <c r="AK72" s="333">
        <v>0</v>
      </c>
      <c r="AL72" s="333">
        <v>0</v>
      </c>
      <c r="AM72" s="334">
        <v>0</v>
      </c>
      <c r="AN72" s="334">
        <v>153714285.7142857</v>
      </c>
      <c r="AO72" s="334">
        <v>153714285.7142857</v>
      </c>
      <c r="AP72" s="334">
        <v>153714285.7142857</v>
      </c>
      <c r="AQ72" s="334">
        <v>153714285.7142857</v>
      </c>
      <c r="AR72" s="334">
        <v>153714285.7142857</v>
      </c>
      <c r="AS72" s="334">
        <v>153714285.7142857</v>
      </c>
      <c r="AT72" s="334">
        <v>153714285.7142857</v>
      </c>
      <c r="AU72" s="300">
        <f t="shared" ref="AU72:AU75" si="31">SUM(AI72:AT72)</f>
        <v>1076000000</v>
      </c>
      <c r="AV72" s="280">
        <f t="shared" ref="AV72:AV74" si="32">+AU72-AA72</f>
        <v>0</v>
      </c>
      <c r="AW72" s="278"/>
      <c r="AX72" s="278">
        <v>0</v>
      </c>
      <c r="AY72" s="278">
        <v>0</v>
      </c>
      <c r="AZ72" s="278">
        <v>0</v>
      </c>
      <c r="BA72" s="278">
        <f>AU72</f>
        <v>1076000000</v>
      </c>
      <c r="BB72" s="279">
        <f t="shared" ref="BB72:BB75" si="33">SUM(AX72:BA72)</f>
        <v>1076000000</v>
      </c>
    </row>
    <row r="73" spans="1:54" hidden="1">
      <c r="A73" s="213" t="s">
        <v>743</v>
      </c>
      <c r="B73" s="214" t="s">
        <v>744</v>
      </c>
      <c r="C73" s="214" t="s">
        <v>744</v>
      </c>
      <c r="D73" s="214">
        <v>953</v>
      </c>
      <c r="E73" s="214">
        <v>958</v>
      </c>
      <c r="F73" s="216">
        <v>7673</v>
      </c>
      <c r="G73" s="213" t="s">
        <v>544</v>
      </c>
      <c r="H73" s="213" t="s">
        <v>909</v>
      </c>
      <c r="I73" s="213" t="s">
        <v>746</v>
      </c>
      <c r="J73" s="213" t="s">
        <v>747</v>
      </c>
      <c r="K73" s="213" t="s">
        <v>748</v>
      </c>
      <c r="L73" s="213" t="s">
        <v>749</v>
      </c>
      <c r="M73" s="213" t="s">
        <v>750</v>
      </c>
      <c r="N73" s="213" t="s">
        <v>751</v>
      </c>
      <c r="O73" s="213" t="s">
        <v>777</v>
      </c>
      <c r="P73" s="213" t="s">
        <v>910</v>
      </c>
      <c r="Q73" s="217">
        <v>1</v>
      </c>
      <c r="R73" s="213" t="s">
        <v>754</v>
      </c>
      <c r="S73" s="213" t="s">
        <v>755</v>
      </c>
      <c r="T73" s="213">
        <v>80111620</v>
      </c>
      <c r="U73" s="213" t="s">
        <v>916</v>
      </c>
      <c r="V73" s="214">
        <v>1</v>
      </c>
      <c r="W73" s="214">
        <v>1</v>
      </c>
      <c r="X73" s="214">
        <v>330</v>
      </c>
      <c r="Y73" s="234" t="s">
        <v>757</v>
      </c>
      <c r="Z73" s="220" t="s">
        <v>914</v>
      </c>
      <c r="AA73" s="235">
        <v>77000000</v>
      </c>
      <c r="AB73" s="221">
        <v>7000000</v>
      </c>
      <c r="AC73" s="236" t="s">
        <v>917</v>
      </c>
      <c r="AD73" s="236" t="s">
        <v>781</v>
      </c>
      <c r="AE73" s="222"/>
      <c r="AF73" s="223"/>
      <c r="AG73" s="225"/>
      <c r="AH73" s="225"/>
      <c r="AI73" s="332">
        <f t="shared" ref="AI73:AI75" si="34">AB73/30*10</f>
        <v>2333333.3333333335</v>
      </c>
      <c r="AJ73" s="332">
        <f t="shared" ref="AJ73:AJ75" si="35">AB73</f>
        <v>7000000</v>
      </c>
      <c r="AK73" s="332">
        <v>7000000</v>
      </c>
      <c r="AL73" s="332">
        <v>7000000</v>
      </c>
      <c r="AM73" s="302">
        <v>7000000</v>
      </c>
      <c r="AN73" s="302">
        <v>7000000</v>
      </c>
      <c r="AO73" s="302">
        <v>7000000</v>
      </c>
      <c r="AP73" s="302">
        <v>7000000</v>
      </c>
      <c r="AQ73" s="302">
        <v>7000000</v>
      </c>
      <c r="AR73" s="302">
        <v>7000000</v>
      </c>
      <c r="AS73" s="302">
        <v>7000000</v>
      </c>
      <c r="AT73" s="302">
        <f t="shared" ref="AT73:AT75" si="36">AB73/30*20</f>
        <v>4666666.666666667</v>
      </c>
      <c r="AU73" s="299">
        <f t="shared" si="31"/>
        <v>77000000.000000015</v>
      </c>
      <c r="AV73" s="276">
        <f t="shared" si="32"/>
        <v>0</v>
      </c>
      <c r="AX73" s="273">
        <v>0</v>
      </c>
      <c r="AY73" s="273">
        <v>0</v>
      </c>
      <c r="AZ73" s="273">
        <v>0</v>
      </c>
      <c r="BA73" s="273">
        <f>AU73</f>
        <v>77000000.000000015</v>
      </c>
      <c r="BB73" s="272">
        <f t="shared" si="33"/>
        <v>77000000.000000015</v>
      </c>
    </row>
    <row r="74" spans="1:54" hidden="1">
      <c r="A74" s="213" t="s">
        <v>918</v>
      </c>
      <c r="B74" s="214" t="s">
        <v>744</v>
      </c>
      <c r="C74" s="214" t="s">
        <v>744</v>
      </c>
      <c r="D74" s="214"/>
      <c r="E74" s="214">
        <v>959</v>
      </c>
      <c r="F74" s="216">
        <v>7673</v>
      </c>
      <c r="G74" s="213" t="s">
        <v>544</v>
      </c>
      <c r="H74" s="213" t="s">
        <v>909</v>
      </c>
      <c r="I74" s="213" t="s">
        <v>746</v>
      </c>
      <c r="J74" s="213" t="s">
        <v>747</v>
      </c>
      <c r="K74" s="213" t="s">
        <v>748</v>
      </c>
      <c r="L74" s="213" t="s">
        <v>749</v>
      </c>
      <c r="M74" s="213" t="s">
        <v>750</v>
      </c>
      <c r="N74" s="213" t="s">
        <v>751</v>
      </c>
      <c r="O74" s="213" t="s">
        <v>777</v>
      </c>
      <c r="P74" s="213" t="s">
        <v>910</v>
      </c>
      <c r="Q74" s="217">
        <v>1</v>
      </c>
      <c r="R74" s="213" t="s">
        <v>754</v>
      </c>
      <c r="S74" s="213" t="s">
        <v>755</v>
      </c>
      <c r="T74" s="213">
        <v>80111620</v>
      </c>
      <c r="U74" s="213" t="s">
        <v>919</v>
      </c>
      <c r="V74" s="214">
        <v>1</v>
      </c>
      <c r="W74" s="214">
        <v>1</v>
      </c>
      <c r="X74" s="214">
        <v>330</v>
      </c>
      <c r="Y74" s="234" t="s">
        <v>757</v>
      </c>
      <c r="Z74" s="220" t="s">
        <v>914</v>
      </c>
      <c r="AA74" s="235">
        <v>77000000</v>
      </c>
      <c r="AB74" s="221">
        <v>7000000</v>
      </c>
      <c r="AC74" s="236" t="s">
        <v>920</v>
      </c>
      <c r="AD74" s="236" t="s">
        <v>781</v>
      </c>
      <c r="AE74" s="222"/>
      <c r="AF74" s="223"/>
      <c r="AG74" s="225"/>
      <c r="AH74" s="225"/>
      <c r="AI74" s="332">
        <f t="shared" si="34"/>
        <v>2333333.3333333335</v>
      </c>
      <c r="AJ74" s="332">
        <f t="shared" si="35"/>
        <v>7000000</v>
      </c>
      <c r="AK74" s="332">
        <v>7000000</v>
      </c>
      <c r="AL74" s="332">
        <v>7000000</v>
      </c>
      <c r="AM74" s="302">
        <v>7000000</v>
      </c>
      <c r="AN74" s="302">
        <v>7000000</v>
      </c>
      <c r="AO74" s="302">
        <v>7000000</v>
      </c>
      <c r="AP74" s="302">
        <v>7000000</v>
      </c>
      <c r="AQ74" s="302">
        <v>7000000</v>
      </c>
      <c r="AR74" s="302">
        <v>7000000</v>
      </c>
      <c r="AS74" s="302">
        <v>7000000</v>
      </c>
      <c r="AT74" s="302">
        <f t="shared" si="36"/>
        <v>4666666.666666667</v>
      </c>
      <c r="AU74" s="299">
        <f t="shared" si="31"/>
        <v>77000000.000000015</v>
      </c>
      <c r="AV74" s="276">
        <f t="shared" si="32"/>
        <v>0</v>
      </c>
      <c r="AX74" s="273">
        <v>0</v>
      </c>
      <c r="AY74" s="273">
        <v>0</v>
      </c>
      <c r="AZ74" s="273">
        <v>0</v>
      </c>
      <c r="BA74" s="273">
        <f>AU74</f>
        <v>77000000.000000015</v>
      </c>
      <c r="BB74" s="272">
        <f t="shared" si="33"/>
        <v>77000000.000000015</v>
      </c>
    </row>
    <row r="75" spans="1:54">
      <c r="A75" s="237" t="s">
        <v>743</v>
      </c>
      <c r="B75" s="238" t="s">
        <v>744</v>
      </c>
      <c r="C75" s="238" t="s">
        <v>921</v>
      </c>
      <c r="D75" s="238" t="s">
        <v>922</v>
      </c>
      <c r="E75" s="215" t="s">
        <v>923</v>
      </c>
      <c r="F75" s="239">
        <v>7673</v>
      </c>
      <c r="G75" s="237" t="s">
        <v>544</v>
      </c>
      <c r="H75" s="237" t="s">
        <v>924</v>
      </c>
      <c r="I75" s="237" t="s">
        <v>583</v>
      </c>
      <c r="J75" s="237" t="s">
        <v>747</v>
      </c>
      <c r="K75" s="237" t="s">
        <v>748</v>
      </c>
      <c r="L75" s="237" t="s">
        <v>749</v>
      </c>
      <c r="M75" s="237" t="s">
        <v>750</v>
      </c>
      <c r="N75" s="237" t="s">
        <v>751</v>
      </c>
      <c r="O75" s="237" t="s">
        <v>925</v>
      </c>
      <c r="P75" s="237" t="s">
        <v>753</v>
      </c>
      <c r="Q75" s="240">
        <v>0.33</v>
      </c>
      <c r="R75" s="237" t="s">
        <v>926</v>
      </c>
      <c r="S75" s="237" t="s">
        <v>927</v>
      </c>
      <c r="T75" s="241" t="s">
        <v>204</v>
      </c>
      <c r="U75" s="242" t="s">
        <v>928</v>
      </c>
      <c r="V75" s="238" t="s">
        <v>204</v>
      </c>
      <c r="W75" s="238" t="s">
        <v>204</v>
      </c>
      <c r="X75" s="238" t="s">
        <v>204</v>
      </c>
      <c r="Y75" s="237" t="s">
        <v>929</v>
      </c>
      <c r="Z75" s="243" t="s">
        <v>930</v>
      </c>
      <c r="AA75" s="356">
        <f>150000000*33%</f>
        <v>49500000</v>
      </c>
      <c r="AB75" s="245"/>
      <c r="AC75" s="246"/>
      <c r="AD75" s="246" t="s">
        <v>931</v>
      </c>
      <c r="AE75" s="226"/>
      <c r="AF75" s="223"/>
      <c r="AG75" s="226"/>
      <c r="AH75" s="275"/>
      <c r="AI75" s="332">
        <f t="shared" si="34"/>
        <v>0</v>
      </c>
      <c r="AJ75" s="332">
        <f t="shared" si="35"/>
        <v>0</v>
      </c>
      <c r="AK75" s="340">
        <v>0</v>
      </c>
      <c r="AL75" s="340">
        <v>0</v>
      </c>
      <c r="AM75" s="302">
        <v>0</v>
      </c>
      <c r="AN75" s="302">
        <f>50000000*33%</f>
        <v>16500000</v>
      </c>
      <c r="AO75" s="302">
        <v>0</v>
      </c>
      <c r="AP75" s="302">
        <f>50000000*33%</f>
        <v>16500000</v>
      </c>
      <c r="AQ75" s="302">
        <v>0</v>
      </c>
      <c r="AR75" s="302">
        <f>50000000*33%</f>
        <v>16500000</v>
      </c>
      <c r="AS75" s="302">
        <v>0</v>
      </c>
      <c r="AT75" s="302">
        <f t="shared" si="36"/>
        <v>0</v>
      </c>
      <c r="AU75" s="299">
        <f t="shared" si="31"/>
        <v>49500000</v>
      </c>
      <c r="AV75" s="276">
        <f>+AU75-AA75</f>
        <v>0</v>
      </c>
      <c r="AX75" s="273">
        <f>AU75*33%</f>
        <v>16335000</v>
      </c>
      <c r="AY75" s="273">
        <v>0</v>
      </c>
      <c r="AZ75" s="273">
        <f>AU75*67%</f>
        <v>33165000.000000004</v>
      </c>
      <c r="BA75" s="273">
        <v>0</v>
      </c>
      <c r="BB75" s="272">
        <f t="shared" si="33"/>
        <v>49500000</v>
      </c>
    </row>
    <row r="76" spans="1:54" hidden="1">
      <c r="A76" s="237" t="s">
        <v>743</v>
      </c>
      <c r="B76" s="238" t="s">
        <v>744</v>
      </c>
      <c r="C76" s="238" t="s">
        <v>921</v>
      </c>
      <c r="D76" s="238" t="s">
        <v>922</v>
      </c>
      <c r="E76" s="215" t="s">
        <v>923</v>
      </c>
      <c r="F76" s="239">
        <v>7673</v>
      </c>
      <c r="G76" s="237" t="s">
        <v>544</v>
      </c>
      <c r="H76" s="237" t="s">
        <v>924</v>
      </c>
      <c r="I76" s="237" t="s">
        <v>583</v>
      </c>
      <c r="J76" s="237" t="s">
        <v>747</v>
      </c>
      <c r="K76" s="237" t="s">
        <v>748</v>
      </c>
      <c r="L76" s="237" t="s">
        <v>749</v>
      </c>
      <c r="M76" s="237" t="s">
        <v>750</v>
      </c>
      <c r="N76" s="237" t="s">
        <v>751</v>
      </c>
      <c r="O76" s="237" t="s">
        <v>925</v>
      </c>
      <c r="P76" s="237" t="s">
        <v>778</v>
      </c>
      <c r="Q76" s="240">
        <v>0.67</v>
      </c>
      <c r="R76" s="237" t="s">
        <v>926</v>
      </c>
      <c r="S76" s="237" t="s">
        <v>927</v>
      </c>
      <c r="T76" s="241" t="s">
        <v>204</v>
      </c>
      <c r="U76" s="242" t="s">
        <v>928</v>
      </c>
      <c r="V76" s="238" t="s">
        <v>204</v>
      </c>
      <c r="W76" s="238" t="s">
        <v>204</v>
      </c>
      <c r="X76" s="238" t="s">
        <v>204</v>
      </c>
      <c r="Y76" s="237" t="s">
        <v>929</v>
      </c>
      <c r="Z76" s="243" t="s">
        <v>930</v>
      </c>
      <c r="AA76" s="244">
        <f>150000000*67%</f>
        <v>100500000</v>
      </c>
      <c r="AB76" s="245"/>
      <c r="AC76" s="246"/>
      <c r="AD76" s="246" t="s">
        <v>931</v>
      </c>
      <c r="AE76" s="226"/>
      <c r="AF76" s="223"/>
      <c r="AG76" s="226"/>
      <c r="AH76" s="226"/>
      <c r="AI76" s="332">
        <f t="shared" ref="AI76" si="37">AB76/30*10</f>
        <v>0</v>
      </c>
      <c r="AJ76" s="332">
        <f t="shared" ref="AJ76" si="38">AB76</f>
        <v>0</v>
      </c>
      <c r="AK76" s="340">
        <v>0</v>
      </c>
      <c r="AL76" s="340">
        <v>0</v>
      </c>
      <c r="AM76" s="302">
        <v>0</v>
      </c>
      <c r="AN76" s="302">
        <f>50000000*67%</f>
        <v>33500000.000000004</v>
      </c>
      <c r="AO76" s="302">
        <v>0</v>
      </c>
      <c r="AP76" s="302">
        <f>50000000*67%</f>
        <v>33500000.000000004</v>
      </c>
      <c r="AQ76" s="302">
        <v>0</v>
      </c>
      <c r="AR76" s="302">
        <f>50000000*67%</f>
        <v>33500000.000000004</v>
      </c>
      <c r="AS76" s="302">
        <v>0</v>
      </c>
      <c r="AT76" s="302">
        <f t="shared" ref="AT76" si="39">AB76/30*20</f>
        <v>0</v>
      </c>
      <c r="AU76" s="299">
        <f t="shared" ref="AU76:AU77" si="40">SUM(AI76:AT76)</f>
        <v>100500000.00000001</v>
      </c>
      <c r="AV76" s="276">
        <f>+AU76-AA76</f>
        <v>0</v>
      </c>
      <c r="AX76" s="273">
        <f>AU76*33%</f>
        <v>33165000.000000007</v>
      </c>
      <c r="AY76" s="273">
        <v>0</v>
      </c>
      <c r="AZ76" s="273">
        <f>AU76*67%</f>
        <v>67335000.000000015</v>
      </c>
      <c r="BA76" s="273">
        <v>0</v>
      </c>
      <c r="BB76" s="272">
        <f t="shared" ref="BB76:BB77" si="41">SUM(AX76:BA76)</f>
        <v>100500000.00000003</v>
      </c>
    </row>
    <row r="77" spans="1:54" s="266" customFormat="1">
      <c r="A77"/>
      <c r="B77"/>
      <c r="C77"/>
      <c r="D77"/>
      <c r="E77"/>
      <c r="F77"/>
      <c r="G77"/>
      <c r="H77"/>
      <c r="I77"/>
      <c r="J77"/>
      <c r="K77"/>
      <c r="L77"/>
      <c r="M77"/>
      <c r="N77"/>
      <c r="O77"/>
      <c r="P77" s="237" t="s">
        <v>753</v>
      </c>
      <c r="Q77" s="328">
        <v>1</v>
      </c>
      <c r="R77"/>
      <c r="S77"/>
      <c r="T77"/>
      <c r="U77"/>
      <c r="V77"/>
      <c r="W77"/>
      <c r="X77"/>
      <c r="Y77"/>
      <c r="Z77"/>
      <c r="AA77" s="357">
        <v>14783248</v>
      </c>
      <c r="AC77" s="329" t="s">
        <v>932</v>
      </c>
      <c r="AD77"/>
      <c r="AE77"/>
      <c r="AF77"/>
      <c r="AG77"/>
      <c r="AH77"/>
      <c r="AI77" s="302">
        <v>0</v>
      </c>
      <c r="AJ77" s="302">
        <v>0</v>
      </c>
      <c r="AK77" s="302">
        <v>0</v>
      </c>
      <c r="AL77" s="302">
        <v>0</v>
      </c>
      <c r="AM77" s="302">
        <v>0</v>
      </c>
      <c r="AN77" s="302">
        <v>0</v>
      </c>
      <c r="AO77" s="302">
        <v>0</v>
      </c>
      <c r="AP77" s="302">
        <v>0</v>
      </c>
      <c r="AQ77" s="302">
        <v>14783248</v>
      </c>
      <c r="AR77" s="302">
        <v>0</v>
      </c>
      <c r="AS77" s="302">
        <v>0</v>
      </c>
      <c r="AT77" s="302">
        <v>0</v>
      </c>
      <c r="AU77" s="299">
        <f t="shared" si="40"/>
        <v>14783248</v>
      </c>
      <c r="AV77" s="272"/>
      <c r="AW77" s="272"/>
      <c r="AX77" s="302">
        <f>+AU77</f>
        <v>14783248</v>
      </c>
      <c r="AY77" s="273">
        <v>0</v>
      </c>
      <c r="AZ77" s="273">
        <v>0</v>
      </c>
      <c r="BA77" s="273">
        <v>0</v>
      </c>
      <c r="BB77" s="272">
        <f t="shared" si="41"/>
        <v>14783248</v>
      </c>
    </row>
    <row r="78" spans="1:54" s="266" customFormat="1" hidden="1">
      <c r="A78"/>
      <c r="B78"/>
      <c r="C78"/>
      <c r="D78"/>
      <c r="E78"/>
      <c r="F78"/>
      <c r="G78"/>
      <c r="H78"/>
      <c r="I78"/>
      <c r="J78"/>
      <c r="K78"/>
      <c r="L78"/>
      <c r="M78"/>
      <c r="N78"/>
      <c r="O78"/>
      <c r="P78" s="331"/>
      <c r="Q78" s="328"/>
      <c r="R78"/>
      <c r="S78"/>
      <c r="T78"/>
      <c r="U78"/>
      <c r="V78"/>
      <c r="W78"/>
      <c r="X78"/>
      <c r="Y78"/>
      <c r="Z78"/>
      <c r="AA78" s="330">
        <f>SUM(AA2:AA77)</f>
        <v>5425259000</v>
      </c>
      <c r="AC78" s="329"/>
      <c r="AD78"/>
      <c r="AE78"/>
      <c r="AF78"/>
      <c r="AG78"/>
      <c r="AH78"/>
      <c r="AI78" s="344">
        <f>SUM(AI2:AI77)</f>
        <v>144889000.00000006</v>
      </c>
      <c r="AJ78" s="344">
        <f t="shared" ref="AJ78:AT78" si="42">SUM(AJ2:AJ77)</f>
        <v>316828333.33333337</v>
      </c>
      <c r="AK78" s="344">
        <f t="shared" si="42"/>
        <v>316828333.33333337</v>
      </c>
      <c r="AL78" s="344">
        <f t="shared" si="42"/>
        <v>316828333.33333337</v>
      </c>
      <c r="AM78" s="344">
        <f t="shared" si="42"/>
        <v>317515833.33333337</v>
      </c>
      <c r="AN78" s="344">
        <f t="shared" si="42"/>
        <v>552017333.33333337</v>
      </c>
      <c r="AO78" s="344">
        <f t="shared" si="42"/>
        <v>507109000</v>
      </c>
      <c r="AP78" s="344">
        <f t="shared" si="42"/>
        <v>631013600</v>
      </c>
      <c r="AQ78" s="344">
        <f t="shared" si="42"/>
        <v>521892248</v>
      </c>
      <c r="AR78" s="344">
        <f t="shared" si="42"/>
        <v>705145826</v>
      </c>
      <c r="AS78" s="344">
        <f t="shared" si="42"/>
        <v>605256376</v>
      </c>
      <c r="AT78" s="344">
        <f t="shared" si="42"/>
        <v>489934783.33333349</v>
      </c>
      <c r="AU78" s="344">
        <f>SUM(AI78:AT78)</f>
        <v>5425259000</v>
      </c>
      <c r="AV78" s="272"/>
      <c r="AW78" s="272"/>
      <c r="AX78" s="273"/>
      <c r="AY78" s="273"/>
      <c r="AZ78" s="273"/>
      <c r="BA78" s="273"/>
      <c r="BB78" s="307">
        <f>SUM(BB2:BB77)</f>
        <v>5425259000</v>
      </c>
    </row>
    <row r="79" spans="1:54">
      <c r="AI79" s="345" t="s">
        <v>63</v>
      </c>
      <c r="AJ79" s="345" t="s">
        <v>64</v>
      </c>
      <c r="AK79" s="345" t="s">
        <v>736</v>
      </c>
      <c r="AL79" s="345" t="s">
        <v>66</v>
      </c>
      <c r="AM79" s="345" t="s">
        <v>67</v>
      </c>
      <c r="AN79" s="345" t="s">
        <v>68</v>
      </c>
      <c r="AO79" s="345" t="s">
        <v>69</v>
      </c>
      <c r="AP79" s="345" t="s">
        <v>737</v>
      </c>
      <c r="AQ79" s="345" t="s">
        <v>738</v>
      </c>
      <c r="AR79" s="345" t="s">
        <v>739</v>
      </c>
      <c r="AS79" s="345" t="s">
        <v>740</v>
      </c>
      <c r="AT79" s="345" t="s">
        <v>741</v>
      </c>
      <c r="AU79" s="344"/>
    </row>
    <row r="80" spans="1:54">
      <c r="AH80" s="273" t="s">
        <v>522</v>
      </c>
      <c r="AI80" s="298">
        <f>+AI2+AI3+AI4+AI5+AI6+AI7+AI8+AI9+AI10+AI11+AI12+AI13+AI14+AI15+AI16+AI17+AI18+AI19+AI20+AI21+AI22+AI23+AI24+AI25+AI26+AI27+AI28+AI29+AI30+AI31+AI53+AI54+AI56+AI57+AI59+AI61+AI63+AI64+AI65+AI67+AI69+AI71+AI75+AI77</f>
        <v>93098268.096666679</v>
      </c>
      <c r="AJ80" s="298">
        <f t="shared" ref="AJ80:AT80" si="43">+AJ2+AJ3+AJ4+AJ5+AJ6+AJ7+AJ8+AJ9+AJ10+AJ11+AJ12+AJ13+AJ14+AJ15+AJ16+AJ17+AJ18+AJ19+AJ20+AJ21+AJ22+AJ23+AJ24+AJ25+AJ26+AJ27+AJ28+AJ29+AJ30+AJ31+AJ53+AJ54+AJ56+AJ57+AJ59+AJ61+AJ63+AJ64+AJ65+AJ67+AJ69+AJ71+AJ75+AJ77</f>
        <v>167652934.76333335</v>
      </c>
      <c r="AK80" s="298">
        <f t="shared" si="43"/>
        <v>167652934.76333335</v>
      </c>
      <c r="AL80" s="298">
        <f t="shared" si="43"/>
        <v>167652934.76333335</v>
      </c>
      <c r="AM80" s="298">
        <f t="shared" si="43"/>
        <v>168278559.76333335</v>
      </c>
      <c r="AN80" s="298">
        <f t="shared" si="43"/>
        <v>213550774.04904768</v>
      </c>
      <c r="AO80" s="298">
        <f t="shared" si="43"/>
        <v>202142440.71571437</v>
      </c>
      <c r="AP80" s="298">
        <f t="shared" si="43"/>
        <v>218642440.71571437</v>
      </c>
      <c r="AQ80" s="298">
        <f t="shared" si="43"/>
        <v>216925688.71571437</v>
      </c>
      <c r="AR80" s="298">
        <f t="shared" si="43"/>
        <v>311250816.71571434</v>
      </c>
      <c r="AS80" s="298">
        <f t="shared" si="43"/>
        <v>300289816.71571434</v>
      </c>
      <c r="AT80" s="298">
        <f t="shared" si="43"/>
        <v>174733177.38238099</v>
      </c>
      <c r="AU80" s="301">
        <f>SUM(AI80:AT80)</f>
        <v>2401870787.1600008</v>
      </c>
      <c r="AV80" s="298">
        <v>2501937000</v>
      </c>
      <c r="AW80" s="303">
        <f>+AV80-AU80</f>
        <v>100066212.8399992</v>
      </c>
      <c r="AX80" s="298"/>
      <c r="AY80" s="298"/>
    </row>
    <row r="81" spans="1:51">
      <c r="AA81" s="343">
        <f>SUM(AA2:AA52)+AA73+AA74</f>
        <v>2997679000</v>
      </c>
      <c r="AH81" s="273" t="s">
        <v>523</v>
      </c>
      <c r="AI81" s="298">
        <f>+AI55</f>
        <v>0</v>
      </c>
      <c r="AJ81" s="298">
        <f t="shared" ref="AJ81:AT81" si="44">+AJ55</f>
        <v>0</v>
      </c>
      <c r="AK81" s="298">
        <f t="shared" si="44"/>
        <v>0</v>
      </c>
      <c r="AL81" s="298">
        <f t="shared" si="44"/>
        <v>0</v>
      </c>
      <c r="AM81" s="298">
        <f t="shared" si="44"/>
        <v>0</v>
      </c>
      <c r="AN81" s="298">
        <f t="shared" si="44"/>
        <v>0</v>
      </c>
      <c r="AO81" s="298">
        <f t="shared" si="44"/>
        <v>0</v>
      </c>
      <c r="AP81" s="298">
        <f t="shared" si="44"/>
        <v>73904600</v>
      </c>
      <c r="AQ81" s="298">
        <f t="shared" si="44"/>
        <v>0</v>
      </c>
      <c r="AR81" s="298">
        <f t="shared" si="44"/>
        <v>55428450</v>
      </c>
      <c r="AS81" s="298">
        <f t="shared" si="44"/>
        <v>0</v>
      </c>
      <c r="AT81" s="298">
        <f t="shared" si="44"/>
        <v>55428450</v>
      </c>
      <c r="AU81" s="301">
        <f t="shared" ref="AU81:AU83" si="45">SUM(AI81:AT81)</f>
        <v>184761500</v>
      </c>
      <c r="AV81" s="298">
        <v>184762000</v>
      </c>
      <c r="AW81" s="303">
        <f>+AV81-AU81</f>
        <v>500</v>
      </c>
      <c r="AX81" s="298"/>
      <c r="AY81" s="298"/>
    </row>
    <row r="82" spans="1:51">
      <c r="AH82" s="273" t="s">
        <v>524</v>
      </c>
      <c r="AI82" s="298">
        <f>+AI32+AI33+AI34+AI35+AI36+AI37+AI38+AI39+AI40+AI41+AI42+AI43+AI44+AI45+AI46+AI47+AI48+AI49+AI50+AI51+AI52+AI58+AI60+AI62+AI66+AI68+AI70+AI76</f>
        <v>47124065.236666664</v>
      </c>
      <c r="AJ82" s="298">
        <f t="shared" ref="AJ82:AT82" si="46">+AJ32+AJ33+AJ34+AJ35+AJ36+AJ37+AJ38+AJ39+AJ40+AJ41+AJ42+AJ43+AJ44+AJ45+AJ46+AJ47+AJ48+AJ49+AJ50+AJ51+AJ52+AJ58+AJ60+AJ62+AJ66+AJ68+AJ70+AJ76</f>
        <v>135175398.56999999</v>
      </c>
      <c r="AK82" s="298">
        <f t="shared" si="46"/>
        <v>135175398.56999999</v>
      </c>
      <c r="AL82" s="298">
        <f t="shared" si="46"/>
        <v>135175398.56999999</v>
      </c>
      <c r="AM82" s="298">
        <f t="shared" si="46"/>
        <v>135237273.56999999</v>
      </c>
      <c r="AN82" s="298">
        <f t="shared" si="46"/>
        <v>170752273.56999999</v>
      </c>
      <c r="AO82" s="298">
        <f t="shared" si="46"/>
        <v>137252273.56999999</v>
      </c>
      <c r="AP82" s="298">
        <f t="shared" si="46"/>
        <v>170752273.56999999</v>
      </c>
      <c r="AQ82" s="298">
        <f t="shared" si="46"/>
        <v>137252273.56999999</v>
      </c>
      <c r="AR82" s="298">
        <f t="shared" si="46"/>
        <v>170752273.56999999</v>
      </c>
      <c r="AS82" s="298">
        <f t="shared" si="46"/>
        <v>137252273.56999999</v>
      </c>
      <c r="AT82" s="298">
        <f t="shared" si="46"/>
        <v>96725536.903333321</v>
      </c>
      <c r="AU82" s="301">
        <f t="shared" si="45"/>
        <v>1608626712.8399997</v>
      </c>
      <c r="AV82" s="298">
        <v>1508560000</v>
      </c>
      <c r="AW82" s="303">
        <f>+AV82-AU82</f>
        <v>-100066712.83999968</v>
      </c>
      <c r="AX82" s="298"/>
      <c r="AY82" s="298"/>
    </row>
    <row r="83" spans="1:51">
      <c r="AH83" s="273" t="s">
        <v>742</v>
      </c>
      <c r="AI83" s="298">
        <f>+AI72+AI73+AI74</f>
        <v>4666666.666666667</v>
      </c>
      <c r="AJ83" s="298">
        <f t="shared" ref="AJ83:AT83" si="47">+AJ72+AJ73+AJ74</f>
        <v>14000000</v>
      </c>
      <c r="AK83" s="298">
        <f t="shared" si="47"/>
        <v>14000000</v>
      </c>
      <c r="AL83" s="298">
        <f t="shared" si="47"/>
        <v>14000000</v>
      </c>
      <c r="AM83" s="298">
        <f t="shared" si="47"/>
        <v>14000000</v>
      </c>
      <c r="AN83" s="298">
        <f t="shared" si="47"/>
        <v>167714285.7142857</v>
      </c>
      <c r="AO83" s="298">
        <f t="shared" si="47"/>
        <v>167714285.7142857</v>
      </c>
      <c r="AP83" s="298">
        <f t="shared" si="47"/>
        <v>167714285.7142857</v>
      </c>
      <c r="AQ83" s="298">
        <f t="shared" si="47"/>
        <v>167714285.7142857</v>
      </c>
      <c r="AR83" s="298">
        <f t="shared" si="47"/>
        <v>167714285.7142857</v>
      </c>
      <c r="AS83" s="298">
        <f t="shared" si="47"/>
        <v>167714285.7142857</v>
      </c>
      <c r="AT83" s="298">
        <f t="shared" si="47"/>
        <v>163047619.04761901</v>
      </c>
      <c r="AU83" s="301">
        <f t="shared" si="45"/>
        <v>1230000000</v>
      </c>
      <c r="AV83" s="298">
        <v>1230000000</v>
      </c>
      <c r="AW83" s="303">
        <f>+AV83-AU83</f>
        <v>0</v>
      </c>
      <c r="AX83" s="298"/>
      <c r="AY83" s="298"/>
    </row>
    <row r="85" spans="1:51">
      <c r="A85" s="360" t="s">
        <v>933</v>
      </c>
      <c r="B85" s="361" t="s">
        <v>493</v>
      </c>
      <c r="C85" s="361" t="s">
        <v>934</v>
      </c>
      <c r="D85" s="361" t="s">
        <v>935</v>
      </c>
      <c r="E85" s="361" t="s">
        <v>936</v>
      </c>
      <c r="F85" s="361" t="s">
        <v>937</v>
      </c>
      <c r="G85" s="361" t="s">
        <v>730</v>
      </c>
      <c r="H85" s="361" t="s">
        <v>731</v>
      </c>
      <c r="I85" s="361" t="s">
        <v>938</v>
      </c>
      <c r="J85" s="361" t="s">
        <v>939</v>
      </c>
      <c r="K85" s="362"/>
    </row>
    <row r="86" spans="1:51">
      <c r="A86" s="363" t="s">
        <v>940</v>
      </c>
      <c r="B86" s="363" t="s">
        <v>941</v>
      </c>
      <c r="C86" s="363" t="s">
        <v>942</v>
      </c>
      <c r="D86" s="363" t="s">
        <v>943</v>
      </c>
      <c r="E86" s="363" t="s">
        <v>944</v>
      </c>
      <c r="F86" s="363" t="s">
        <v>945</v>
      </c>
      <c r="G86" s="363" t="s">
        <v>946</v>
      </c>
      <c r="H86" s="363" t="s">
        <v>947</v>
      </c>
      <c r="I86" s="364">
        <v>73200000</v>
      </c>
      <c r="J86" s="364">
        <v>73200000</v>
      </c>
      <c r="K86" s="362"/>
    </row>
    <row r="87" spans="1:51">
      <c r="A87" s="363" t="s">
        <v>830</v>
      </c>
      <c r="B87" s="363" t="s">
        <v>948</v>
      </c>
      <c r="C87" s="363" t="s">
        <v>942</v>
      </c>
      <c r="D87" s="363" t="s">
        <v>943</v>
      </c>
      <c r="E87" s="363" t="s">
        <v>949</v>
      </c>
      <c r="F87" s="363" t="s">
        <v>945</v>
      </c>
      <c r="G87" s="363" t="s">
        <v>950</v>
      </c>
      <c r="H87" s="363" t="s">
        <v>947</v>
      </c>
      <c r="I87" s="364">
        <v>87226500</v>
      </c>
      <c r="J87" s="364">
        <v>87226500</v>
      </c>
      <c r="K87" s="362"/>
    </row>
    <row r="88" spans="1:51">
      <c r="A88" s="363" t="s">
        <v>951</v>
      </c>
      <c r="B88" s="363" t="s">
        <v>952</v>
      </c>
      <c r="C88" s="363" t="s">
        <v>953</v>
      </c>
      <c r="D88" s="363" t="s">
        <v>953</v>
      </c>
      <c r="E88" s="363" t="s">
        <v>954</v>
      </c>
      <c r="F88" s="363" t="s">
        <v>945</v>
      </c>
      <c r="G88" s="363" t="s">
        <v>955</v>
      </c>
      <c r="H88" s="363" t="s">
        <v>947</v>
      </c>
      <c r="I88" s="364">
        <v>1240568013</v>
      </c>
      <c r="J88" s="364">
        <v>1240568013</v>
      </c>
      <c r="K88" s="362"/>
    </row>
    <row r="89" spans="1:51">
      <c r="A89" s="363" t="s">
        <v>847</v>
      </c>
      <c r="B89" s="363" t="s">
        <v>956</v>
      </c>
      <c r="C89" s="363" t="s">
        <v>736</v>
      </c>
      <c r="D89" s="363" t="s">
        <v>953</v>
      </c>
      <c r="E89" s="363" t="s">
        <v>957</v>
      </c>
      <c r="F89" s="363" t="s">
        <v>945</v>
      </c>
      <c r="G89" s="363" t="s">
        <v>950</v>
      </c>
      <c r="H89" s="363" t="s">
        <v>947</v>
      </c>
      <c r="I89" s="364">
        <v>176753000</v>
      </c>
      <c r="J89" s="364">
        <v>176753000</v>
      </c>
      <c r="K89" s="362"/>
    </row>
    <row r="90" spans="1:51">
      <c r="A90" s="363" t="s">
        <v>958</v>
      </c>
      <c r="B90" s="363" t="s">
        <v>959</v>
      </c>
      <c r="C90" s="363" t="s">
        <v>943</v>
      </c>
      <c r="D90" s="363" t="s">
        <v>953</v>
      </c>
      <c r="E90" s="363" t="s">
        <v>949</v>
      </c>
      <c r="F90" s="363" t="s">
        <v>945</v>
      </c>
      <c r="G90" s="363" t="s">
        <v>955</v>
      </c>
      <c r="H90" s="363" t="s">
        <v>947</v>
      </c>
      <c r="I90" s="364">
        <v>1214626088</v>
      </c>
      <c r="J90" s="364">
        <v>1214626088</v>
      </c>
      <c r="K90" s="362"/>
    </row>
    <row r="91" spans="1:51">
      <c r="A91" s="363" t="s">
        <v>864</v>
      </c>
      <c r="B91" s="363" t="s">
        <v>960</v>
      </c>
      <c r="C91" s="363" t="s">
        <v>942</v>
      </c>
      <c r="D91" s="363" t="s">
        <v>942</v>
      </c>
      <c r="E91" s="363" t="s">
        <v>954</v>
      </c>
      <c r="F91" s="363" t="s">
        <v>945</v>
      </c>
      <c r="G91" s="363" t="s">
        <v>946</v>
      </c>
      <c r="H91" s="363" t="s">
        <v>947</v>
      </c>
      <c r="I91" s="364">
        <v>16072165</v>
      </c>
      <c r="J91" s="364">
        <v>16072165</v>
      </c>
      <c r="K91" s="362"/>
    </row>
    <row r="92" spans="1:51">
      <c r="A92" s="363" t="s">
        <v>961</v>
      </c>
      <c r="B92" s="363" t="s">
        <v>962</v>
      </c>
      <c r="C92" s="363" t="s">
        <v>953</v>
      </c>
      <c r="D92" s="363" t="s">
        <v>953</v>
      </c>
      <c r="E92" s="363" t="s">
        <v>954</v>
      </c>
      <c r="F92" s="363" t="s">
        <v>945</v>
      </c>
      <c r="G92" s="363" t="s">
        <v>950</v>
      </c>
      <c r="H92" s="363" t="s">
        <v>947</v>
      </c>
      <c r="I92" s="364">
        <v>50181055</v>
      </c>
      <c r="J92" s="364">
        <v>50181055</v>
      </c>
      <c r="K92" s="362"/>
    </row>
    <row r="93" spans="1:51">
      <c r="A93" s="363" t="s">
        <v>876</v>
      </c>
      <c r="B93" s="363" t="s">
        <v>963</v>
      </c>
      <c r="C93" s="363" t="s">
        <v>953</v>
      </c>
      <c r="D93" s="363" t="s">
        <v>953</v>
      </c>
      <c r="E93" s="363" t="s">
        <v>954</v>
      </c>
      <c r="F93" s="363" t="s">
        <v>945</v>
      </c>
      <c r="G93" s="363" t="s">
        <v>946</v>
      </c>
      <c r="H93" s="363" t="s">
        <v>947</v>
      </c>
      <c r="I93" s="364">
        <v>1376964398</v>
      </c>
      <c r="J93" s="364">
        <v>1376964398</v>
      </c>
      <c r="K93" s="362"/>
    </row>
    <row r="94" spans="1:51">
      <c r="A94" s="363" t="s">
        <v>883</v>
      </c>
      <c r="B94" s="363" t="s">
        <v>964</v>
      </c>
      <c r="C94" s="363" t="s">
        <v>943</v>
      </c>
      <c r="D94" s="363" t="s">
        <v>736</v>
      </c>
      <c r="E94" s="363" t="s">
        <v>965</v>
      </c>
      <c r="F94" s="363" t="s">
        <v>945</v>
      </c>
      <c r="G94" s="363" t="s">
        <v>950</v>
      </c>
      <c r="H94" s="363" t="s">
        <v>947</v>
      </c>
      <c r="I94" s="364">
        <v>24402000</v>
      </c>
      <c r="J94" s="364">
        <v>24402000</v>
      </c>
      <c r="K94" s="362"/>
    </row>
    <row r="95" spans="1:51">
      <c r="A95" s="363" t="s">
        <v>966</v>
      </c>
      <c r="B95" s="363" t="s">
        <v>967</v>
      </c>
      <c r="C95" s="363" t="s">
        <v>953</v>
      </c>
      <c r="D95" s="363" t="s">
        <v>968</v>
      </c>
      <c r="E95" s="363" t="s">
        <v>949</v>
      </c>
      <c r="F95" s="363" t="s">
        <v>945</v>
      </c>
      <c r="G95" s="363" t="s">
        <v>955</v>
      </c>
      <c r="H95" s="363" t="s">
        <v>947</v>
      </c>
      <c r="I95" s="364">
        <v>490322584</v>
      </c>
      <c r="J95" s="364">
        <v>490322584</v>
      </c>
      <c r="K95" s="362"/>
    </row>
    <row r="96" spans="1:51">
      <c r="A96" s="363" t="s">
        <v>899</v>
      </c>
      <c r="B96" s="363" t="s">
        <v>969</v>
      </c>
      <c r="C96" s="363" t="s">
        <v>942</v>
      </c>
      <c r="D96" s="363" t="s">
        <v>942</v>
      </c>
      <c r="E96" s="363" t="s">
        <v>970</v>
      </c>
      <c r="F96" s="363" t="s">
        <v>945</v>
      </c>
      <c r="G96" s="363" t="s">
        <v>946</v>
      </c>
      <c r="H96" s="363" t="s">
        <v>947</v>
      </c>
      <c r="I96" s="364">
        <v>1002549647</v>
      </c>
      <c r="J96" s="364">
        <v>1002549647</v>
      </c>
      <c r="K96" s="362"/>
    </row>
    <row r="97" spans="1:11">
      <c r="A97" s="363" t="s">
        <v>906</v>
      </c>
      <c r="B97" s="363" t="s">
        <v>971</v>
      </c>
      <c r="C97" s="363" t="s">
        <v>972</v>
      </c>
      <c r="D97" s="363" t="s">
        <v>972</v>
      </c>
      <c r="E97" s="363" t="s">
        <v>954</v>
      </c>
      <c r="F97" s="363" t="s">
        <v>945</v>
      </c>
      <c r="G97" s="363" t="s">
        <v>946</v>
      </c>
      <c r="H97" s="363" t="s">
        <v>947</v>
      </c>
      <c r="I97" s="364">
        <v>111567387</v>
      </c>
      <c r="J97" s="364">
        <v>111567387</v>
      </c>
      <c r="K97" s="362"/>
    </row>
    <row r="98" spans="1:11">
      <c r="A98" s="363" t="s">
        <v>973</v>
      </c>
      <c r="B98" s="363" t="s">
        <v>974</v>
      </c>
      <c r="C98" s="363" t="s">
        <v>943</v>
      </c>
      <c r="D98" s="363" t="s">
        <v>953</v>
      </c>
      <c r="E98" s="363" t="s">
        <v>975</v>
      </c>
      <c r="F98" s="363" t="s">
        <v>945</v>
      </c>
      <c r="G98" s="363" t="s">
        <v>955</v>
      </c>
      <c r="H98" s="363" t="s">
        <v>947</v>
      </c>
      <c r="I98" s="364">
        <v>157760500</v>
      </c>
      <c r="J98" s="364">
        <v>157760500</v>
      </c>
      <c r="K98" s="362"/>
    </row>
    <row r="99" spans="1:11">
      <c r="A99" s="363" t="s">
        <v>976</v>
      </c>
      <c r="B99" s="363" t="s">
        <v>977</v>
      </c>
      <c r="C99" s="363" t="s">
        <v>943</v>
      </c>
      <c r="D99" s="363" t="s">
        <v>953</v>
      </c>
      <c r="E99" s="363" t="s">
        <v>954</v>
      </c>
      <c r="F99" s="363" t="s">
        <v>945</v>
      </c>
      <c r="G99" s="363" t="s">
        <v>950</v>
      </c>
      <c r="H99" s="363" t="s">
        <v>947</v>
      </c>
      <c r="I99" s="364">
        <v>92608376</v>
      </c>
      <c r="J99" s="364">
        <v>92608376</v>
      </c>
      <c r="K99" s="362"/>
    </row>
    <row r="100" spans="1:11">
      <c r="A100" s="363" t="s">
        <v>978</v>
      </c>
      <c r="B100" s="363" t="s">
        <v>979</v>
      </c>
      <c r="C100" s="363" t="s">
        <v>736</v>
      </c>
      <c r="D100" s="363" t="s">
        <v>953</v>
      </c>
      <c r="E100" s="363" t="s">
        <v>965</v>
      </c>
      <c r="F100" s="363" t="s">
        <v>945</v>
      </c>
      <c r="G100" s="363" t="s">
        <v>980</v>
      </c>
      <c r="H100" s="363" t="s">
        <v>947</v>
      </c>
      <c r="I100" s="364">
        <v>184761500</v>
      </c>
      <c r="J100" s="364">
        <v>184761500</v>
      </c>
      <c r="K100" s="362"/>
    </row>
    <row r="101" spans="1:11">
      <c r="A101" s="362"/>
      <c r="B101" s="362"/>
      <c r="C101" s="362"/>
      <c r="D101" s="362"/>
      <c r="E101" s="362"/>
      <c r="F101" s="362"/>
      <c r="G101" s="362"/>
      <c r="H101" s="362"/>
      <c r="I101" s="362"/>
      <c r="J101" s="362"/>
      <c r="K101" s="362"/>
    </row>
    <row r="102" spans="1:11">
      <c r="A102" s="362"/>
      <c r="B102" s="362"/>
      <c r="C102" s="362"/>
      <c r="D102" s="362"/>
      <c r="E102" s="362"/>
      <c r="F102" s="362"/>
      <c r="G102" s="362"/>
      <c r="H102" s="362"/>
      <c r="I102" s="362"/>
      <c r="J102" s="362"/>
      <c r="K102" s="362"/>
    </row>
    <row r="103" spans="1:11">
      <c r="A103" s="362"/>
      <c r="B103" s="362"/>
      <c r="C103" s="362"/>
      <c r="D103" s="362"/>
      <c r="E103" s="362"/>
      <c r="F103" s="362"/>
      <c r="G103" s="362"/>
      <c r="H103" s="362"/>
      <c r="I103" s="362"/>
      <c r="J103" s="362"/>
      <c r="K103" s="362"/>
    </row>
    <row r="104" spans="1:11">
      <c r="A104" s="362"/>
      <c r="B104" s="362"/>
      <c r="C104" s="362"/>
      <c r="D104" s="362"/>
      <c r="E104" s="362"/>
      <c r="F104" s="362"/>
      <c r="G104" s="362"/>
      <c r="H104" s="362"/>
      <c r="I104" s="362"/>
      <c r="J104" s="362"/>
      <c r="K104" s="362"/>
    </row>
    <row r="105" spans="1:11">
      <c r="B105" s="627" t="s">
        <v>522</v>
      </c>
      <c r="C105" s="627" t="s">
        <v>523</v>
      </c>
      <c r="D105" s="627" t="s">
        <v>524</v>
      </c>
      <c r="E105" s="627" t="s">
        <v>742</v>
      </c>
      <c r="F105" s="627" t="s">
        <v>981</v>
      </c>
    </row>
    <row r="106" spans="1:11" ht="15" customHeight="1">
      <c r="A106" s="627" t="s">
        <v>43</v>
      </c>
      <c r="B106" s="625">
        <f>'Meta 1'!AC22</f>
        <v>2334220914.1599998</v>
      </c>
      <c r="C106" s="625">
        <f>'Meta 2'!AC22</f>
        <v>280463582</v>
      </c>
      <c r="D106" s="625">
        <f>'Meta 3'!AC22</f>
        <v>1580574503.8400002</v>
      </c>
      <c r="E106" s="625">
        <f>'Meta 4'!AC22</f>
        <v>1230000000</v>
      </c>
      <c r="F106" s="625">
        <f>SUBTOTAL(9,B106:E106)</f>
        <v>5425259000</v>
      </c>
    </row>
    <row r="107" spans="1:11" ht="15" customHeight="1">
      <c r="A107" s="627" t="s">
        <v>44</v>
      </c>
      <c r="B107" s="628">
        <f>'Meta 1'!AC23</f>
        <v>2021309705</v>
      </c>
      <c r="C107" s="628">
        <f>+'Meta 2'!AC23</f>
        <v>280463582</v>
      </c>
      <c r="D107" s="628">
        <f>+'Meta 3'!AC23</f>
        <v>1580079503</v>
      </c>
      <c r="E107" s="628">
        <f>+'Meta 4'!AC23</f>
        <v>1230000000</v>
      </c>
      <c r="F107" s="628">
        <f>SUBTOTAL(9,B107:E107)</f>
        <v>5111852790</v>
      </c>
      <c r="G107" s="626">
        <f>F107/F106</f>
        <v>0.94223202800087513</v>
      </c>
      <c r="H107">
        <v>4387301023</v>
      </c>
      <c r="I107">
        <v>27446658</v>
      </c>
    </row>
    <row r="108" spans="1:11" ht="15" customHeight="1">
      <c r="A108" s="627" t="s">
        <v>46</v>
      </c>
      <c r="B108" s="625">
        <f>'Meta 1'!AC24</f>
        <v>2334220914.1599998</v>
      </c>
      <c r="C108" s="625">
        <f>+'Meta 2'!AC24</f>
        <v>280463582</v>
      </c>
      <c r="D108" s="625">
        <f>+'Meta 3'!AC24</f>
        <v>1580574503.8399997</v>
      </c>
      <c r="E108" s="625">
        <f>+'Meta 4'!AC24</f>
        <v>1230000000.0000002</v>
      </c>
      <c r="F108" s="625">
        <f>SUBTOTAL(9,B108:E108)</f>
        <v>5425259000</v>
      </c>
      <c r="H108" s="625">
        <f>F107-H107</f>
        <v>724551767</v>
      </c>
    </row>
    <row r="109" spans="1:11">
      <c r="A109" s="627" t="s">
        <v>47</v>
      </c>
      <c r="B109" s="628">
        <f>'Meta 1'!AC25</f>
        <v>1021285811</v>
      </c>
      <c r="C109" s="628">
        <f>+'Meta 2'!AC25</f>
        <v>0</v>
      </c>
      <c r="D109" s="628">
        <f>+'Meta 3'!AC25</f>
        <v>1005410119</v>
      </c>
      <c r="E109" s="628">
        <f>+'Meta 4'!AC25</f>
        <v>1174000000</v>
      </c>
      <c r="F109" s="628">
        <f>SUBTOTAL(9,B109:E109)</f>
        <v>3200695930</v>
      </c>
      <c r="G109" s="626">
        <f>F109/F108</f>
        <v>0.58996186725831889</v>
      </c>
    </row>
    <row r="111" spans="1:11" ht="15" customHeight="1"/>
    <row r="112" spans="1:11" ht="15" customHeight="1"/>
    <row r="113" ht="15" customHeight="1"/>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K1" workbookViewId="0">
      <selection activeCell="P9" sqref="P9"/>
    </sheetView>
  </sheetViews>
  <sheetFormatPr baseColWidth="10" defaultColWidth="11.42578125" defaultRowHeight="15"/>
  <cols>
    <col min="1" max="1" width="12.7109375" customWidth="1"/>
    <col min="14" max="14" width="16.7109375" bestFit="1" customWidth="1"/>
  </cols>
  <sheetData>
    <row r="1" spans="1:27" s="386" customFormat="1" ht="26.25" thickBot="1">
      <c r="A1" s="389" t="s">
        <v>493</v>
      </c>
      <c r="B1" s="389">
        <v>2020</v>
      </c>
      <c r="C1" s="389">
        <v>2021</v>
      </c>
      <c r="D1" s="389">
        <v>2022</v>
      </c>
      <c r="E1" s="389">
        <v>2023</v>
      </c>
      <c r="F1" s="389">
        <v>2024</v>
      </c>
      <c r="G1" s="389" t="s">
        <v>982</v>
      </c>
      <c r="H1" s="390"/>
      <c r="I1" s="391" t="s">
        <v>983</v>
      </c>
      <c r="J1" s="391" t="s">
        <v>984</v>
      </c>
      <c r="K1" s="391" t="s">
        <v>985</v>
      </c>
      <c r="L1" s="391" t="s">
        <v>986</v>
      </c>
      <c r="M1" s="391"/>
      <c r="O1" s="391" t="s">
        <v>987</v>
      </c>
      <c r="P1" s="391" t="s">
        <v>988</v>
      </c>
      <c r="Q1" s="391" t="s">
        <v>989</v>
      </c>
      <c r="R1" s="391" t="s">
        <v>990</v>
      </c>
      <c r="S1" s="391" t="s">
        <v>991</v>
      </c>
      <c r="T1" s="391" t="s">
        <v>992</v>
      </c>
      <c r="U1" s="391" t="s">
        <v>993</v>
      </c>
      <c r="V1" s="391" t="s">
        <v>994</v>
      </c>
      <c r="W1" s="391" t="s">
        <v>995</v>
      </c>
      <c r="X1" s="391" t="s">
        <v>996</v>
      </c>
      <c r="Y1" s="391" t="s">
        <v>997</v>
      </c>
      <c r="Z1" s="391" t="s">
        <v>998</v>
      </c>
    </row>
    <row r="2" spans="1:27" ht="15.75" thickBot="1">
      <c r="A2" s="392" t="s">
        <v>999</v>
      </c>
      <c r="B2" s="393">
        <v>2000</v>
      </c>
      <c r="C2" s="394">
        <v>7000</v>
      </c>
      <c r="D2" s="395">
        <v>7000</v>
      </c>
      <c r="E2" s="396">
        <v>7000</v>
      </c>
      <c r="F2" s="397">
        <v>3100</v>
      </c>
      <c r="G2" s="392">
        <f t="shared" ref="G2:G6" si="0">SUM(B2:F2)</f>
        <v>26100</v>
      </c>
      <c r="H2" s="120"/>
      <c r="I2" s="398">
        <f>'Meta 1'!D35+'Meta 1'!E35+'Meta 1'!F35</f>
        <v>1481</v>
      </c>
      <c r="J2" s="398">
        <f>'Meta 1'!G35+'Meta 1'!H35+'Meta 1'!I35</f>
        <v>2363</v>
      </c>
      <c r="K2" s="398">
        <v>0</v>
      </c>
      <c r="L2" s="398">
        <v>0</v>
      </c>
      <c r="M2" s="366">
        <f>SUM(I2:L2)</f>
        <v>3844</v>
      </c>
      <c r="O2" s="398">
        <f>'Meta 1'!D34</f>
        <v>0</v>
      </c>
      <c r="P2" s="398">
        <f>'Meta 1'!E34</f>
        <v>500</v>
      </c>
      <c r="Q2" s="398">
        <f>'Meta 1'!F34</f>
        <v>700</v>
      </c>
      <c r="R2" s="398">
        <f>'Meta 1'!G34</f>
        <v>700</v>
      </c>
      <c r="S2" s="398">
        <f>'Meta 1'!H34</f>
        <v>700</v>
      </c>
      <c r="T2" s="398">
        <f>'Meta 1'!I34</f>
        <v>700</v>
      </c>
      <c r="U2" s="398">
        <f>'Meta 1'!J34</f>
        <v>700</v>
      </c>
      <c r="V2" s="398">
        <f>'Meta 1'!K34</f>
        <v>700</v>
      </c>
      <c r="W2" s="398">
        <f>'Meta 1'!L34</f>
        <v>700</v>
      </c>
      <c r="X2" s="398">
        <f>'Meta 1'!M34</f>
        <v>700</v>
      </c>
      <c r="Y2" s="398">
        <f>'Meta 1'!N34</f>
        <v>700</v>
      </c>
      <c r="Z2" s="398">
        <f>'Meta 1'!O34</f>
        <v>200</v>
      </c>
      <c r="AA2" s="411">
        <f>SUM(O2:Z2)</f>
        <v>7000</v>
      </c>
    </row>
    <row r="3" spans="1:27">
      <c r="A3" s="392" t="s">
        <v>1000</v>
      </c>
      <c r="B3" s="393">
        <v>15</v>
      </c>
      <c r="C3" s="394">
        <v>31</v>
      </c>
      <c r="D3" s="395">
        <v>31</v>
      </c>
      <c r="E3" s="396">
        <v>23</v>
      </c>
      <c r="F3" s="397">
        <v>0</v>
      </c>
      <c r="G3" s="392">
        <f t="shared" si="0"/>
        <v>100</v>
      </c>
      <c r="H3" s="120"/>
      <c r="I3" s="399">
        <f>('Meta 2'!D35+'Meta 2'!E35+'Meta 2'!F35)*100/13</f>
        <v>0</v>
      </c>
      <c r="J3" s="399">
        <f>('Meta 2'!G35+'Meta 2'!H35+'Meta 2'!I35)*100/13</f>
        <v>0</v>
      </c>
      <c r="K3" s="399">
        <f>('Meta 2'!J35+'Meta 2'!K35+'Meta 2'!L35)*100/13</f>
        <v>0</v>
      </c>
      <c r="L3" s="399">
        <f>('Meta 2'!M35+'Meta 2'!N35+'Meta 2'!O35)*100/13</f>
        <v>0</v>
      </c>
      <c r="M3" s="400">
        <f>SUM(I3:L3)</f>
        <v>0</v>
      </c>
      <c r="O3" s="399">
        <f>(('Meta 2'!D35)*100)/13</f>
        <v>0</v>
      </c>
      <c r="P3" s="399">
        <f>(('Meta 2'!E35)*100)/13</f>
        <v>0</v>
      </c>
      <c r="Q3" s="399">
        <f>(('Meta 2'!F35)*100)/13</f>
        <v>0</v>
      </c>
      <c r="R3" s="399">
        <f>(('Meta 2'!G35)*100)/13</f>
        <v>0</v>
      </c>
      <c r="S3" s="399">
        <f>(('Meta 2'!H35)*100)/13</f>
        <v>0</v>
      </c>
      <c r="T3" s="399">
        <f>(('Meta 2'!I35)*100)/13</f>
        <v>0</v>
      </c>
      <c r="U3" s="399">
        <f>(('Meta 2'!J35)*100)/13</f>
        <v>0</v>
      </c>
      <c r="V3" s="399">
        <f>(('Meta 2'!K35)*100)/13</f>
        <v>0</v>
      </c>
      <c r="W3" s="399">
        <f>(('Meta 2'!L35)*100)/13</f>
        <v>0</v>
      </c>
      <c r="X3" s="399">
        <f>(('Meta 2'!M35)*100)/13</f>
        <v>0</v>
      </c>
      <c r="Y3" s="399">
        <f>(('Meta 2'!N35)*100)/13</f>
        <v>0</v>
      </c>
      <c r="Z3" s="399">
        <f>(('Meta 2'!O35)*100)/13</f>
        <v>0</v>
      </c>
      <c r="AA3" s="412">
        <f t="shared" ref="AA3:AA4" si="1">SUM(O3:Z3)</f>
        <v>0</v>
      </c>
    </row>
    <row r="4" spans="1:27" ht="15.75" thickBot="1">
      <c r="A4" s="401" t="s">
        <v>1001</v>
      </c>
      <c r="B4" s="402">
        <v>20</v>
      </c>
      <c r="C4" s="403">
        <v>20</v>
      </c>
      <c r="D4" s="404">
        <v>20</v>
      </c>
      <c r="E4" s="405">
        <v>20</v>
      </c>
      <c r="F4" s="406">
        <v>20</v>
      </c>
      <c r="G4" s="401">
        <f t="shared" si="0"/>
        <v>100</v>
      </c>
      <c r="H4" s="120"/>
      <c r="I4" s="399">
        <f>(('Meta 3'!D35+'Meta 3'!E35+'Meta 3'!F35)*20)/0.2</f>
        <v>2.9920000000000004</v>
      </c>
      <c r="J4" s="399">
        <f>(('Meta 3'!G35+'Meta 3'!H35+'Meta 3'!I35)*20)/0.2</f>
        <v>5.8880000000000017</v>
      </c>
      <c r="K4" s="399">
        <f>(('Meta 3'!J35+'Meta 3'!K35+'Meta 3'!L35)*20)/0.2</f>
        <v>6.0560000000000009</v>
      </c>
      <c r="L4" s="399">
        <f>(('Meta 3'!M35+'Meta 3'!N35+'Meta 3'!O35)*20)/0.2</f>
        <v>0</v>
      </c>
      <c r="M4" s="343">
        <f>SUM(I4:L4)</f>
        <v>14.936000000000003</v>
      </c>
      <c r="O4" s="399">
        <f>(('Meta 3'!D35)*20)/0.2</f>
        <v>0</v>
      </c>
      <c r="P4" s="399">
        <f>(('Meta 3'!E35)*20)/0.2</f>
        <v>1.0480000000000003</v>
      </c>
      <c r="Q4" s="399">
        <f>(('Meta 3'!F35)*20)/0.2</f>
        <v>1.9440000000000006</v>
      </c>
      <c r="R4" s="399">
        <f>(('Meta 3'!G35)*20)/0.2</f>
        <v>1.7280000000000006</v>
      </c>
      <c r="S4" s="399">
        <f>(('Meta 3'!H35)*20)/0.2</f>
        <v>2.0000000000000004</v>
      </c>
      <c r="T4" s="399">
        <f>(('Meta 3'!I35)*20)/0.2</f>
        <v>2.1600000000000006</v>
      </c>
      <c r="U4" s="399">
        <f>(('Meta 3'!J35)*20)/0.2</f>
        <v>1.9440000000000006</v>
      </c>
      <c r="V4" s="399">
        <f>(('Meta 3'!K35)*20)/0.2</f>
        <v>2.0000000000000004</v>
      </c>
      <c r="W4" s="399">
        <f>(('Meta 3'!L35)*20)/0.2</f>
        <v>2.1120000000000005</v>
      </c>
      <c r="X4" s="399">
        <f>(('Meta 3'!M35)*20)/0.2</f>
        <v>0</v>
      </c>
      <c r="Y4" s="399">
        <f>(('Meta 3'!N35)*20)/0.2</f>
        <v>0</v>
      </c>
      <c r="Z4" s="399">
        <f>(('Meta 3'!O35)*20)/0.2</f>
        <v>0</v>
      </c>
      <c r="AA4" s="412">
        <f t="shared" si="1"/>
        <v>14.936000000000003</v>
      </c>
    </row>
    <row r="5" spans="1:27">
      <c r="A5" s="392" t="s">
        <v>1002</v>
      </c>
      <c r="B5" s="393">
        <f t="shared" ref="B5:F5" si="2">AVERAGE(B3:B4)</f>
        <v>17.5</v>
      </c>
      <c r="C5" s="394">
        <f t="shared" si="2"/>
        <v>25.5</v>
      </c>
      <c r="D5" s="395">
        <f t="shared" si="2"/>
        <v>25.5</v>
      </c>
      <c r="E5" s="396">
        <f t="shared" si="2"/>
        <v>21.5</v>
      </c>
      <c r="F5" s="397">
        <f t="shared" si="2"/>
        <v>10</v>
      </c>
      <c r="G5" s="392">
        <f t="shared" si="0"/>
        <v>100</v>
      </c>
      <c r="H5" s="120"/>
      <c r="I5" s="424">
        <f>AVERAGE(I3,I4)</f>
        <v>1.4960000000000002</v>
      </c>
      <c r="J5" s="407">
        <f>AVERAGE(J3,J4)</f>
        <v>2.9440000000000008</v>
      </c>
      <c r="K5" s="407">
        <f>AVERAGE(K3,K4)</f>
        <v>3.0280000000000005</v>
      </c>
      <c r="L5" s="407">
        <f>AVERAGE(L3,L4)</f>
        <v>0</v>
      </c>
      <c r="M5" s="343">
        <f>AVERAGE(M3:M4)</f>
        <v>7.4680000000000017</v>
      </c>
      <c r="N5" s="408"/>
      <c r="O5" s="407">
        <f>AVERAGE(O3,O4)</f>
        <v>0</v>
      </c>
      <c r="P5" s="424">
        <f>AVERAGE(P3,P4)</f>
        <v>0.52400000000000013</v>
      </c>
      <c r="Q5" s="407">
        <f>AVERAGE(Q3,Q4)</f>
        <v>0.97200000000000031</v>
      </c>
      <c r="R5" s="407">
        <f t="shared" ref="R5:Y5" si="3">AVERAGE(R3,R4)</f>
        <v>0.86400000000000032</v>
      </c>
      <c r="S5" s="407">
        <f t="shared" si="3"/>
        <v>1.0000000000000002</v>
      </c>
      <c r="T5" s="407">
        <f t="shared" si="3"/>
        <v>1.0800000000000003</v>
      </c>
      <c r="U5" s="407">
        <f t="shared" si="3"/>
        <v>0.97200000000000031</v>
      </c>
      <c r="V5" s="407">
        <f t="shared" si="3"/>
        <v>1.0000000000000002</v>
      </c>
      <c r="W5" s="407">
        <f>AVERAGE(W3,W4)</f>
        <v>1.0560000000000003</v>
      </c>
      <c r="X5" s="407">
        <f t="shared" si="3"/>
        <v>0</v>
      </c>
      <c r="Y5" s="407">
        <f t="shared" si="3"/>
        <v>0</v>
      </c>
      <c r="Z5" s="407">
        <f>AVERAGE(Z3,Z4)</f>
        <v>0</v>
      </c>
      <c r="AA5" s="670">
        <f>SUM(O5:Z5)</f>
        <v>7.4680000000000017</v>
      </c>
    </row>
    <row r="6" spans="1:27" ht="15.75" thickBot="1">
      <c r="A6" s="401" t="s">
        <v>1003</v>
      </c>
      <c r="B6" s="402">
        <v>18</v>
      </c>
      <c r="C6" s="403">
        <v>25</v>
      </c>
      <c r="D6" s="404">
        <v>25</v>
      </c>
      <c r="E6" s="405">
        <v>22</v>
      </c>
      <c r="F6" s="406">
        <v>10</v>
      </c>
      <c r="G6" s="401">
        <f t="shared" si="0"/>
        <v>100</v>
      </c>
      <c r="H6" s="120"/>
      <c r="I6" s="120"/>
      <c r="J6" s="120"/>
      <c r="K6" s="120"/>
      <c r="L6" s="120"/>
      <c r="P6" s="488">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289" t="s">
        <v>339</v>
      </c>
      <c r="B1" s="1290"/>
    </row>
    <row r="2" spans="1:2" ht="25.5" customHeight="1">
      <c r="A2" s="1291" t="s">
        <v>1004</v>
      </c>
      <c r="B2" s="1292"/>
    </row>
    <row r="3" spans="1:2">
      <c r="A3" s="127" t="s">
        <v>1005</v>
      </c>
      <c r="B3" s="127" t="s">
        <v>1006</v>
      </c>
    </row>
    <row r="4" spans="1:2">
      <c r="A4" s="128" t="s">
        <v>9</v>
      </c>
      <c r="B4" s="136" t="s">
        <v>1007</v>
      </c>
    </row>
    <row r="5" spans="1:2" ht="105">
      <c r="A5" s="128" t="s">
        <v>10</v>
      </c>
      <c r="B5" s="135" t="s">
        <v>1008</v>
      </c>
    </row>
    <row r="6" spans="1:2">
      <c r="A6" s="128" t="s">
        <v>15</v>
      </c>
      <c r="B6" s="1293" t="s">
        <v>1009</v>
      </c>
    </row>
    <row r="7" spans="1:2">
      <c r="A7" s="128" t="s">
        <v>17</v>
      </c>
      <c r="B7" s="1294"/>
    </row>
    <row r="8" spans="1:2">
      <c r="A8" s="128" t="s">
        <v>19</v>
      </c>
      <c r="B8" s="1294"/>
    </row>
    <row r="9" spans="1:2">
      <c r="A9" s="128" t="s">
        <v>1010</v>
      </c>
      <c r="B9" s="1295"/>
    </row>
    <row r="10" spans="1:2" ht="30">
      <c r="A10" s="128" t="s">
        <v>7</v>
      </c>
      <c r="B10" s="129" t="s">
        <v>1011</v>
      </c>
    </row>
    <row r="11" spans="1:2" ht="45">
      <c r="A11" s="128" t="s">
        <v>27</v>
      </c>
      <c r="B11" s="129" t="s">
        <v>1012</v>
      </c>
    </row>
    <row r="12" spans="1:2" ht="60">
      <c r="A12" s="128" t="s">
        <v>26</v>
      </c>
      <c r="B12" s="130" t="s">
        <v>1013</v>
      </c>
    </row>
    <row r="13" spans="1:2" ht="30">
      <c r="A13" s="128" t="s">
        <v>1014</v>
      </c>
      <c r="B13" s="130" t="s">
        <v>1015</v>
      </c>
    </row>
    <row r="14" spans="1:2" ht="45">
      <c r="A14" s="128" t="s">
        <v>1016</v>
      </c>
      <c r="B14" s="130" t="s">
        <v>1017</v>
      </c>
    </row>
    <row r="15" spans="1:2" ht="72" customHeight="1">
      <c r="A15" s="131" t="s">
        <v>1018</v>
      </c>
      <c r="B15" s="132" t="s">
        <v>1019</v>
      </c>
    </row>
    <row r="16" spans="1:2" ht="194.25">
      <c r="A16" s="131" t="s">
        <v>1020</v>
      </c>
      <c r="B16" s="133" t="s">
        <v>1021</v>
      </c>
    </row>
    <row r="17" spans="1:2" ht="25.5" customHeight="1">
      <c r="A17" s="1291" t="s">
        <v>1022</v>
      </c>
      <c r="B17" s="1292"/>
    </row>
    <row r="18" spans="1:2">
      <c r="A18" s="127" t="s">
        <v>1005</v>
      </c>
      <c r="B18" s="127" t="s">
        <v>1006</v>
      </c>
    </row>
    <row r="19" spans="1:2">
      <c r="A19" s="128" t="s">
        <v>9</v>
      </c>
      <c r="B19" s="136" t="s">
        <v>1007</v>
      </c>
    </row>
    <row r="20" spans="1:2" ht="105">
      <c r="A20" s="128" t="s">
        <v>10</v>
      </c>
      <c r="B20" s="135" t="s">
        <v>1008</v>
      </c>
    </row>
    <row r="21" spans="1:2" ht="30">
      <c r="A21" s="128" t="s">
        <v>1023</v>
      </c>
      <c r="B21" s="130" t="s">
        <v>1024</v>
      </c>
    </row>
    <row r="22" spans="1:2" ht="45">
      <c r="A22" s="128" t="s">
        <v>1025</v>
      </c>
      <c r="B22" s="130" t="s">
        <v>1026</v>
      </c>
    </row>
    <row r="23" spans="1:2" ht="75">
      <c r="A23" s="128" t="s">
        <v>1027</v>
      </c>
      <c r="B23" s="130" t="s">
        <v>1028</v>
      </c>
    </row>
    <row r="24" spans="1:2" ht="30">
      <c r="A24" s="128" t="s">
        <v>1029</v>
      </c>
      <c r="B24" s="130" t="s">
        <v>1030</v>
      </c>
    </row>
    <row r="25" spans="1:2" ht="30">
      <c r="A25" s="128" t="s">
        <v>1031</v>
      </c>
      <c r="B25" s="130" t="s">
        <v>1032</v>
      </c>
    </row>
    <row r="26" spans="1:2" ht="45.95" customHeight="1">
      <c r="A26" s="128" t="s">
        <v>1033</v>
      </c>
      <c r="B26" s="134" t="s">
        <v>1034</v>
      </c>
    </row>
    <row r="27" spans="1:2" ht="75">
      <c r="A27" s="128" t="s">
        <v>351</v>
      </c>
      <c r="B27" s="134" t="s">
        <v>1035</v>
      </c>
    </row>
    <row r="28" spans="1:2" ht="45">
      <c r="A28" s="128" t="s">
        <v>1036</v>
      </c>
      <c r="B28" s="134" t="s">
        <v>1037</v>
      </c>
    </row>
    <row r="29" spans="1:2" ht="45">
      <c r="A29" s="128" t="s">
        <v>1038</v>
      </c>
      <c r="B29" s="134" t="s">
        <v>1039</v>
      </c>
    </row>
    <row r="30" spans="1:2" ht="45">
      <c r="A30" s="128" t="s">
        <v>1040</v>
      </c>
      <c r="B30" s="134" t="s">
        <v>1041</v>
      </c>
    </row>
    <row r="31" spans="1:2" ht="144" customHeight="1">
      <c r="A31" s="128" t="s">
        <v>1042</v>
      </c>
      <c r="B31" s="134" t="s">
        <v>1043</v>
      </c>
    </row>
    <row r="32" spans="1:2" ht="30">
      <c r="A32" s="128" t="s">
        <v>1044</v>
      </c>
      <c r="B32" s="134" t="s">
        <v>1045</v>
      </c>
    </row>
    <row r="33" spans="1:2" ht="30">
      <c r="A33" s="128" t="s">
        <v>1046</v>
      </c>
      <c r="B33" s="134" t="s">
        <v>1047</v>
      </c>
    </row>
    <row r="34" spans="1:2" ht="30">
      <c r="A34" s="128" t="s">
        <v>1048</v>
      </c>
      <c r="B34" s="134" t="s">
        <v>1049</v>
      </c>
    </row>
    <row r="35" spans="1:2" ht="30">
      <c r="A35" s="128" t="s">
        <v>1050</v>
      </c>
      <c r="B35" s="134" t="s">
        <v>1051</v>
      </c>
    </row>
    <row r="36" spans="1:2" ht="90">
      <c r="A36" s="128" t="s">
        <v>341</v>
      </c>
      <c r="B36" s="134" t="s">
        <v>1052</v>
      </c>
    </row>
    <row r="37" spans="1:2" ht="45">
      <c r="A37" s="128" t="s">
        <v>1053</v>
      </c>
      <c r="B37" s="134" t="s">
        <v>1054</v>
      </c>
    </row>
    <row r="38" spans="1:2" ht="42.75">
      <c r="A38" s="131" t="s">
        <v>343</v>
      </c>
      <c r="B38" s="134" t="s">
        <v>1055</v>
      </c>
    </row>
    <row r="39" spans="1:2" ht="25.5" customHeight="1">
      <c r="A39" s="1291" t="s">
        <v>1056</v>
      </c>
      <c r="B39" s="1292"/>
    </row>
    <row r="40" spans="1:2">
      <c r="A40" s="1289" t="s">
        <v>1057</v>
      </c>
      <c r="B40" s="1290"/>
    </row>
    <row r="41" spans="1:2" ht="72" customHeight="1">
      <c r="A41" s="1287" t="s">
        <v>1058</v>
      </c>
      <c r="B41" s="1288"/>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1059</v>
      </c>
      <c r="B1" s="113" t="s">
        <v>1060</v>
      </c>
      <c r="C1" s="113" t="s">
        <v>1061</v>
      </c>
      <c r="D1" s="113" t="s">
        <v>1062</v>
      </c>
      <c r="E1" s="113" t="s">
        <v>1040</v>
      </c>
      <c r="F1" s="113" t="s">
        <v>1063</v>
      </c>
      <c r="G1" s="113" t="s">
        <v>1064</v>
      </c>
      <c r="H1" s="113" t="s">
        <v>267</v>
      </c>
      <c r="I1" s="113" t="s">
        <v>1031</v>
      </c>
    </row>
    <row r="2" spans="1:9" s="114" customFormat="1">
      <c r="A2" s="115" t="s">
        <v>1065</v>
      </c>
      <c r="B2" s="111" t="s">
        <v>1066</v>
      </c>
      <c r="C2" s="115" t="s">
        <v>1067</v>
      </c>
      <c r="D2" s="116" t="s">
        <v>1068</v>
      </c>
      <c r="E2" s="112" t="s">
        <v>1069</v>
      </c>
      <c r="F2" s="117" t="s">
        <v>1070</v>
      </c>
      <c r="G2" s="118" t="s">
        <v>1071</v>
      </c>
      <c r="H2" s="118" t="s">
        <v>1072</v>
      </c>
      <c r="I2" s="117" t="s">
        <v>1073</v>
      </c>
    </row>
    <row r="3" spans="1:9">
      <c r="A3" s="115" t="s">
        <v>1074</v>
      </c>
      <c r="B3" s="111" t="s">
        <v>1075</v>
      </c>
      <c r="C3" s="115" t="s">
        <v>1076</v>
      </c>
      <c r="D3" s="119" t="s">
        <v>1077</v>
      </c>
      <c r="E3" s="112" t="s">
        <v>1078</v>
      </c>
      <c r="F3" s="117" t="s">
        <v>1079</v>
      </c>
      <c r="G3" s="118" t="s">
        <v>1080</v>
      </c>
      <c r="H3" s="118" t="s">
        <v>279</v>
      </c>
      <c r="I3" s="117" t="s">
        <v>1081</v>
      </c>
    </row>
    <row r="4" spans="1:9">
      <c r="A4" s="115" t="s">
        <v>747</v>
      </c>
      <c r="B4" s="111" t="s">
        <v>1082</v>
      </c>
      <c r="C4" s="115" t="s">
        <v>1083</v>
      </c>
      <c r="D4" s="119" t="s">
        <v>1084</v>
      </c>
      <c r="E4" s="112" t="s">
        <v>1085</v>
      </c>
      <c r="F4" s="117" t="s">
        <v>1086</v>
      </c>
      <c r="G4" s="118" t="s">
        <v>1087</v>
      </c>
      <c r="H4" s="118" t="s">
        <v>1088</v>
      </c>
      <c r="I4" s="117" t="s">
        <v>1089</v>
      </c>
    </row>
    <row r="5" spans="1:9">
      <c r="A5" s="115" t="s">
        <v>1090</v>
      </c>
      <c r="B5" s="111" t="s">
        <v>1091</v>
      </c>
      <c r="C5" s="115" t="s">
        <v>1092</v>
      </c>
      <c r="D5" s="119" t="s">
        <v>1093</v>
      </c>
      <c r="E5" s="112" t="s">
        <v>1094</v>
      </c>
      <c r="F5" s="117" t="s">
        <v>1095</v>
      </c>
      <c r="G5" s="118" t="s">
        <v>1096</v>
      </c>
      <c r="H5" s="118" t="s">
        <v>275</v>
      </c>
      <c r="I5" s="117" t="s">
        <v>1097</v>
      </c>
    </row>
    <row r="6" spans="1:9" ht="30">
      <c r="A6" s="115" t="s">
        <v>1098</v>
      </c>
      <c r="B6" s="111" t="s">
        <v>1099</v>
      </c>
      <c r="C6" s="115" t="s">
        <v>1100</v>
      </c>
      <c r="D6" s="119" t="s">
        <v>1101</v>
      </c>
      <c r="E6" s="112" t="s">
        <v>1102</v>
      </c>
      <c r="G6" s="118" t="s">
        <v>1103</v>
      </c>
      <c r="H6" s="118" t="s">
        <v>276</v>
      </c>
      <c r="I6" s="117" t="s">
        <v>1104</v>
      </c>
    </row>
    <row r="7" spans="1:9" ht="30">
      <c r="B7" s="111" t="s">
        <v>1105</v>
      </c>
      <c r="C7" s="115" t="s">
        <v>1106</v>
      </c>
      <c r="D7" s="119" t="s">
        <v>1107</v>
      </c>
      <c r="E7" s="117" t="s">
        <v>1108</v>
      </c>
      <c r="G7" s="112" t="s">
        <v>285</v>
      </c>
      <c r="H7" s="118" t="s">
        <v>277</v>
      </c>
      <c r="I7" s="117" t="s">
        <v>1109</v>
      </c>
    </row>
    <row r="8" spans="1:9" ht="30">
      <c r="A8" s="120"/>
      <c r="B8" s="111" t="s">
        <v>1110</v>
      </c>
      <c r="C8" s="115" t="s">
        <v>1111</v>
      </c>
      <c r="D8" s="119" t="s">
        <v>1112</v>
      </c>
      <c r="E8" s="117" t="s">
        <v>1113</v>
      </c>
      <c r="I8" s="117" t="s">
        <v>1114</v>
      </c>
    </row>
    <row r="9" spans="1:9" ht="32.1" customHeight="1">
      <c r="A9" s="120"/>
      <c r="B9" s="111" t="s">
        <v>1115</v>
      </c>
      <c r="C9" s="115" t="s">
        <v>1116</v>
      </c>
      <c r="D9" s="119" t="s">
        <v>1117</v>
      </c>
      <c r="E9" s="117" t="s">
        <v>1118</v>
      </c>
      <c r="I9" s="117" t="s">
        <v>1119</v>
      </c>
    </row>
    <row r="10" spans="1:9">
      <c r="A10" s="120"/>
      <c r="B10" s="111" t="s">
        <v>1120</v>
      </c>
      <c r="C10" s="115" t="s">
        <v>1121</v>
      </c>
      <c r="D10" s="119" t="s">
        <v>1122</v>
      </c>
      <c r="E10" s="117" t="s">
        <v>1123</v>
      </c>
      <c r="I10" s="117" t="s">
        <v>1124</v>
      </c>
    </row>
    <row r="11" spans="1:9">
      <c r="A11" s="120"/>
      <c r="B11" s="111" t="s">
        <v>1125</v>
      </c>
      <c r="C11" s="115" t="s">
        <v>1126</v>
      </c>
      <c r="D11" s="119" t="s">
        <v>1127</v>
      </c>
      <c r="E11" s="117" t="s">
        <v>1128</v>
      </c>
      <c r="I11" s="117" t="s">
        <v>1129</v>
      </c>
    </row>
    <row r="12" spans="1:9" ht="30">
      <c r="A12" s="120"/>
      <c r="B12" s="111" t="s">
        <v>1130</v>
      </c>
      <c r="C12" s="115" t="s">
        <v>1131</v>
      </c>
      <c r="D12" s="119" t="s">
        <v>1132</v>
      </c>
      <c r="E12" s="117" t="s">
        <v>1133</v>
      </c>
      <c r="I12" s="117" t="s">
        <v>1134</v>
      </c>
    </row>
    <row r="13" spans="1:9">
      <c r="A13" s="120"/>
      <c r="B13" s="166" t="s">
        <v>1135</v>
      </c>
      <c r="D13" s="119" t="s">
        <v>1136</v>
      </c>
      <c r="E13" s="117" t="s">
        <v>1137</v>
      </c>
      <c r="I13" s="117" t="s">
        <v>1138</v>
      </c>
    </row>
    <row r="14" spans="1:9">
      <c r="A14" s="120"/>
      <c r="B14" s="111" t="s">
        <v>1139</v>
      </c>
      <c r="C14" s="120"/>
      <c r="D14" s="119" t="s">
        <v>1140</v>
      </c>
      <c r="E14" s="117" t="s">
        <v>1141</v>
      </c>
    </row>
    <row r="15" spans="1:9">
      <c r="A15" s="120"/>
      <c r="B15" s="111" t="s">
        <v>1142</v>
      </c>
      <c r="C15" s="120"/>
      <c r="D15" s="119" t="s">
        <v>385</v>
      </c>
      <c r="E15" s="117" t="s">
        <v>1143</v>
      </c>
    </row>
    <row r="16" spans="1:9">
      <c r="A16" s="120"/>
      <c r="B16" s="111" t="s">
        <v>1144</v>
      </c>
      <c r="C16" s="120"/>
      <c r="D16" s="119" t="s">
        <v>1145</v>
      </c>
      <c r="E16" s="121"/>
    </row>
    <row r="17" spans="1:5">
      <c r="A17" s="120"/>
      <c r="B17" s="111" t="s">
        <v>1146</v>
      </c>
      <c r="C17" s="120"/>
      <c r="D17" s="119" t="s">
        <v>1147</v>
      </c>
      <c r="E17" s="121"/>
    </row>
    <row r="18" spans="1:5">
      <c r="A18" s="120"/>
      <c r="B18" s="111" t="s">
        <v>1148</v>
      </c>
      <c r="C18" s="120"/>
      <c r="D18" s="119" t="s">
        <v>1149</v>
      </c>
      <c r="E18" s="121"/>
    </row>
    <row r="19" spans="1:5">
      <c r="A19" s="120"/>
      <c r="B19" s="111" t="s">
        <v>1150</v>
      </c>
      <c r="C19" s="120"/>
      <c r="D19" s="119" t="s">
        <v>1151</v>
      </c>
      <c r="E19" s="121"/>
    </row>
    <row r="20" spans="1:5">
      <c r="A20" s="120"/>
      <c r="B20" s="111" t="s">
        <v>1152</v>
      </c>
      <c r="C20" s="120"/>
      <c r="D20" s="119" t="s">
        <v>1153</v>
      </c>
      <c r="E20" s="121"/>
    </row>
    <row r="21" spans="1:5">
      <c r="B21" s="111" t="s">
        <v>1154</v>
      </c>
      <c r="D21" s="119" t="s">
        <v>1155</v>
      </c>
      <c r="E21" s="121"/>
    </row>
    <row r="22" spans="1:5">
      <c r="B22" s="111" t="s">
        <v>1156</v>
      </c>
      <c r="D22" s="119" t="s">
        <v>1157</v>
      </c>
      <c r="E22" s="121"/>
    </row>
    <row r="23" spans="1:5">
      <c r="B23" s="111" t="s">
        <v>1158</v>
      </c>
      <c r="D23" s="119" t="s">
        <v>1159</v>
      </c>
      <c r="E23" s="121"/>
    </row>
    <row r="24" spans="1:5">
      <c r="D24" s="122" t="s">
        <v>1160</v>
      </c>
      <c r="E24" s="122" t="s">
        <v>1161</v>
      </c>
    </row>
    <row r="25" spans="1:5">
      <c r="D25" s="123" t="s">
        <v>1162</v>
      </c>
      <c r="E25" s="117" t="s">
        <v>1163</v>
      </c>
    </row>
    <row r="26" spans="1:5">
      <c r="D26" s="123" t="s">
        <v>777</v>
      </c>
      <c r="E26" s="117" t="s">
        <v>1164</v>
      </c>
    </row>
    <row r="27" spans="1:5">
      <c r="D27" s="1296" t="s">
        <v>1165</v>
      </c>
      <c r="E27" s="117" t="s">
        <v>1166</v>
      </c>
    </row>
    <row r="28" spans="1:5">
      <c r="D28" s="1297"/>
      <c r="E28" s="117" t="s">
        <v>1167</v>
      </c>
    </row>
    <row r="29" spans="1:5">
      <c r="D29" s="1297"/>
      <c r="E29" s="117" t="s">
        <v>1168</v>
      </c>
    </row>
    <row r="30" spans="1:5">
      <c r="D30" s="1298"/>
      <c r="E30" s="117" t="s">
        <v>1169</v>
      </c>
    </row>
    <row r="31" spans="1:5">
      <c r="D31" s="123" t="s">
        <v>1170</v>
      </c>
      <c r="E31" s="117" t="s">
        <v>1171</v>
      </c>
    </row>
    <row r="32" spans="1:5">
      <c r="D32" s="123" t="s">
        <v>1172</v>
      </c>
      <c r="E32" s="117" t="s">
        <v>1173</v>
      </c>
    </row>
    <row r="33" spans="4:5">
      <c r="D33" s="123" t="s">
        <v>1174</v>
      </c>
      <c r="E33" s="117" t="s">
        <v>1175</v>
      </c>
    </row>
    <row r="34" spans="4:5">
      <c r="D34" s="123" t="s">
        <v>1176</v>
      </c>
      <c r="E34" s="117" t="s">
        <v>1177</v>
      </c>
    </row>
    <row r="35" spans="4:5">
      <c r="D35" s="123" t="s">
        <v>1178</v>
      </c>
      <c r="E35" s="117" t="s">
        <v>1179</v>
      </c>
    </row>
    <row r="36" spans="4:5">
      <c r="D36" s="123" t="s">
        <v>1180</v>
      </c>
      <c r="E36" s="117" t="s">
        <v>1181</v>
      </c>
    </row>
    <row r="37" spans="4:5">
      <c r="D37" s="123" t="s">
        <v>1182</v>
      </c>
      <c r="E37" s="117" t="s">
        <v>1183</v>
      </c>
    </row>
    <row r="38" spans="4:5">
      <c r="D38" s="123" t="s">
        <v>1184</v>
      </c>
      <c r="E38" s="117" t="s">
        <v>1185</v>
      </c>
    </row>
    <row r="39" spans="4:5">
      <c r="D39" s="124" t="s">
        <v>1186</v>
      </c>
      <c r="E39" s="117" t="s">
        <v>1187</v>
      </c>
    </row>
    <row r="40" spans="4:5">
      <c r="D40" s="124" t="s">
        <v>1188</v>
      </c>
      <c r="E40" s="117" t="s">
        <v>1189</v>
      </c>
    </row>
    <row r="41" spans="4:5">
      <c r="D41" s="123" t="s">
        <v>1190</v>
      </c>
      <c r="E41" s="117" t="s">
        <v>1191</v>
      </c>
    </row>
    <row r="42" spans="4:5">
      <c r="D42" s="123" t="s">
        <v>1192</v>
      </c>
      <c r="E42" s="117" t="s">
        <v>1193</v>
      </c>
    </row>
    <row r="43" spans="4:5">
      <c r="D43" s="124" t="s">
        <v>1194</v>
      </c>
      <c r="E43" s="117" t="s">
        <v>1195</v>
      </c>
    </row>
    <row r="44" spans="4:5">
      <c r="D44" s="125" t="s">
        <v>1196</v>
      </c>
      <c r="E44" s="117" t="s">
        <v>1197</v>
      </c>
    </row>
    <row r="45" spans="4:5">
      <c r="D45" s="119" t="s">
        <v>1198</v>
      </c>
      <c r="E45" s="117" t="s">
        <v>1199</v>
      </c>
    </row>
    <row r="46" spans="4:5">
      <c r="D46" s="119" t="s">
        <v>1200</v>
      </c>
      <c r="E46" s="117" t="s">
        <v>1201</v>
      </c>
    </row>
    <row r="47" spans="4:5">
      <c r="D47" s="119" t="s">
        <v>1202</v>
      </c>
      <c r="E47" s="117" t="s">
        <v>1203</v>
      </c>
    </row>
    <row r="48" spans="4:5">
      <c r="D48" s="119" t="s">
        <v>1204</v>
      </c>
      <c r="E48" s="117" t="s">
        <v>1205</v>
      </c>
    </row>
    <row r="49" spans="4:4">
      <c r="D49" s="122" t="s">
        <v>1206</v>
      </c>
    </row>
    <row r="50" spans="4:4">
      <c r="D50" s="119" t="s">
        <v>1207</v>
      </c>
    </row>
    <row r="51" spans="4:4">
      <c r="D51" s="119" t="s">
        <v>1208</v>
      </c>
    </row>
    <row r="52" spans="4:4">
      <c r="D52" s="122" t="s">
        <v>1209</v>
      </c>
    </row>
    <row r="53" spans="4:4">
      <c r="D53" s="125" t="s">
        <v>1210</v>
      </c>
    </row>
    <row r="54" spans="4:4">
      <c r="D54" s="125" t="s">
        <v>1211</v>
      </c>
    </row>
    <row r="55" spans="4:4">
      <c r="D55" s="125" t="s">
        <v>1212</v>
      </c>
    </row>
    <row r="56" spans="4:4">
      <c r="D56" s="125" t="s">
        <v>1213</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1214</v>
      </c>
    </row>
    <row r="2" spans="1:6">
      <c r="B2" s="266" t="s">
        <v>31</v>
      </c>
      <c r="C2" s="266" t="s">
        <v>32</v>
      </c>
      <c r="D2" s="266" t="s">
        <v>33</v>
      </c>
    </row>
    <row r="3" spans="1:6">
      <c r="A3" t="s">
        <v>1215</v>
      </c>
      <c r="B3">
        <v>24</v>
      </c>
      <c r="C3">
        <v>158</v>
      </c>
      <c r="D3">
        <v>67</v>
      </c>
      <c r="E3" s="266">
        <f>SUM(B3:D3)</f>
        <v>249</v>
      </c>
      <c r="F3" s="266" t="s">
        <v>1216</v>
      </c>
    </row>
    <row r="4" spans="1:6">
      <c r="A4" t="s">
        <v>1217</v>
      </c>
      <c r="B4">
        <v>1</v>
      </c>
      <c r="C4">
        <v>2</v>
      </c>
      <c r="D4">
        <v>0</v>
      </c>
      <c r="E4" s="266">
        <f t="shared" ref="E4:E17" si="0">SUM(B4:D4)</f>
        <v>3</v>
      </c>
      <c r="F4" s="266" t="s">
        <v>1218</v>
      </c>
    </row>
    <row r="5" spans="1:6">
      <c r="A5" t="s">
        <v>1219</v>
      </c>
      <c r="B5">
        <v>2</v>
      </c>
      <c r="C5">
        <v>2</v>
      </c>
      <c r="D5">
        <v>0</v>
      </c>
      <c r="E5" s="266">
        <f t="shared" si="0"/>
        <v>4</v>
      </c>
      <c r="F5" s="266" t="s">
        <v>1220</v>
      </c>
    </row>
    <row r="6" spans="1:6">
      <c r="A6" t="s">
        <v>1221</v>
      </c>
      <c r="B6">
        <v>25</v>
      </c>
      <c r="C6">
        <v>24</v>
      </c>
      <c r="D6">
        <v>0</v>
      </c>
      <c r="E6" s="266">
        <f t="shared" si="0"/>
        <v>49</v>
      </c>
      <c r="F6" s="266" t="s">
        <v>1222</v>
      </c>
    </row>
    <row r="7" spans="1:6">
      <c r="A7" t="s">
        <v>1223</v>
      </c>
      <c r="B7">
        <v>83</v>
      </c>
      <c r="C7">
        <v>41</v>
      </c>
      <c r="D7">
        <v>3</v>
      </c>
      <c r="E7" s="266">
        <f t="shared" si="0"/>
        <v>127</v>
      </c>
      <c r="F7" s="266" t="s">
        <v>1224</v>
      </c>
    </row>
    <row r="8" spans="1:6">
      <c r="A8" t="s">
        <v>1225</v>
      </c>
      <c r="B8">
        <v>237</v>
      </c>
      <c r="C8">
        <v>341</v>
      </c>
      <c r="D8">
        <v>377</v>
      </c>
      <c r="E8" s="266">
        <f t="shared" si="0"/>
        <v>955</v>
      </c>
      <c r="F8" s="266" t="s">
        <v>1226</v>
      </c>
    </row>
    <row r="9" spans="1:6">
      <c r="A9" t="s">
        <v>1227</v>
      </c>
      <c r="B9">
        <v>148</v>
      </c>
      <c r="C9">
        <v>340</v>
      </c>
      <c r="D9">
        <v>151</v>
      </c>
      <c r="E9" s="266">
        <f t="shared" si="0"/>
        <v>639</v>
      </c>
      <c r="F9" s="266" t="s">
        <v>1228</v>
      </c>
    </row>
    <row r="10" spans="1:6">
      <c r="A10" t="s">
        <v>1229</v>
      </c>
      <c r="B10">
        <v>4</v>
      </c>
      <c r="C10">
        <v>2</v>
      </c>
      <c r="D10">
        <v>6</v>
      </c>
      <c r="E10" s="266">
        <f t="shared" si="0"/>
        <v>12</v>
      </c>
      <c r="F10" s="266" t="s">
        <v>1230</v>
      </c>
    </row>
    <row r="11" spans="1:6">
      <c r="A11" t="s">
        <v>1231</v>
      </c>
      <c r="B11">
        <v>3</v>
      </c>
      <c r="C11">
        <v>0</v>
      </c>
      <c r="D11">
        <v>0</v>
      </c>
      <c r="E11" s="266">
        <f t="shared" si="0"/>
        <v>3</v>
      </c>
      <c r="F11" s="266" t="s">
        <v>1232</v>
      </c>
    </row>
    <row r="12" spans="1:6">
      <c r="A12" t="s">
        <v>1233</v>
      </c>
      <c r="B12">
        <v>4</v>
      </c>
      <c r="C12">
        <v>21</v>
      </c>
      <c r="D12">
        <v>15</v>
      </c>
      <c r="E12" s="266">
        <f t="shared" si="0"/>
        <v>40</v>
      </c>
      <c r="F12" s="266" t="s">
        <v>1234</v>
      </c>
    </row>
    <row r="13" spans="1:6">
      <c r="A13" t="s">
        <v>1235</v>
      </c>
      <c r="B13">
        <v>0</v>
      </c>
      <c r="C13">
        <v>19</v>
      </c>
      <c r="D13">
        <v>55</v>
      </c>
      <c r="E13" s="266">
        <f t="shared" si="0"/>
        <v>74</v>
      </c>
      <c r="F13" s="266" t="s">
        <v>1236</v>
      </c>
    </row>
    <row r="14" spans="1:6">
      <c r="A14" t="s">
        <v>1237</v>
      </c>
      <c r="B14">
        <v>0</v>
      </c>
      <c r="C14">
        <v>0</v>
      </c>
      <c r="D14">
        <v>25</v>
      </c>
      <c r="E14" s="266">
        <f t="shared" si="0"/>
        <v>25</v>
      </c>
      <c r="F14" s="266" t="s">
        <v>1238</v>
      </c>
    </row>
    <row r="15" spans="1:6">
      <c r="A15" t="s">
        <v>1239</v>
      </c>
      <c r="B15">
        <v>0</v>
      </c>
      <c r="C15">
        <v>0</v>
      </c>
      <c r="D15">
        <v>4</v>
      </c>
      <c r="E15" s="266">
        <f t="shared" si="0"/>
        <v>4</v>
      </c>
      <c r="F15" s="266" t="s">
        <v>1240</v>
      </c>
    </row>
    <row r="16" spans="1:6">
      <c r="A16" t="s">
        <v>1241</v>
      </c>
      <c r="B16">
        <v>0</v>
      </c>
      <c r="C16">
        <v>0</v>
      </c>
      <c r="D16">
        <v>30</v>
      </c>
      <c r="E16" s="266">
        <f t="shared" si="0"/>
        <v>30</v>
      </c>
      <c r="F16" s="266" t="s">
        <v>1242</v>
      </c>
    </row>
    <row r="17" spans="1:6">
      <c r="A17" t="s">
        <v>1243</v>
      </c>
      <c r="B17">
        <v>0</v>
      </c>
      <c r="C17">
        <v>0</v>
      </c>
      <c r="D17">
        <v>7</v>
      </c>
      <c r="E17" s="266">
        <f t="shared" si="0"/>
        <v>7</v>
      </c>
      <c r="F17" s="266" t="s">
        <v>1244</v>
      </c>
    </row>
    <row r="19" spans="1:6">
      <c r="B19" s="266">
        <f>SUM(B3:B18)</f>
        <v>531</v>
      </c>
      <c r="C19" s="266">
        <f>SUM(C3:C18)</f>
        <v>950</v>
      </c>
      <c r="D19" s="266">
        <f>SUM(D3:D18)</f>
        <v>740</v>
      </c>
    </row>
    <row r="20" spans="1:6">
      <c r="A20" t="s">
        <v>1245</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1246</v>
      </c>
      <c r="C1" s="1302" t="s">
        <v>1247</v>
      </c>
      <c r="D1" s="1302"/>
      <c r="E1" s="1302"/>
      <c r="F1" s="1302"/>
      <c r="G1" s="1303" t="s">
        <v>1248</v>
      </c>
      <c r="H1" s="1304"/>
      <c r="I1" s="1304"/>
      <c r="J1" s="1305"/>
      <c r="K1" s="1301" t="s">
        <v>1249</v>
      </c>
      <c r="L1" s="1301"/>
      <c r="M1" s="1301"/>
      <c r="N1" s="1301"/>
    </row>
    <row r="2" spans="1:14">
      <c r="C2" s="4"/>
      <c r="D2" s="4"/>
      <c r="E2" s="4"/>
      <c r="F2" s="4" t="s">
        <v>1250</v>
      </c>
      <c r="G2" s="30"/>
      <c r="H2" s="4"/>
      <c r="I2" s="4"/>
      <c r="J2" s="31" t="s">
        <v>1250</v>
      </c>
      <c r="K2" s="4"/>
      <c r="L2" s="4"/>
      <c r="M2" s="4"/>
      <c r="N2" s="4" t="s">
        <v>1250</v>
      </c>
    </row>
    <row r="3" spans="1:14">
      <c r="A3" s="1300" t="s">
        <v>1251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30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300"/>
      <c r="B5" s="5">
        <v>3</v>
      </c>
      <c r="C5" s="6">
        <v>0.05</v>
      </c>
      <c r="D5" s="6">
        <v>0.05</v>
      </c>
      <c r="E5" s="6">
        <v>0.1</v>
      </c>
      <c r="F5" s="7">
        <f>(C5+D5+E5)</f>
        <v>0.2</v>
      </c>
      <c r="G5" s="32">
        <v>0.1</v>
      </c>
      <c r="H5" s="6">
        <v>0.1</v>
      </c>
      <c r="I5" s="6">
        <v>0.1</v>
      </c>
      <c r="J5" s="33">
        <f>(G5+H5+I5)</f>
        <v>0.30000000000000004</v>
      </c>
      <c r="K5" s="24"/>
      <c r="L5" s="5"/>
      <c r="M5" s="5"/>
      <c r="N5" s="5"/>
    </row>
    <row r="6" spans="1:14">
      <c r="A6" s="1300"/>
      <c r="B6" s="5">
        <v>4</v>
      </c>
      <c r="C6" s="6">
        <v>0.1</v>
      </c>
      <c r="D6" s="6">
        <v>0.1</v>
      </c>
      <c r="E6" s="6">
        <v>0.2</v>
      </c>
      <c r="F6" s="7">
        <f>(C6+D6+E6)</f>
        <v>0.4</v>
      </c>
      <c r="G6" s="32">
        <v>0</v>
      </c>
      <c r="H6" s="6">
        <v>0</v>
      </c>
      <c r="I6" s="6">
        <v>0.1</v>
      </c>
      <c r="J6" s="33">
        <f>(G6+H6+I6)</f>
        <v>0.1</v>
      </c>
      <c r="K6" s="24"/>
      <c r="L6" s="5"/>
      <c r="M6" s="5"/>
      <c r="N6" s="5"/>
    </row>
    <row r="7" spans="1:14">
      <c r="A7" s="1300"/>
      <c r="B7" s="5">
        <v>5</v>
      </c>
      <c r="C7" s="6">
        <v>0</v>
      </c>
      <c r="D7" s="6">
        <v>0</v>
      </c>
      <c r="E7" s="6">
        <v>0</v>
      </c>
      <c r="F7" s="7">
        <f>(C7+D7+E7)</f>
        <v>0</v>
      </c>
      <c r="G7" s="32">
        <v>0</v>
      </c>
      <c r="H7" s="6">
        <v>0</v>
      </c>
      <c r="I7" s="6">
        <v>0</v>
      </c>
      <c r="J7" s="33">
        <f>(G7+H7+I7)</f>
        <v>0</v>
      </c>
      <c r="K7" s="24"/>
      <c r="L7" s="5"/>
      <c r="M7" s="5"/>
      <c r="N7" s="5"/>
    </row>
    <row r="8" spans="1:14">
      <c r="A8" s="1300" t="s">
        <v>1252</v>
      </c>
      <c r="B8" s="9">
        <v>6</v>
      </c>
      <c r="C8" s="10">
        <v>0.1</v>
      </c>
      <c r="D8" s="10">
        <v>0.1</v>
      </c>
      <c r="E8" s="10">
        <v>0.1</v>
      </c>
      <c r="F8" s="11">
        <f>C8+D8+E8</f>
        <v>0.30000000000000004</v>
      </c>
      <c r="G8" s="34"/>
      <c r="H8" s="9"/>
      <c r="I8" s="9"/>
      <c r="J8" s="35"/>
      <c r="K8" s="25"/>
      <c r="L8" s="9"/>
      <c r="M8" s="9"/>
      <c r="N8" s="9"/>
    </row>
    <row r="9" spans="1:14">
      <c r="A9" s="1300"/>
      <c r="B9" s="9">
        <v>7</v>
      </c>
      <c r="C9" s="9"/>
      <c r="D9" s="9"/>
      <c r="E9" s="9"/>
      <c r="F9" s="19"/>
      <c r="G9" s="36"/>
      <c r="H9" s="9"/>
      <c r="I9" s="9"/>
      <c r="J9" s="35"/>
      <c r="K9" s="25"/>
      <c r="L9" s="9"/>
      <c r="M9" s="9"/>
      <c r="N9" s="9"/>
    </row>
    <row r="10" spans="1:14">
      <c r="A10" s="1300"/>
      <c r="B10" s="9">
        <v>8</v>
      </c>
      <c r="C10" s="9"/>
      <c r="D10" s="9"/>
      <c r="E10" s="9"/>
      <c r="F10" s="19"/>
      <c r="G10" s="36"/>
      <c r="H10" s="9"/>
      <c r="I10" s="9"/>
      <c r="J10" s="35"/>
      <c r="K10" s="25"/>
      <c r="L10" s="9"/>
      <c r="M10" s="9"/>
      <c r="N10" s="9"/>
    </row>
    <row r="11" spans="1:14">
      <c r="A11" s="1300"/>
      <c r="B11" s="9">
        <v>9</v>
      </c>
      <c r="C11" s="9"/>
      <c r="D11" s="9"/>
      <c r="E11" s="9"/>
      <c r="F11" s="19"/>
      <c r="G11" s="36"/>
      <c r="H11" s="9"/>
      <c r="I11" s="9"/>
      <c r="J11" s="35"/>
      <c r="K11" s="25"/>
      <c r="L11" s="9"/>
      <c r="M11" s="9"/>
      <c r="N11" s="9"/>
    </row>
    <row r="12" spans="1:14">
      <c r="A12" s="1300" t="s">
        <v>1253</v>
      </c>
      <c r="B12" s="14">
        <v>10</v>
      </c>
      <c r="C12" s="14"/>
      <c r="D12" s="14"/>
      <c r="E12" s="14"/>
      <c r="F12" s="20"/>
      <c r="G12" s="37"/>
      <c r="H12" s="14"/>
      <c r="I12" s="14"/>
      <c r="J12" s="38"/>
      <c r="K12" s="26"/>
      <c r="L12" s="14"/>
      <c r="M12" s="14"/>
      <c r="N12" s="14"/>
    </row>
    <row r="13" spans="1:14">
      <c r="A13" s="1300"/>
      <c r="B13" s="14">
        <v>11</v>
      </c>
      <c r="C13" s="14"/>
      <c r="D13" s="14"/>
      <c r="E13" s="14"/>
      <c r="F13" s="20"/>
      <c r="G13" s="37"/>
      <c r="H13" s="14"/>
      <c r="I13" s="14"/>
      <c r="J13" s="38"/>
      <c r="K13" s="26"/>
      <c r="L13" s="14"/>
      <c r="M13" s="14"/>
      <c r="N13" s="14"/>
    </row>
    <row r="14" spans="1:14">
      <c r="A14" s="1300"/>
      <c r="B14" s="14">
        <v>12</v>
      </c>
      <c r="C14" s="14"/>
      <c r="D14" s="14"/>
      <c r="E14" s="14"/>
      <c r="F14" s="20"/>
      <c r="G14" s="37"/>
      <c r="H14" s="14"/>
      <c r="I14" s="14"/>
      <c r="J14" s="38"/>
      <c r="K14" s="26"/>
      <c r="L14" s="14"/>
      <c r="M14" s="14"/>
      <c r="N14" s="14"/>
    </row>
    <row r="15" spans="1:14">
      <c r="A15" s="1300"/>
      <c r="B15" s="14">
        <v>13</v>
      </c>
      <c r="C15" s="14"/>
      <c r="D15" s="14"/>
      <c r="E15" s="14"/>
      <c r="F15" s="20"/>
      <c r="G15" s="37"/>
      <c r="H15" s="14"/>
      <c r="I15" s="14"/>
      <c r="J15" s="38"/>
      <c r="K15" s="26"/>
      <c r="L15" s="14"/>
      <c r="M15" s="14"/>
      <c r="N15" s="14"/>
    </row>
    <row r="16" spans="1:14">
      <c r="A16" s="1300" t="s">
        <v>1254</v>
      </c>
      <c r="B16" s="15">
        <v>14</v>
      </c>
      <c r="C16" s="15"/>
      <c r="D16" s="15"/>
      <c r="E16" s="15"/>
      <c r="F16" s="21"/>
      <c r="G16" s="39"/>
      <c r="H16" s="15"/>
      <c r="I16" s="15"/>
      <c r="J16" s="40"/>
      <c r="K16" s="27"/>
      <c r="L16" s="15"/>
      <c r="M16" s="15"/>
      <c r="N16" s="15"/>
    </row>
    <row r="17" spans="1:14">
      <c r="A17" s="1300"/>
      <c r="B17" s="15">
        <v>15</v>
      </c>
      <c r="C17" s="15"/>
      <c r="D17" s="15"/>
      <c r="E17" s="15"/>
      <c r="F17" s="21"/>
      <c r="G17" s="39"/>
      <c r="H17" s="15"/>
      <c r="I17" s="15"/>
      <c r="J17" s="40"/>
      <c r="K17" s="27"/>
      <c r="L17" s="15"/>
      <c r="M17" s="15"/>
      <c r="N17" s="15"/>
    </row>
    <row r="18" spans="1:14">
      <c r="A18" s="1300"/>
      <c r="B18" s="15">
        <v>16</v>
      </c>
      <c r="C18" s="15"/>
      <c r="D18" s="15"/>
      <c r="E18" s="15"/>
      <c r="F18" s="21"/>
      <c r="G18" s="39"/>
      <c r="H18" s="15"/>
      <c r="I18" s="15"/>
      <c r="J18" s="40"/>
      <c r="K18" s="27"/>
      <c r="L18" s="15"/>
      <c r="M18" s="15"/>
      <c r="N18" s="15"/>
    </row>
    <row r="19" spans="1:14">
      <c r="A19" s="1300" t="s">
        <v>1255</v>
      </c>
      <c r="B19" s="18">
        <v>17</v>
      </c>
      <c r="C19" s="18"/>
      <c r="D19" s="18"/>
      <c r="E19" s="18"/>
      <c r="F19" s="22"/>
      <c r="G19" s="41"/>
      <c r="H19" s="18"/>
      <c r="I19" s="18"/>
      <c r="J19" s="42"/>
      <c r="K19" s="28"/>
      <c r="L19" s="18"/>
      <c r="M19" s="18"/>
      <c r="N19" s="18"/>
    </row>
    <row r="20" spans="1:14">
      <c r="A20" s="1300"/>
      <c r="B20" s="18">
        <v>18</v>
      </c>
      <c r="C20" s="18"/>
      <c r="D20" s="18"/>
      <c r="E20" s="18"/>
      <c r="F20" s="22"/>
      <c r="G20" s="41"/>
      <c r="H20" s="18"/>
      <c r="I20" s="18"/>
      <c r="J20" s="42"/>
      <c r="K20" s="28"/>
      <c r="L20" s="18"/>
      <c r="M20" s="18"/>
      <c r="N20" s="18"/>
    </row>
    <row r="21" spans="1:14">
      <c r="A21" s="1300"/>
      <c r="B21" s="18">
        <v>19</v>
      </c>
      <c r="C21" s="18"/>
      <c r="D21" s="18"/>
      <c r="E21" s="18"/>
      <c r="F21" s="22"/>
      <c r="G21" s="41"/>
      <c r="H21" s="18"/>
      <c r="I21" s="18"/>
      <c r="J21" s="42"/>
      <c r="K21" s="28"/>
      <c r="L21" s="18"/>
      <c r="M21" s="18"/>
      <c r="N21" s="18"/>
    </row>
    <row r="22" spans="1:14">
      <c r="A22" s="1300"/>
      <c r="B22" s="18">
        <v>20</v>
      </c>
      <c r="C22" s="18"/>
      <c r="D22" s="18"/>
      <c r="E22" s="18"/>
      <c r="F22" s="22"/>
      <c r="G22" s="41"/>
      <c r="H22" s="18"/>
      <c r="I22" s="18"/>
      <c r="J22" s="42"/>
      <c r="K22" s="28"/>
      <c r="L22" s="18"/>
      <c r="M22" s="18"/>
      <c r="N22" s="18"/>
    </row>
    <row r="23" spans="1:14">
      <c r="A23" s="1300" t="s">
        <v>1256</v>
      </c>
      <c r="B23" s="13">
        <v>21</v>
      </c>
      <c r="C23" s="13"/>
      <c r="D23" s="13"/>
      <c r="E23" s="13"/>
      <c r="F23" s="23"/>
      <c r="G23" s="43"/>
      <c r="H23" s="13"/>
      <c r="I23" s="13"/>
      <c r="J23" s="44"/>
      <c r="K23" s="29"/>
      <c r="L23" s="13"/>
      <c r="M23" s="13"/>
      <c r="N23" s="13"/>
    </row>
    <row r="24" spans="1:14">
      <c r="A24" s="1300"/>
      <c r="B24" s="13">
        <v>22</v>
      </c>
      <c r="C24" s="13"/>
      <c r="D24" s="13"/>
      <c r="E24" s="13"/>
      <c r="F24" s="23"/>
      <c r="G24" s="43"/>
      <c r="H24" s="13"/>
      <c r="I24" s="13"/>
      <c r="J24" s="44"/>
      <c r="K24" s="29"/>
      <c r="L24" s="13"/>
      <c r="M24" s="13"/>
      <c r="N24" s="13"/>
    </row>
    <row r="25" spans="1:14">
      <c r="A25" s="1300"/>
      <c r="B25" s="13">
        <v>23</v>
      </c>
      <c r="C25" s="13"/>
      <c r="D25" s="13"/>
      <c r="E25" s="13"/>
      <c r="F25" s="23"/>
      <c r="G25" s="43"/>
      <c r="H25" s="13"/>
      <c r="I25" s="13"/>
      <c r="J25" s="44"/>
      <c r="K25" s="29"/>
      <c r="L25" s="13"/>
      <c r="M25" s="13"/>
      <c r="N25" s="13"/>
    </row>
    <row r="26" spans="1:14">
      <c r="A26" s="1300"/>
      <c r="B26" s="13">
        <v>24</v>
      </c>
      <c r="C26" s="13"/>
      <c r="D26" s="13"/>
      <c r="E26" s="13"/>
      <c r="F26" s="23"/>
      <c r="G26" s="43"/>
      <c r="H26" s="13"/>
      <c r="I26" s="13"/>
      <c r="J26" s="44"/>
      <c r="K26" s="29"/>
      <c r="L26" s="13"/>
      <c r="M26" s="13"/>
      <c r="N26" s="13"/>
    </row>
    <row r="27" spans="1:14">
      <c r="A27" s="1300" t="s">
        <v>1257</v>
      </c>
      <c r="B27" s="9">
        <v>25</v>
      </c>
      <c r="C27" s="9"/>
      <c r="D27" s="9"/>
      <c r="E27" s="9"/>
      <c r="F27" s="9"/>
      <c r="G27" s="9"/>
      <c r="H27" s="9"/>
      <c r="I27" s="9"/>
      <c r="J27" s="9"/>
      <c r="K27" s="9"/>
      <c r="L27" s="9"/>
      <c r="M27" s="9"/>
      <c r="N27" s="9"/>
    </row>
    <row r="28" spans="1:14">
      <c r="A28" s="1300"/>
      <c r="B28" s="9">
        <v>26</v>
      </c>
      <c r="C28" s="9"/>
      <c r="D28" s="9"/>
      <c r="E28" s="9"/>
      <c r="F28" s="9"/>
      <c r="G28" s="9"/>
      <c r="H28" s="9"/>
      <c r="I28" s="9"/>
      <c r="J28" s="9"/>
      <c r="K28" s="9"/>
      <c r="L28" s="9"/>
      <c r="M28" s="9"/>
      <c r="N28" s="9"/>
    </row>
    <row r="29" spans="1:14">
      <c r="A29" s="1300"/>
      <c r="B29" s="9">
        <v>27</v>
      </c>
      <c r="C29" s="9"/>
      <c r="D29" s="9"/>
      <c r="E29" s="9"/>
      <c r="F29" s="9"/>
      <c r="G29" s="9"/>
      <c r="H29" s="9"/>
      <c r="I29" s="9"/>
      <c r="J29" s="9"/>
      <c r="K29" s="9"/>
      <c r="L29" s="9"/>
      <c r="M29" s="9"/>
      <c r="N29" s="9"/>
    </row>
    <row r="30" spans="1:14">
      <c r="A30" s="1300"/>
      <c r="B30" s="9">
        <v>28</v>
      </c>
      <c r="C30" s="9"/>
      <c r="D30" s="9"/>
      <c r="E30" s="9"/>
      <c r="F30" s="9"/>
      <c r="G30" s="9"/>
      <c r="H30" s="9"/>
      <c r="I30" s="9"/>
      <c r="J30" s="9"/>
      <c r="K30" s="9"/>
      <c r="L30" s="9"/>
      <c r="M30" s="9"/>
      <c r="N30" s="9"/>
    </row>
    <row r="31" spans="1:14">
      <c r="A31" s="1300"/>
      <c r="B31" s="9">
        <v>29</v>
      </c>
      <c r="C31" s="9"/>
      <c r="D31" s="9"/>
      <c r="E31" s="9"/>
      <c r="F31" s="9"/>
      <c r="G31" s="9"/>
      <c r="H31" s="9"/>
      <c r="I31" s="9"/>
      <c r="J31" s="9"/>
      <c r="K31" s="9"/>
      <c r="L31" s="9"/>
      <c r="M31" s="9"/>
      <c r="N31" s="9"/>
    </row>
    <row r="32" spans="1:14">
      <c r="A32" s="1300" t="s">
        <v>1258</v>
      </c>
      <c r="B32" s="16">
        <v>30</v>
      </c>
      <c r="C32" s="16"/>
      <c r="D32" s="16"/>
      <c r="E32" s="16"/>
      <c r="F32" s="16"/>
      <c r="G32" s="16"/>
      <c r="H32" s="16"/>
      <c r="I32" s="16"/>
      <c r="J32" s="16"/>
      <c r="K32" s="16"/>
      <c r="L32" s="16"/>
      <c r="M32" s="16"/>
      <c r="N32" s="16"/>
    </row>
    <row r="33" spans="1:14">
      <c r="A33" s="1300"/>
      <c r="B33" s="16">
        <v>31</v>
      </c>
      <c r="C33" s="16"/>
      <c r="D33" s="16"/>
      <c r="E33" s="16"/>
      <c r="F33" s="16"/>
      <c r="G33" s="16"/>
      <c r="H33" s="16"/>
      <c r="I33" s="16"/>
      <c r="J33" s="16"/>
      <c r="K33" s="16"/>
      <c r="L33" s="16"/>
      <c r="M33" s="16"/>
      <c r="N33" s="16"/>
    </row>
    <row r="34" spans="1:14">
      <c r="A34" s="1300"/>
      <c r="B34" s="16">
        <v>32</v>
      </c>
      <c r="C34" s="16"/>
      <c r="D34" s="16"/>
      <c r="E34" s="16"/>
      <c r="F34" s="16"/>
      <c r="G34" s="16"/>
      <c r="H34" s="16"/>
      <c r="I34" s="16"/>
      <c r="J34" s="16"/>
      <c r="K34" s="16"/>
      <c r="L34" s="16"/>
      <c r="M34" s="16"/>
      <c r="N34" s="16"/>
    </row>
    <row r="35" spans="1:14">
      <c r="A35" s="1300" t="s">
        <v>1259</v>
      </c>
      <c r="B35" s="17">
        <v>33</v>
      </c>
      <c r="C35" s="14"/>
      <c r="D35" s="14"/>
      <c r="E35" s="14"/>
      <c r="F35" s="14"/>
      <c r="G35" s="14"/>
      <c r="H35" s="14"/>
      <c r="I35" s="14"/>
      <c r="J35" s="14"/>
      <c r="K35" s="14"/>
      <c r="L35" s="14"/>
      <c r="M35" s="14"/>
      <c r="N35" s="14"/>
    </row>
    <row r="36" spans="1:14">
      <c r="A36" s="1300"/>
      <c r="B36" s="14">
        <v>34</v>
      </c>
      <c r="C36" s="14"/>
      <c r="D36" s="14"/>
      <c r="E36" s="14"/>
      <c r="F36" s="14"/>
      <c r="G36" s="14"/>
      <c r="H36" s="14"/>
      <c r="I36" s="14"/>
      <c r="J36" s="14"/>
      <c r="K36" s="14"/>
      <c r="L36" s="14"/>
      <c r="M36" s="14"/>
      <c r="N36" s="14"/>
    </row>
    <row r="37" spans="1:14">
      <c r="A37" s="1300"/>
      <c r="B37" s="45">
        <v>35</v>
      </c>
      <c r="C37" s="14"/>
      <c r="D37" s="14"/>
      <c r="E37" s="14"/>
      <c r="F37" s="14"/>
      <c r="G37" s="14"/>
      <c r="H37" s="14"/>
      <c r="I37" s="14"/>
      <c r="J37" s="14"/>
      <c r="K37" s="14"/>
      <c r="L37" s="14"/>
      <c r="M37" s="14"/>
      <c r="N37" s="14"/>
    </row>
    <row r="38" spans="1:14">
      <c r="A38" s="1300" t="s">
        <v>1260</v>
      </c>
      <c r="B38" s="8">
        <v>36</v>
      </c>
      <c r="C38" s="8"/>
      <c r="D38" s="8"/>
      <c r="E38" s="8"/>
      <c r="F38" s="8"/>
      <c r="G38" s="8"/>
      <c r="H38" s="8"/>
      <c r="I38" s="8"/>
      <c r="J38" s="8"/>
      <c r="K38" s="8"/>
      <c r="L38" s="8"/>
      <c r="M38" s="8"/>
      <c r="N38" s="8"/>
    </row>
    <row r="39" spans="1:14">
      <c r="A39" s="1300"/>
      <c r="B39" s="8">
        <v>37</v>
      </c>
      <c r="C39" s="8"/>
      <c r="D39" s="8"/>
      <c r="E39" s="8"/>
      <c r="F39" s="8"/>
      <c r="G39" s="8"/>
      <c r="H39" s="8"/>
      <c r="I39" s="8"/>
      <c r="J39" s="8"/>
      <c r="K39" s="8"/>
      <c r="L39" s="8"/>
      <c r="M39" s="8"/>
      <c r="N39" s="8"/>
    </row>
    <row r="40" spans="1:14">
      <c r="A40" s="1300"/>
      <c r="B40" s="8">
        <v>38</v>
      </c>
      <c r="C40" s="8"/>
      <c r="D40" s="8"/>
      <c r="E40" s="8"/>
      <c r="F40" s="8"/>
      <c r="G40" s="8"/>
      <c r="H40" s="8"/>
      <c r="I40" s="8"/>
      <c r="J40" s="8"/>
      <c r="K40" s="8"/>
      <c r="L40" s="8"/>
      <c r="M40" s="8"/>
      <c r="N40" s="8"/>
    </row>
    <row r="41" spans="1:14">
      <c r="A41" s="1306" t="s">
        <v>1261</v>
      </c>
      <c r="B41" s="46">
        <v>39</v>
      </c>
      <c r="C41" s="47"/>
      <c r="D41" s="47"/>
      <c r="E41" s="47"/>
      <c r="F41" s="47"/>
      <c r="G41" s="47"/>
      <c r="H41" s="47"/>
      <c r="I41" s="47"/>
      <c r="J41" s="47"/>
      <c r="K41" s="47"/>
      <c r="L41" s="47"/>
      <c r="M41" s="47"/>
      <c r="N41" s="47"/>
    </row>
    <row r="42" spans="1:14">
      <c r="A42" s="1306"/>
      <c r="B42" s="47">
        <v>40</v>
      </c>
      <c r="C42" s="47"/>
      <c r="D42" s="47"/>
      <c r="E42" s="47"/>
      <c r="F42" s="47"/>
      <c r="G42" s="47"/>
      <c r="H42" s="47"/>
      <c r="I42" s="47"/>
      <c r="J42" s="47"/>
      <c r="K42" s="47"/>
      <c r="L42" s="47"/>
      <c r="M42" s="47"/>
      <c r="N42" s="47"/>
    </row>
    <row r="43" spans="1:14">
      <c r="A43" s="1306"/>
      <c r="B43" s="47">
        <v>41</v>
      </c>
      <c r="C43" s="47"/>
      <c r="D43" s="47"/>
      <c r="E43" s="47"/>
      <c r="F43" s="47"/>
      <c r="G43" s="47"/>
      <c r="H43" s="47"/>
      <c r="I43" s="47"/>
      <c r="J43" s="47"/>
      <c r="K43" s="47"/>
      <c r="L43" s="47"/>
      <c r="M43" s="47"/>
      <c r="N43" s="47"/>
    </row>
    <row r="44" spans="1:14">
      <c r="A44" s="1306"/>
      <c r="B44" s="48">
        <v>42</v>
      </c>
      <c r="C44" s="47"/>
      <c r="D44" s="47"/>
      <c r="E44" s="47"/>
      <c r="F44" s="47"/>
      <c r="G44" s="47"/>
      <c r="H44" s="47"/>
      <c r="I44" s="47"/>
      <c r="J44" s="47"/>
      <c r="K44" s="47"/>
      <c r="L44" s="47"/>
      <c r="M44" s="47"/>
      <c r="N44" s="47"/>
    </row>
    <row r="45" spans="1:14">
      <c r="A45" s="1299" t="s">
        <v>1262</v>
      </c>
      <c r="B45" s="12">
        <v>43</v>
      </c>
      <c r="C45" s="12"/>
      <c r="D45" s="12"/>
      <c r="E45" s="12"/>
      <c r="F45" s="12"/>
      <c r="G45" s="12"/>
      <c r="H45" s="12"/>
      <c r="I45" s="12"/>
      <c r="J45" s="12"/>
      <c r="K45" s="12"/>
      <c r="L45" s="12"/>
      <c r="M45" s="12"/>
      <c r="N45" s="12"/>
    </row>
    <row r="46" spans="1:14">
      <c r="A46" s="129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tabSelected="1" view="pageBreakPreview" topLeftCell="H32" zoomScale="60" zoomScaleNormal="75" workbookViewId="0">
      <selection activeCell="Q34" sqref="Q34:V35"/>
    </sheetView>
  </sheetViews>
  <sheetFormatPr baseColWidth="10" defaultColWidth="10.85546875" defaultRowHeight="15"/>
  <cols>
    <col min="1" max="1" width="38.42578125" style="50" customWidth="1"/>
    <col min="2" max="2" width="15.42578125" style="50" customWidth="1"/>
    <col min="3" max="14" width="14.85546875" style="50" customWidth="1"/>
    <col min="15" max="15" width="17.28515625" style="50" bestFit="1" customWidth="1"/>
    <col min="16" max="28" width="14.85546875" style="50" customWidth="1"/>
    <col min="29" max="29" width="18.7109375" style="50" bestFit="1" customWidth="1"/>
    <col min="30"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23.5703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793"/>
      <c r="B1" s="796" t="s">
        <v>0</v>
      </c>
      <c r="C1" s="797"/>
      <c r="D1" s="797"/>
      <c r="E1" s="797"/>
      <c r="F1" s="797"/>
      <c r="G1" s="797"/>
      <c r="H1" s="797"/>
      <c r="I1" s="797"/>
      <c r="J1" s="797"/>
      <c r="K1" s="797"/>
      <c r="L1" s="797"/>
      <c r="M1" s="797"/>
      <c r="N1" s="797"/>
      <c r="O1" s="797"/>
      <c r="P1" s="797"/>
      <c r="Q1" s="797"/>
      <c r="R1" s="797"/>
      <c r="S1" s="797"/>
      <c r="T1" s="797"/>
      <c r="U1" s="797"/>
      <c r="V1" s="797"/>
      <c r="W1" s="797"/>
      <c r="X1" s="797"/>
      <c r="Y1" s="797"/>
      <c r="Z1" s="797"/>
      <c r="AA1" s="798"/>
      <c r="AB1" s="986" t="s">
        <v>1</v>
      </c>
      <c r="AC1" s="987"/>
      <c r="AD1" s="988"/>
    </row>
    <row r="2" spans="1:30" ht="30.75" customHeight="1">
      <c r="A2" s="794"/>
      <c r="B2" s="802" t="s">
        <v>2</v>
      </c>
      <c r="C2" s="803"/>
      <c r="D2" s="803"/>
      <c r="E2" s="803"/>
      <c r="F2" s="803"/>
      <c r="G2" s="803"/>
      <c r="H2" s="803"/>
      <c r="I2" s="803"/>
      <c r="J2" s="803"/>
      <c r="K2" s="803"/>
      <c r="L2" s="803"/>
      <c r="M2" s="803"/>
      <c r="N2" s="803"/>
      <c r="O2" s="803"/>
      <c r="P2" s="803"/>
      <c r="Q2" s="803"/>
      <c r="R2" s="803"/>
      <c r="S2" s="803"/>
      <c r="T2" s="803"/>
      <c r="U2" s="803"/>
      <c r="V2" s="803"/>
      <c r="W2" s="803"/>
      <c r="X2" s="803"/>
      <c r="Y2" s="803"/>
      <c r="Z2" s="803"/>
      <c r="AA2" s="804"/>
      <c r="AB2" s="989" t="s">
        <v>3</v>
      </c>
      <c r="AC2" s="990"/>
      <c r="AD2" s="991"/>
    </row>
    <row r="3" spans="1:30" ht="33" customHeight="1">
      <c r="A3" s="794"/>
      <c r="B3" s="808" t="s">
        <v>4</v>
      </c>
      <c r="C3" s="809"/>
      <c r="D3" s="809"/>
      <c r="E3" s="809"/>
      <c r="F3" s="809"/>
      <c r="G3" s="809"/>
      <c r="H3" s="809"/>
      <c r="I3" s="809"/>
      <c r="J3" s="809"/>
      <c r="K3" s="809"/>
      <c r="L3" s="809"/>
      <c r="M3" s="809"/>
      <c r="N3" s="809"/>
      <c r="O3" s="809"/>
      <c r="P3" s="809"/>
      <c r="Q3" s="809"/>
      <c r="R3" s="809"/>
      <c r="S3" s="809"/>
      <c r="T3" s="809"/>
      <c r="U3" s="809"/>
      <c r="V3" s="809"/>
      <c r="W3" s="809"/>
      <c r="X3" s="809"/>
      <c r="Y3" s="809"/>
      <c r="Z3" s="809"/>
      <c r="AA3" s="810"/>
      <c r="AB3" s="989" t="s">
        <v>5</v>
      </c>
      <c r="AC3" s="990"/>
      <c r="AD3" s="991"/>
    </row>
    <row r="4" spans="1:30" ht="21.95" customHeight="1" thickBot="1">
      <c r="A4" s="795"/>
      <c r="B4" s="811"/>
      <c r="C4" s="812"/>
      <c r="D4" s="812"/>
      <c r="E4" s="812"/>
      <c r="F4" s="812"/>
      <c r="G4" s="812"/>
      <c r="H4" s="812"/>
      <c r="I4" s="812"/>
      <c r="J4" s="812"/>
      <c r="K4" s="812"/>
      <c r="L4" s="812"/>
      <c r="M4" s="812"/>
      <c r="N4" s="812"/>
      <c r="O4" s="812"/>
      <c r="P4" s="812"/>
      <c r="Q4" s="812"/>
      <c r="R4" s="812"/>
      <c r="S4" s="812"/>
      <c r="T4" s="812"/>
      <c r="U4" s="812"/>
      <c r="V4" s="812"/>
      <c r="W4" s="812"/>
      <c r="X4" s="812"/>
      <c r="Y4" s="812"/>
      <c r="Z4" s="812"/>
      <c r="AA4" s="813"/>
      <c r="AB4" s="983" t="s">
        <v>6</v>
      </c>
      <c r="AC4" s="984"/>
      <c r="AD4" s="98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17" t="s">
        <v>7</v>
      </c>
      <c r="B7" s="818"/>
      <c r="C7" s="826" t="s">
        <v>37</v>
      </c>
      <c r="D7" s="817" t="s">
        <v>9</v>
      </c>
      <c r="E7" s="829"/>
      <c r="F7" s="829"/>
      <c r="G7" s="829"/>
      <c r="H7" s="818"/>
      <c r="I7" s="832">
        <v>44839</v>
      </c>
      <c r="J7" s="833"/>
      <c r="K7" s="817" t="s">
        <v>10</v>
      </c>
      <c r="L7" s="818"/>
      <c r="M7" s="838" t="s">
        <v>11</v>
      </c>
      <c r="N7" s="839"/>
      <c r="O7" s="843"/>
      <c r="P7" s="844"/>
      <c r="Q7" s="54"/>
      <c r="R7" s="54"/>
      <c r="S7" s="54"/>
      <c r="T7" s="54"/>
      <c r="U7" s="54"/>
      <c r="V7" s="54"/>
      <c r="W7" s="54"/>
      <c r="X7" s="54"/>
      <c r="Y7" s="54"/>
      <c r="Z7" s="55"/>
      <c r="AA7" s="54"/>
      <c r="AB7" s="54"/>
      <c r="AC7" s="60"/>
      <c r="AD7" s="61"/>
    </row>
    <row r="8" spans="1:30" ht="15" customHeight="1">
      <c r="A8" s="819"/>
      <c r="B8" s="820"/>
      <c r="C8" s="827"/>
      <c r="D8" s="819"/>
      <c r="E8" s="830"/>
      <c r="F8" s="830"/>
      <c r="G8" s="830"/>
      <c r="H8" s="820"/>
      <c r="I8" s="834"/>
      <c r="J8" s="835"/>
      <c r="K8" s="819"/>
      <c r="L8" s="820"/>
      <c r="M8" s="845" t="s">
        <v>12</v>
      </c>
      <c r="N8" s="846"/>
      <c r="O8" s="847"/>
      <c r="P8" s="848"/>
      <c r="Q8" s="54"/>
      <c r="R8" s="54"/>
      <c r="S8" s="54"/>
      <c r="T8" s="54"/>
      <c r="U8" s="54"/>
      <c r="V8" s="54"/>
      <c r="W8" s="54"/>
      <c r="X8" s="54"/>
      <c r="Y8" s="54"/>
      <c r="Z8" s="55"/>
      <c r="AA8" s="54"/>
      <c r="AB8" s="54"/>
      <c r="AC8" s="60"/>
      <c r="AD8" s="61"/>
    </row>
    <row r="9" spans="1:30" ht="15.75" customHeight="1" thickBot="1">
      <c r="A9" s="821"/>
      <c r="B9" s="822"/>
      <c r="C9" s="828"/>
      <c r="D9" s="821"/>
      <c r="E9" s="831"/>
      <c r="F9" s="831"/>
      <c r="G9" s="831"/>
      <c r="H9" s="822"/>
      <c r="I9" s="836"/>
      <c r="J9" s="837"/>
      <c r="K9" s="821"/>
      <c r="L9" s="822"/>
      <c r="M9" s="849" t="s">
        <v>13</v>
      </c>
      <c r="N9" s="850"/>
      <c r="O9" s="851" t="s">
        <v>14</v>
      </c>
      <c r="P9" s="852"/>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17" t="s">
        <v>15</v>
      </c>
      <c r="B11" s="818"/>
      <c r="C11" s="823" t="s">
        <v>16</v>
      </c>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5"/>
    </row>
    <row r="12" spans="1:30" ht="15" customHeight="1">
      <c r="A12" s="819"/>
      <c r="B12" s="820"/>
      <c r="C12" s="808"/>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10"/>
    </row>
    <row r="13" spans="1:30" ht="15" customHeight="1" thickBot="1">
      <c r="A13" s="821"/>
      <c r="B13" s="822"/>
      <c r="C13" s="811"/>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53" t="s">
        <v>17</v>
      </c>
      <c r="B15" s="854"/>
      <c r="C15" s="840" t="s">
        <v>18</v>
      </c>
      <c r="D15" s="841"/>
      <c r="E15" s="841"/>
      <c r="F15" s="841"/>
      <c r="G15" s="841"/>
      <c r="H15" s="841"/>
      <c r="I15" s="841"/>
      <c r="J15" s="841"/>
      <c r="K15" s="842"/>
      <c r="L15" s="855" t="s">
        <v>19</v>
      </c>
      <c r="M15" s="856"/>
      <c r="N15" s="856"/>
      <c r="O15" s="856"/>
      <c r="P15" s="856"/>
      <c r="Q15" s="857"/>
      <c r="R15" s="858" t="s">
        <v>20</v>
      </c>
      <c r="S15" s="859"/>
      <c r="T15" s="859"/>
      <c r="U15" s="859"/>
      <c r="V15" s="859"/>
      <c r="W15" s="859"/>
      <c r="X15" s="860"/>
      <c r="Y15" s="855" t="s">
        <v>21</v>
      </c>
      <c r="Z15" s="857"/>
      <c r="AA15" s="840" t="s">
        <v>22</v>
      </c>
      <c r="AB15" s="841"/>
      <c r="AC15" s="841"/>
      <c r="AD15" s="842"/>
    </row>
    <row r="16" spans="1:30" ht="9" customHeight="1" thickBot="1">
      <c r="A16" s="59"/>
      <c r="B16" s="54"/>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863"/>
      <c r="AC16" s="73"/>
      <c r="AD16" s="74"/>
    </row>
    <row r="17" spans="1:41" s="76" customFormat="1" ht="37.5" customHeight="1" thickBot="1">
      <c r="A17" s="853" t="s">
        <v>23</v>
      </c>
      <c r="B17" s="854"/>
      <c r="C17" s="978" t="s">
        <v>106</v>
      </c>
      <c r="D17" s="979"/>
      <c r="E17" s="979"/>
      <c r="F17" s="979"/>
      <c r="G17" s="979"/>
      <c r="H17" s="979"/>
      <c r="I17" s="979"/>
      <c r="J17" s="979"/>
      <c r="K17" s="979"/>
      <c r="L17" s="979"/>
      <c r="M17" s="979"/>
      <c r="N17" s="979"/>
      <c r="O17" s="979"/>
      <c r="P17" s="979"/>
      <c r="Q17" s="980"/>
      <c r="R17" s="855" t="s">
        <v>25</v>
      </c>
      <c r="S17" s="856"/>
      <c r="T17" s="856"/>
      <c r="U17" s="856"/>
      <c r="V17" s="857"/>
      <c r="W17" s="981">
        <v>4</v>
      </c>
      <c r="X17" s="982"/>
      <c r="Y17" s="856" t="s">
        <v>26</v>
      </c>
      <c r="Z17" s="856"/>
      <c r="AA17" s="856"/>
      <c r="AB17" s="857"/>
      <c r="AC17" s="869">
        <v>0.1</v>
      </c>
      <c r="AD17" s="870"/>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855" t="s">
        <v>27</v>
      </c>
      <c r="B19" s="856"/>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7"/>
      <c r="AE19" s="83"/>
      <c r="AF19" s="83"/>
    </row>
    <row r="20" spans="1:41" ht="32.1" customHeight="1" thickBot="1">
      <c r="A20" s="421"/>
      <c r="B20" s="58"/>
      <c r="C20" s="975" t="s">
        <v>28</v>
      </c>
      <c r="D20" s="975"/>
      <c r="E20" s="975"/>
      <c r="F20" s="975"/>
      <c r="G20" s="975"/>
      <c r="H20" s="975"/>
      <c r="I20" s="975"/>
      <c r="J20" s="975"/>
      <c r="K20" s="975"/>
      <c r="L20" s="975"/>
      <c r="M20" s="975"/>
      <c r="N20" s="975"/>
      <c r="O20" s="975"/>
      <c r="P20" s="976"/>
      <c r="Q20" s="977" t="s">
        <v>29</v>
      </c>
      <c r="R20" s="975"/>
      <c r="S20" s="975"/>
      <c r="T20" s="975"/>
      <c r="U20" s="975"/>
      <c r="V20" s="975"/>
      <c r="W20" s="975"/>
      <c r="X20" s="975"/>
      <c r="Y20" s="975"/>
      <c r="Z20" s="975"/>
      <c r="AA20" s="975"/>
      <c r="AB20" s="975"/>
      <c r="AC20" s="975"/>
      <c r="AD20" s="976"/>
      <c r="AE20" s="83"/>
      <c r="AF20" s="83"/>
    </row>
    <row r="21" spans="1:41" ht="32.1" customHeight="1" thickBot="1">
      <c r="A21" s="359"/>
      <c r="B21" s="460"/>
      <c r="C21" s="459"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row>
    <row r="22" spans="1:41" ht="32.1" customHeight="1">
      <c r="A22" s="874" t="s">
        <v>43</v>
      </c>
      <c r="B22" s="875"/>
      <c r="C22" s="696">
        <v>0</v>
      </c>
      <c r="D22" s="636">
        <v>0</v>
      </c>
      <c r="E22" s="636">
        <v>0</v>
      </c>
      <c r="F22" s="636">
        <v>0</v>
      </c>
      <c r="G22" s="636">
        <v>0</v>
      </c>
      <c r="H22" s="636">
        <v>0</v>
      </c>
      <c r="I22" s="636">
        <v>0</v>
      </c>
      <c r="J22" s="636">
        <v>0</v>
      </c>
      <c r="K22" s="636">
        <v>0</v>
      </c>
      <c r="L22" s="636">
        <v>0</v>
      </c>
      <c r="M22" s="636">
        <v>0</v>
      </c>
      <c r="N22" s="636">
        <v>0</v>
      </c>
      <c r="O22" s="636">
        <f>SUM(C22:N22)</f>
        <v>0</v>
      </c>
      <c r="P22" s="637"/>
      <c r="Q22" s="648">
        <v>0</v>
      </c>
      <c r="R22" s="636">
        <v>0</v>
      </c>
      <c r="S22" s="643">
        <v>0</v>
      </c>
      <c r="T22" s="643">
        <v>0</v>
      </c>
      <c r="U22" s="643">
        <v>0</v>
      </c>
      <c r="V22" s="643">
        <v>0</v>
      </c>
      <c r="W22" s="643">
        <f>184761500+95702082</f>
        <v>280463582</v>
      </c>
      <c r="X22" s="636">
        <v>0</v>
      </c>
      <c r="Y22" s="643">
        <v>0</v>
      </c>
      <c r="Z22" s="636">
        <v>0</v>
      </c>
      <c r="AA22" s="636">
        <v>0</v>
      </c>
      <c r="AB22" s="636">
        <v>0</v>
      </c>
      <c r="AC22" s="692">
        <f>SUM(Q22:AB22)</f>
        <v>280463582</v>
      </c>
      <c r="AD22" s="649"/>
      <c r="AE22" s="3"/>
      <c r="AF22" s="3"/>
      <c r="AG22" s="358"/>
    </row>
    <row r="23" spans="1:41" ht="32.1" customHeight="1">
      <c r="A23" s="861" t="s">
        <v>44</v>
      </c>
      <c r="B23" s="862"/>
      <c r="C23" s="697">
        <v>0</v>
      </c>
      <c r="D23" s="639">
        <v>0</v>
      </c>
      <c r="E23" s="639">
        <v>0</v>
      </c>
      <c r="F23" s="639">
        <v>0</v>
      </c>
      <c r="G23" s="639">
        <v>0</v>
      </c>
      <c r="H23" s="639">
        <v>0</v>
      </c>
      <c r="I23" s="639">
        <v>0</v>
      </c>
      <c r="J23" s="639">
        <v>0</v>
      </c>
      <c r="K23" s="639">
        <v>0</v>
      </c>
      <c r="L23" s="639">
        <v>0</v>
      </c>
      <c r="M23" s="639">
        <v>0</v>
      </c>
      <c r="N23" s="639">
        <v>0</v>
      </c>
      <c r="O23" s="636">
        <f>SUM(C23:N23)</f>
        <v>0</v>
      </c>
      <c r="P23" s="640" t="str">
        <f>IFERROR(O23/(SUMIF(C23:N23,"&gt;0",C22:N22))," ")</f>
        <v xml:space="preserve"> </v>
      </c>
      <c r="Q23" s="635">
        <v>0</v>
      </c>
      <c r="R23" s="636">
        <v>0</v>
      </c>
      <c r="S23" s="636">
        <v>0</v>
      </c>
      <c r="T23" s="636">
        <v>0</v>
      </c>
      <c r="U23" s="636">
        <v>0</v>
      </c>
      <c r="V23" s="636">
        <v>0</v>
      </c>
      <c r="W23" s="636">
        <v>0</v>
      </c>
      <c r="X23" s="636">
        <v>0</v>
      </c>
      <c r="Y23" s="530">
        <v>280463582</v>
      </c>
      <c r="Z23" s="636">
        <v>0</v>
      </c>
      <c r="AA23" s="636">
        <v>0</v>
      </c>
      <c r="AB23" s="636">
        <v>0</v>
      </c>
      <c r="AC23" s="772">
        <f>SUM(Q23:AB23)</f>
        <v>280463582</v>
      </c>
      <c r="AD23" s="640">
        <f>AC23/AC22</f>
        <v>1</v>
      </c>
      <c r="AE23" s="3"/>
      <c r="AF23" s="3"/>
    </row>
    <row r="24" spans="1:41" ht="32.1" customHeight="1">
      <c r="A24" s="861" t="s">
        <v>46</v>
      </c>
      <c r="B24" s="862"/>
      <c r="C24" s="698">
        <v>0</v>
      </c>
      <c r="D24" s="641">
        <v>0</v>
      </c>
      <c r="E24" s="641">
        <v>0</v>
      </c>
      <c r="F24" s="641">
        <v>24000003</v>
      </c>
      <c r="G24" s="641">
        <v>0</v>
      </c>
      <c r="H24" s="641">
        <v>0</v>
      </c>
      <c r="I24" s="641">
        <v>0</v>
      </c>
      <c r="J24" s="641">
        <v>0</v>
      </c>
      <c r="K24" s="641">
        <v>0</v>
      </c>
      <c r="L24" s="639">
        <v>0</v>
      </c>
      <c r="M24" s="639">
        <v>0</v>
      </c>
      <c r="N24" s="639">
        <v>0</v>
      </c>
      <c r="O24" s="699">
        <f>SUM(C24:N24)</f>
        <v>24000003</v>
      </c>
      <c r="P24" s="644"/>
      <c r="Q24" s="648">
        <v>0</v>
      </c>
      <c r="R24" s="643">
        <v>0</v>
      </c>
      <c r="S24" s="643">
        <v>0</v>
      </c>
      <c r="T24" s="643">
        <v>0</v>
      </c>
      <c r="U24" s="530">
        <v>0</v>
      </c>
      <c r="V24" s="530">
        <v>0</v>
      </c>
      <c r="W24" s="530">
        <v>0</v>
      </c>
      <c r="X24" s="530">
        <v>0</v>
      </c>
      <c r="Y24" s="530">
        <f>280463582*40%</f>
        <v>112185432.80000001</v>
      </c>
      <c r="Z24" s="530">
        <v>0</v>
      </c>
      <c r="AA24" s="530">
        <f>280463582*30%</f>
        <v>84139074.599999994</v>
      </c>
      <c r="AB24" s="530">
        <f>280463582*30%</f>
        <v>84139074.599999994</v>
      </c>
      <c r="AC24" s="693">
        <f>SUM(Q24:AB24)</f>
        <v>280463582</v>
      </c>
      <c r="AD24" s="640"/>
      <c r="AE24" s="3"/>
      <c r="AF24" s="3"/>
    </row>
    <row r="25" spans="1:41" ht="32.1" customHeight="1" thickBot="1">
      <c r="A25" s="876" t="s">
        <v>47</v>
      </c>
      <c r="B25" s="877"/>
      <c r="C25" s="645">
        <v>0</v>
      </c>
      <c r="D25" s="646">
        <v>0</v>
      </c>
      <c r="E25" s="646">
        <v>0</v>
      </c>
      <c r="F25" s="646">
        <v>24000003</v>
      </c>
      <c r="G25" s="646">
        <v>0</v>
      </c>
      <c r="H25" s="646">
        <v>0</v>
      </c>
      <c r="I25" s="646">
        <v>0</v>
      </c>
      <c r="J25" s="646">
        <v>0</v>
      </c>
      <c r="K25" s="646">
        <v>0</v>
      </c>
      <c r="L25" s="647">
        <v>0</v>
      </c>
      <c r="M25" s="647">
        <v>0</v>
      </c>
      <c r="N25" s="647">
        <v>0</v>
      </c>
      <c r="O25" s="695">
        <f>SUM(C25:N25)</f>
        <v>24000003</v>
      </c>
      <c r="P25" s="470">
        <f>O25/O24</f>
        <v>1</v>
      </c>
      <c r="Q25" s="650">
        <v>0</v>
      </c>
      <c r="R25" s="651">
        <v>0</v>
      </c>
      <c r="S25" s="651">
        <v>0</v>
      </c>
      <c r="T25" s="651">
        <v>0</v>
      </c>
      <c r="U25" s="651">
        <v>0</v>
      </c>
      <c r="V25" s="651">
        <v>0</v>
      </c>
      <c r="W25" s="700">
        <v>0</v>
      </c>
      <c r="X25" s="652">
        <v>0</v>
      </c>
      <c r="Y25" s="652">
        <v>0</v>
      </c>
      <c r="Z25" s="652">
        <v>0</v>
      </c>
      <c r="AA25" s="652">
        <v>0</v>
      </c>
      <c r="AB25" s="652">
        <v>0</v>
      </c>
      <c r="AC25" s="773">
        <f>SUM(Q25:AB25)</f>
        <v>0</v>
      </c>
      <c r="AD25" s="470">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row>
    <row r="27" spans="1:41" ht="33.950000000000003" customHeight="1">
      <c r="A27" s="878" t="s">
        <v>48</v>
      </c>
      <c r="B27" s="879"/>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0"/>
      <c r="AA27" s="880"/>
      <c r="AB27" s="880"/>
      <c r="AC27" s="880"/>
      <c r="AD27" s="881"/>
    </row>
    <row r="28" spans="1:41" ht="15" customHeight="1">
      <c r="A28" s="882" t="s">
        <v>49</v>
      </c>
      <c r="B28" s="884" t="s">
        <v>50</v>
      </c>
      <c r="C28" s="885"/>
      <c r="D28" s="888" t="s">
        <v>51</v>
      </c>
      <c r="E28" s="889"/>
      <c r="F28" s="889"/>
      <c r="G28" s="889"/>
      <c r="H28" s="889"/>
      <c r="I28" s="889"/>
      <c r="J28" s="889"/>
      <c r="K28" s="889"/>
      <c r="L28" s="889"/>
      <c r="M28" s="889"/>
      <c r="N28" s="889"/>
      <c r="O28" s="890"/>
      <c r="P28" s="891" t="s">
        <v>41</v>
      </c>
      <c r="Q28" s="891" t="s">
        <v>52</v>
      </c>
      <c r="R28" s="891"/>
      <c r="S28" s="891"/>
      <c r="T28" s="891"/>
      <c r="U28" s="891"/>
      <c r="V28" s="891"/>
      <c r="W28" s="891"/>
      <c r="X28" s="891"/>
      <c r="Y28" s="891"/>
      <c r="Z28" s="891"/>
      <c r="AA28" s="891"/>
      <c r="AB28" s="891"/>
      <c r="AC28" s="891"/>
      <c r="AD28" s="862"/>
    </row>
    <row r="29" spans="1:41" ht="27" customHeight="1">
      <c r="A29" s="883"/>
      <c r="B29" s="886"/>
      <c r="C29" s="887"/>
      <c r="D29" s="88" t="s">
        <v>30</v>
      </c>
      <c r="E29" s="88" t="s">
        <v>31</v>
      </c>
      <c r="F29" s="88" t="s">
        <v>32</v>
      </c>
      <c r="G29" s="88" t="s">
        <v>33</v>
      </c>
      <c r="H29" s="88" t="s">
        <v>34</v>
      </c>
      <c r="I29" s="88" t="s">
        <v>35</v>
      </c>
      <c r="J29" s="88" t="s">
        <v>36</v>
      </c>
      <c r="K29" s="88" t="s">
        <v>8</v>
      </c>
      <c r="L29" s="88" t="s">
        <v>37</v>
      </c>
      <c r="M29" s="88" t="s">
        <v>38</v>
      </c>
      <c r="N29" s="88" t="s">
        <v>39</v>
      </c>
      <c r="O29" s="88" t="s">
        <v>40</v>
      </c>
      <c r="P29" s="890"/>
      <c r="Q29" s="891"/>
      <c r="R29" s="891"/>
      <c r="S29" s="891"/>
      <c r="T29" s="891"/>
      <c r="U29" s="891"/>
      <c r="V29" s="891"/>
      <c r="W29" s="891"/>
      <c r="X29" s="891"/>
      <c r="Y29" s="891"/>
      <c r="Z29" s="891"/>
      <c r="AA29" s="891"/>
      <c r="AB29" s="891"/>
      <c r="AC29" s="891"/>
      <c r="AD29" s="862"/>
    </row>
    <row r="30" spans="1:41" ht="84" customHeight="1" thickBot="1">
      <c r="A30" s="377" t="str">
        <f>C17</f>
        <v>Diseñar 13 contenidos para el desarrollo de capacidades socioemocionales, técnicas y digitales de las mujeres, en toda su diversidad.</v>
      </c>
      <c r="B30" s="969"/>
      <c r="C30" s="970"/>
      <c r="D30" s="89"/>
      <c r="E30" s="89"/>
      <c r="F30" s="89"/>
      <c r="G30" s="89"/>
      <c r="H30" s="89"/>
      <c r="I30" s="89"/>
      <c r="J30" s="89"/>
      <c r="K30" s="89"/>
      <c r="L30" s="89"/>
      <c r="M30" s="89"/>
      <c r="N30" s="89"/>
      <c r="O30" s="89"/>
      <c r="P30" s="86">
        <f>SUM(D30:O30)</f>
        <v>0</v>
      </c>
      <c r="Q30" s="971" t="s">
        <v>107</v>
      </c>
      <c r="R30" s="971"/>
      <c r="S30" s="971"/>
      <c r="T30" s="971"/>
      <c r="U30" s="971"/>
      <c r="V30" s="971"/>
      <c r="W30" s="971"/>
      <c r="X30" s="971"/>
      <c r="Y30" s="971"/>
      <c r="Z30" s="971"/>
      <c r="AA30" s="971"/>
      <c r="AB30" s="971"/>
      <c r="AC30" s="971"/>
      <c r="AD30" s="972"/>
    </row>
    <row r="31" spans="1:41" ht="45" customHeight="1">
      <c r="A31" s="897" t="s">
        <v>54</v>
      </c>
      <c r="B31" s="89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9"/>
    </row>
    <row r="32" spans="1:41" ht="23.1" customHeight="1">
      <c r="A32" s="973" t="s">
        <v>55</v>
      </c>
      <c r="B32" s="891" t="s">
        <v>56</v>
      </c>
      <c r="C32" s="891" t="s">
        <v>50</v>
      </c>
      <c r="D32" s="891" t="s">
        <v>57</v>
      </c>
      <c r="E32" s="891"/>
      <c r="F32" s="891"/>
      <c r="G32" s="891"/>
      <c r="H32" s="891"/>
      <c r="I32" s="891"/>
      <c r="J32" s="891"/>
      <c r="K32" s="891"/>
      <c r="L32" s="891"/>
      <c r="M32" s="891"/>
      <c r="N32" s="891"/>
      <c r="O32" s="891"/>
      <c r="P32" s="891"/>
      <c r="Q32" s="891" t="s">
        <v>58</v>
      </c>
      <c r="R32" s="891"/>
      <c r="S32" s="891"/>
      <c r="T32" s="891"/>
      <c r="U32" s="891"/>
      <c r="V32" s="891"/>
      <c r="W32" s="891"/>
      <c r="X32" s="891"/>
      <c r="Y32" s="891"/>
      <c r="Z32" s="891"/>
      <c r="AA32" s="891"/>
      <c r="AB32" s="891"/>
      <c r="AC32" s="891"/>
      <c r="AD32" s="862"/>
      <c r="AG32" s="87"/>
      <c r="AH32" s="87"/>
      <c r="AI32" s="87"/>
      <c r="AJ32" s="87"/>
      <c r="AK32" s="87"/>
      <c r="AL32" s="87"/>
      <c r="AM32" s="87"/>
      <c r="AN32" s="87"/>
      <c r="AO32" s="87"/>
    </row>
    <row r="33" spans="1:41" ht="23.1" customHeight="1">
      <c r="A33" s="974"/>
      <c r="B33" s="891"/>
      <c r="C33" s="900"/>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86" t="s">
        <v>59</v>
      </c>
      <c r="R33" s="901"/>
      <c r="S33" s="901"/>
      <c r="T33" s="901"/>
      <c r="U33" s="901"/>
      <c r="V33" s="887"/>
      <c r="W33" s="886" t="s">
        <v>60</v>
      </c>
      <c r="X33" s="901"/>
      <c r="Y33" s="901"/>
      <c r="Z33" s="887"/>
      <c r="AA33" s="886" t="s">
        <v>61</v>
      </c>
      <c r="AB33" s="901"/>
      <c r="AC33" s="901"/>
      <c r="AD33" s="910"/>
      <c r="AF33" s="540" t="s">
        <v>62</v>
      </c>
      <c r="AG33" s="541" t="s">
        <v>63</v>
      </c>
      <c r="AH33" s="541" t="s">
        <v>64</v>
      </c>
      <c r="AI33" s="541" t="s">
        <v>65</v>
      </c>
      <c r="AJ33" s="541" t="s">
        <v>66</v>
      </c>
      <c r="AK33" s="541" t="s">
        <v>67</v>
      </c>
      <c r="AL33" s="541" t="s">
        <v>68</v>
      </c>
      <c r="AM33" s="541" t="s">
        <v>69</v>
      </c>
      <c r="AN33" s="87"/>
      <c r="AO33" s="87"/>
    </row>
    <row r="34" spans="1:41" ht="158.25" customHeight="1">
      <c r="A34" s="954" t="str">
        <f>C17</f>
        <v>Diseñar 13 contenidos para el desarrollo de capacidades socioemocionales, técnicas y digitales de las mujeres, en toda su diversidad.</v>
      </c>
      <c r="B34" s="913">
        <f>+B38</f>
        <v>0.1</v>
      </c>
      <c r="C34" s="90" t="s">
        <v>70</v>
      </c>
      <c r="D34" s="89">
        <v>0</v>
      </c>
      <c r="E34" s="89">
        <v>0</v>
      </c>
      <c r="F34" s="89">
        <v>0</v>
      </c>
      <c r="G34" s="89">
        <v>0</v>
      </c>
      <c r="H34" s="89">
        <v>0</v>
      </c>
      <c r="I34" s="89">
        <v>0</v>
      </c>
      <c r="J34" s="89">
        <v>0</v>
      </c>
      <c r="K34" s="89">
        <v>1</v>
      </c>
      <c r="L34" s="89">
        <v>0</v>
      </c>
      <c r="M34" s="89">
        <v>2</v>
      </c>
      <c r="N34" s="89">
        <v>0</v>
      </c>
      <c r="O34" s="89">
        <v>1</v>
      </c>
      <c r="P34" s="180">
        <f>SUM(D34:O34)</f>
        <v>4</v>
      </c>
      <c r="Q34" s="957" t="s">
        <v>1274</v>
      </c>
      <c r="R34" s="958"/>
      <c r="S34" s="958"/>
      <c r="T34" s="958"/>
      <c r="U34" s="958"/>
      <c r="V34" s="959"/>
      <c r="W34" s="957" t="s">
        <v>1275</v>
      </c>
      <c r="X34" s="958"/>
      <c r="Y34" s="958"/>
      <c r="Z34" s="958"/>
      <c r="AA34" s="963"/>
      <c r="AB34" s="964"/>
      <c r="AC34" s="964"/>
      <c r="AD34" s="965"/>
      <c r="AF34" s="531" t="s">
        <v>108</v>
      </c>
      <c r="AG34" s="531" t="s">
        <v>109</v>
      </c>
      <c r="AH34" s="531" t="s">
        <v>110</v>
      </c>
      <c r="AI34" s="531" t="s">
        <v>111</v>
      </c>
      <c r="AJ34" s="531" t="s">
        <v>111</v>
      </c>
      <c r="AK34" s="531" t="s">
        <v>112</v>
      </c>
      <c r="AL34" s="531" t="s">
        <v>113</v>
      </c>
      <c r="AM34" s="531" t="s">
        <v>114</v>
      </c>
      <c r="AN34" s="87"/>
      <c r="AO34" s="87"/>
    </row>
    <row r="35" spans="1:41" ht="158.25" customHeight="1">
      <c r="A35" s="955"/>
      <c r="B35" s="956"/>
      <c r="C35" s="91" t="s">
        <v>79</v>
      </c>
      <c r="D35" s="418">
        <v>0</v>
      </c>
      <c r="E35" s="418">
        <v>0</v>
      </c>
      <c r="F35" s="418">
        <v>0</v>
      </c>
      <c r="G35" s="509">
        <v>0</v>
      </c>
      <c r="H35" s="419">
        <v>0</v>
      </c>
      <c r="I35" s="419">
        <v>0</v>
      </c>
      <c r="J35" s="419">
        <v>0</v>
      </c>
      <c r="K35" s="419">
        <v>0</v>
      </c>
      <c r="L35" s="419">
        <v>0</v>
      </c>
      <c r="M35" s="419"/>
      <c r="N35" s="419"/>
      <c r="O35" s="419"/>
      <c r="P35" s="653">
        <f>SUM(D35:O35)</f>
        <v>0</v>
      </c>
      <c r="Q35" s="960"/>
      <c r="R35" s="961"/>
      <c r="S35" s="961"/>
      <c r="T35" s="961"/>
      <c r="U35" s="961"/>
      <c r="V35" s="962"/>
      <c r="W35" s="960"/>
      <c r="X35" s="961"/>
      <c r="Y35" s="961"/>
      <c r="Z35" s="961"/>
      <c r="AA35" s="966"/>
      <c r="AB35" s="967"/>
      <c r="AC35" s="967"/>
      <c r="AD35" s="968"/>
      <c r="AE35" s="49"/>
      <c r="AF35" s="542">
        <f t="shared" ref="AF35:AM35" si="0">LEN(AF34)</f>
        <v>289</v>
      </c>
      <c r="AG35" s="542">
        <f t="shared" si="0"/>
        <v>125</v>
      </c>
      <c r="AH35" s="542">
        <f t="shared" si="0"/>
        <v>67</v>
      </c>
      <c r="AI35" s="542">
        <f t="shared" si="0"/>
        <v>56</v>
      </c>
      <c r="AJ35" s="542">
        <f t="shared" si="0"/>
        <v>56</v>
      </c>
      <c r="AK35" s="542">
        <f t="shared" si="0"/>
        <v>251</v>
      </c>
      <c r="AL35" s="542">
        <f t="shared" si="0"/>
        <v>293</v>
      </c>
      <c r="AM35" s="542">
        <f t="shared" si="0"/>
        <v>268</v>
      </c>
      <c r="AN35" s="87"/>
      <c r="AO35" s="87"/>
    </row>
    <row r="36" spans="1:41" ht="26.1" customHeight="1">
      <c r="A36" s="874" t="s">
        <v>80</v>
      </c>
      <c r="B36" s="947" t="s">
        <v>81</v>
      </c>
      <c r="C36" s="949" t="s">
        <v>82</v>
      </c>
      <c r="D36" s="949"/>
      <c r="E36" s="949"/>
      <c r="F36" s="949"/>
      <c r="G36" s="949"/>
      <c r="H36" s="949"/>
      <c r="I36" s="949"/>
      <c r="J36" s="949"/>
      <c r="K36" s="949"/>
      <c r="L36" s="949"/>
      <c r="M36" s="949"/>
      <c r="N36" s="949"/>
      <c r="O36" s="949"/>
      <c r="P36" s="949"/>
      <c r="Q36" s="950" t="s">
        <v>83</v>
      </c>
      <c r="R36" s="951"/>
      <c r="S36" s="951"/>
      <c r="T36" s="951"/>
      <c r="U36" s="951"/>
      <c r="V36" s="951"/>
      <c r="W36" s="951"/>
      <c r="X36" s="951"/>
      <c r="Y36" s="951"/>
      <c r="Z36" s="951"/>
      <c r="AA36" s="951"/>
      <c r="AB36" s="951"/>
      <c r="AC36" s="951"/>
      <c r="AD36" s="952"/>
      <c r="AG36" s="87"/>
      <c r="AH36" s="87"/>
      <c r="AI36" s="87"/>
      <c r="AJ36" s="87"/>
      <c r="AK36" s="87"/>
      <c r="AL36" s="87"/>
      <c r="AM36" s="87"/>
      <c r="AN36" s="87"/>
      <c r="AO36" s="87"/>
    </row>
    <row r="37" spans="1:41" ht="26.1" customHeight="1">
      <c r="A37" s="861"/>
      <c r="B37" s="948"/>
      <c r="C37" s="88" t="s">
        <v>84</v>
      </c>
      <c r="D37" s="88" t="s">
        <v>85</v>
      </c>
      <c r="E37" s="88" t="s">
        <v>86</v>
      </c>
      <c r="F37" s="88" t="s">
        <v>87</v>
      </c>
      <c r="G37" s="88" t="s">
        <v>88</v>
      </c>
      <c r="H37" s="88" t="s">
        <v>89</v>
      </c>
      <c r="I37" s="88" t="s">
        <v>90</v>
      </c>
      <c r="J37" s="88" t="s">
        <v>91</v>
      </c>
      <c r="K37" s="88" t="s">
        <v>92</v>
      </c>
      <c r="L37" s="88" t="s">
        <v>93</v>
      </c>
      <c r="M37" s="88" t="s">
        <v>94</v>
      </c>
      <c r="N37" s="88" t="s">
        <v>95</v>
      </c>
      <c r="O37" s="88" t="s">
        <v>96</v>
      </c>
      <c r="P37" s="88" t="s">
        <v>97</v>
      </c>
      <c r="Q37" s="888" t="s">
        <v>98</v>
      </c>
      <c r="R37" s="889"/>
      <c r="S37" s="889"/>
      <c r="T37" s="889"/>
      <c r="U37" s="889"/>
      <c r="V37" s="889"/>
      <c r="W37" s="889"/>
      <c r="X37" s="889"/>
      <c r="Y37" s="889"/>
      <c r="Z37" s="889"/>
      <c r="AA37" s="889"/>
      <c r="AB37" s="889"/>
      <c r="AC37" s="889"/>
      <c r="AD37" s="953"/>
      <c r="AG37" s="94"/>
      <c r="AH37" s="94"/>
      <c r="AI37" s="94"/>
      <c r="AJ37" s="94"/>
      <c r="AK37" s="94"/>
      <c r="AL37" s="94"/>
      <c r="AM37" s="94"/>
      <c r="AN37" s="94"/>
      <c r="AO37" s="94"/>
    </row>
    <row r="38" spans="1:41" ht="51" customHeight="1">
      <c r="A38" s="937" t="s">
        <v>115</v>
      </c>
      <c r="B38" s="939">
        <v>0.1</v>
      </c>
      <c r="C38" s="90" t="s">
        <v>70</v>
      </c>
      <c r="D38" s="95">
        <v>0</v>
      </c>
      <c r="E38" s="95">
        <v>0</v>
      </c>
      <c r="F38" s="95">
        <v>0</v>
      </c>
      <c r="G38" s="95">
        <v>0</v>
      </c>
      <c r="H38" s="95">
        <v>0</v>
      </c>
      <c r="I38" s="95">
        <v>0</v>
      </c>
      <c r="J38" s="95">
        <v>0</v>
      </c>
      <c r="K38" s="95">
        <v>0.25</v>
      </c>
      <c r="L38" s="95">
        <v>0</v>
      </c>
      <c r="M38" s="95">
        <v>0.5</v>
      </c>
      <c r="N38" s="95">
        <v>0</v>
      </c>
      <c r="O38" s="95">
        <v>0.25</v>
      </c>
      <c r="P38" s="96">
        <f t="shared" ref="P38:P39" si="1">SUM(D38:O38)</f>
        <v>1</v>
      </c>
      <c r="Q38" s="941" t="s">
        <v>1276</v>
      </c>
      <c r="R38" s="942"/>
      <c r="S38" s="942"/>
      <c r="T38" s="942"/>
      <c r="U38" s="942"/>
      <c r="V38" s="942"/>
      <c r="W38" s="942"/>
      <c r="X38" s="942"/>
      <c r="Y38" s="942"/>
      <c r="Z38" s="942"/>
      <c r="AA38" s="942"/>
      <c r="AB38" s="942"/>
      <c r="AC38" s="942"/>
      <c r="AD38" s="943"/>
      <c r="AE38" s="97"/>
      <c r="AG38" s="98"/>
      <c r="AH38" s="98"/>
      <c r="AI38" s="98"/>
      <c r="AJ38" s="98"/>
      <c r="AK38" s="98"/>
      <c r="AL38" s="98"/>
      <c r="AM38" s="98"/>
      <c r="AN38" s="98"/>
      <c r="AO38" s="98"/>
    </row>
    <row r="39" spans="1:41" ht="51" customHeight="1" thickBot="1">
      <c r="A39" s="938"/>
      <c r="B39" s="940"/>
      <c r="C39" s="91" t="s">
        <v>79</v>
      </c>
      <c r="D39" s="105">
        <v>0</v>
      </c>
      <c r="E39" s="105">
        <v>0</v>
      </c>
      <c r="F39" s="105">
        <v>0</v>
      </c>
      <c r="G39" s="105">
        <v>0</v>
      </c>
      <c r="H39" s="105">
        <v>0</v>
      </c>
      <c r="I39" s="105">
        <v>0.1</v>
      </c>
      <c r="J39" s="105">
        <v>0.05</v>
      </c>
      <c r="K39" s="105">
        <v>0.02</v>
      </c>
      <c r="L39" s="105">
        <v>0.03</v>
      </c>
      <c r="M39" s="105"/>
      <c r="N39" s="105"/>
      <c r="O39" s="105"/>
      <c r="P39" s="107">
        <f t="shared" si="1"/>
        <v>0.2</v>
      </c>
      <c r="Q39" s="944"/>
      <c r="R39" s="945"/>
      <c r="S39" s="945"/>
      <c r="T39" s="945"/>
      <c r="U39" s="945"/>
      <c r="V39" s="945"/>
      <c r="W39" s="945"/>
      <c r="X39" s="945"/>
      <c r="Y39" s="945"/>
      <c r="Z39" s="945"/>
      <c r="AA39" s="945"/>
      <c r="AB39" s="945"/>
      <c r="AC39" s="945"/>
      <c r="AD39" s="946"/>
      <c r="AE39" s="97"/>
    </row>
    <row r="40" spans="1:41">
      <c r="A40" s="50" t="s">
        <v>105</v>
      </c>
    </row>
    <row r="45" spans="1:41">
      <c r="M45" s="510" t="s">
        <v>116</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BB68"/>
  <sheetViews>
    <sheetView showGridLines="0" view="pageBreakPreview" topLeftCell="M30" zoomScale="60" zoomScaleNormal="75" workbookViewId="0">
      <selection activeCell="Q34" sqref="Q34:V35"/>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8" width="12" style="50" bestFit="1" customWidth="1"/>
    <col min="9" max="9" width="13.28515625" style="50" bestFit="1" customWidth="1"/>
    <col min="10" max="10" width="11.42578125" style="50" bestFit="1" customWidth="1"/>
    <col min="11" max="11" width="11.140625" style="50" bestFit="1" customWidth="1"/>
    <col min="12" max="13" width="9.7109375" style="50" customWidth="1"/>
    <col min="14" max="14" width="13.85546875" style="50" customWidth="1"/>
    <col min="15" max="15" width="17.28515625" style="50" bestFit="1" customWidth="1"/>
    <col min="16" max="16" width="18.140625" style="50" customWidth="1"/>
    <col min="17" max="17" width="16.28515625" style="50" bestFit="1" customWidth="1"/>
    <col min="18" max="18" width="14" style="50" bestFit="1" customWidth="1"/>
    <col min="19" max="19" width="17" style="50" customWidth="1"/>
    <col min="20" max="20" width="14.7109375" style="50" bestFit="1" customWidth="1"/>
    <col min="21" max="21" width="18.28515625" style="50" customWidth="1"/>
    <col min="22" max="22" width="15.42578125" style="50" bestFit="1" customWidth="1"/>
    <col min="23" max="28" width="14.7109375" style="50" bestFit="1" customWidth="1"/>
    <col min="29" max="29" width="24.140625" style="50" bestFit="1" customWidth="1"/>
    <col min="30" max="30" width="19.42578125" style="50" customWidth="1"/>
    <col min="31" max="31" width="6.28515625" style="50" bestFit="1" customWidth="1"/>
    <col min="32" max="32" width="50.7109375" style="512" customWidth="1"/>
    <col min="33" max="35" width="34.5703125" style="512" customWidth="1"/>
    <col min="36" max="36" width="22.5703125" style="72" customWidth="1"/>
    <col min="37" max="38" width="22.42578125" style="72" customWidth="1"/>
    <col min="39" max="42" width="22.42578125" style="157" customWidth="1"/>
    <col min="43" max="43" width="25.85546875" style="157" customWidth="1"/>
    <col min="44" max="44" width="18.42578125" style="50" bestFit="1" customWidth="1"/>
    <col min="45" max="45" width="16.140625" style="50" customWidth="1"/>
    <col min="46" max="16384" width="10.85546875" style="50"/>
  </cols>
  <sheetData>
    <row r="1" spans="1:30" ht="32.25" customHeight="1">
      <c r="A1" s="793"/>
      <c r="B1" s="796" t="s">
        <v>0</v>
      </c>
      <c r="C1" s="797"/>
      <c r="D1" s="797"/>
      <c r="E1" s="797"/>
      <c r="F1" s="797"/>
      <c r="G1" s="797"/>
      <c r="H1" s="797"/>
      <c r="I1" s="797"/>
      <c r="J1" s="797"/>
      <c r="K1" s="797"/>
      <c r="L1" s="797"/>
      <c r="M1" s="797"/>
      <c r="N1" s="797"/>
      <c r="O1" s="797"/>
      <c r="P1" s="797"/>
      <c r="Q1" s="797"/>
      <c r="R1" s="797"/>
      <c r="S1" s="797"/>
      <c r="T1" s="797"/>
      <c r="U1" s="797"/>
      <c r="V1" s="797"/>
      <c r="W1" s="797"/>
      <c r="X1" s="797"/>
      <c r="Y1" s="797"/>
      <c r="Z1" s="797"/>
      <c r="AA1" s="798"/>
      <c r="AB1" s="986" t="s">
        <v>1</v>
      </c>
      <c r="AC1" s="987"/>
      <c r="AD1" s="988"/>
    </row>
    <row r="2" spans="1:30" ht="30.75" customHeight="1">
      <c r="A2" s="794"/>
      <c r="B2" s="802" t="s">
        <v>2</v>
      </c>
      <c r="C2" s="803"/>
      <c r="D2" s="803"/>
      <c r="E2" s="803"/>
      <c r="F2" s="803"/>
      <c r="G2" s="803"/>
      <c r="H2" s="803"/>
      <c r="I2" s="803"/>
      <c r="J2" s="803"/>
      <c r="K2" s="803"/>
      <c r="L2" s="803"/>
      <c r="M2" s="803"/>
      <c r="N2" s="803"/>
      <c r="O2" s="803"/>
      <c r="P2" s="803"/>
      <c r="Q2" s="803"/>
      <c r="R2" s="803"/>
      <c r="S2" s="803"/>
      <c r="T2" s="803"/>
      <c r="U2" s="803"/>
      <c r="V2" s="803"/>
      <c r="W2" s="803"/>
      <c r="X2" s="803"/>
      <c r="Y2" s="803"/>
      <c r="Z2" s="803"/>
      <c r="AA2" s="804"/>
      <c r="AB2" s="989" t="s">
        <v>3</v>
      </c>
      <c r="AC2" s="990"/>
      <c r="AD2" s="991"/>
    </row>
    <row r="3" spans="1:30" ht="24" customHeight="1">
      <c r="A3" s="794"/>
      <c r="B3" s="808" t="s">
        <v>4</v>
      </c>
      <c r="C3" s="809"/>
      <c r="D3" s="809"/>
      <c r="E3" s="809"/>
      <c r="F3" s="809"/>
      <c r="G3" s="809"/>
      <c r="H3" s="809"/>
      <c r="I3" s="809"/>
      <c r="J3" s="809"/>
      <c r="K3" s="809"/>
      <c r="L3" s="809"/>
      <c r="M3" s="809"/>
      <c r="N3" s="809"/>
      <c r="O3" s="809"/>
      <c r="P3" s="809"/>
      <c r="Q3" s="809"/>
      <c r="R3" s="809"/>
      <c r="S3" s="809"/>
      <c r="T3" s="809"/>
      <c r="U3" s="809"/>
      <c r="V3" s="809"/>
      <c r="W3" s="809"/>
      <c r="X3" s="809"/>
      <c r="Y3" s="809"/>
      <c r="Z3" s="809"/>
      <c r="AA3" s="810"/>
      <c r="AB3" s="989" t="s">
        <v>5</v>
      </c>
      <c r="AC3" s="990"/>
      <c r="AD3" s="991"/>
    </row>
    <row r="4" spans="1:30" ht="21.95" customHeight="1" thickBot="1">
      <c r="A4" s="795"/>
      <c r="B4" s="811"/>
      <c r="C4" s="812"/>
      <c r="D4" s="812"/>
      <c r="E4" s="812"/>
      <c r="F4" s="812"/>
      <c r="G4" s="812"/>
      <c r="H4" s="812"/>
      <c r="I4" s="812"/>
      <c r="J4" s="812"/>
      <c r="K4" s="812"/>
      <c r="L4" s="812"/>
      <c r="M4" s="812"/>
      <c r="N4" s="812"/>
      <c r="O4" s="812"/>
      <c r="P4" s="812"/>
      <c r="Q4" s="812"/>
      <c r="R4" s="812"/>
      <c r="S4" s="812"/>
      <c r="T4" s="812"/>
      <c r="U4" s="812"/>
      <c r="V4" s="812"/>
      <c r="W4" s="812"/>
      <c r="X4" s="812"/>
      <c r="Y4" s="812"/>
      <c r="Z4" s="812"/>
      <c r="AA4" s="813"/>
      <c r="AB4" s="983" t="s">
        <v>6</v>
      </c>
      <c r="AC4" s="984"/>
      <c r="AD4" s="98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17" t="s">
        <v>7</v>
      </c>
      <c r="B7" s="818"/>
      <c r="C7" s="826" t="s">
        <v>37</v>
      </c>
      <c r="D7" s="817" t="s">
        <v>9</v>
      </c>
      <c r="E7" s="829"/>
      <c r="F7" s="829"/>
      <c r="G7" s="829"/>
      <c r="H7" s="818"/>
      <c r="I7" s="832">
        <v>44839</v>
      </c>
      <c r="J7" s="833"/>
      <c r="K7" s="817" t="s">
        <v>10</v>
      </c>
      <c r="L7" s="818"/>
      <c r="M7" s="838" t="s">
        <v>11</v>
      </c>
      <c r="N7" s="839"/>
      <c r="O7" s="843"/>
      <c r="P7" s="844"/>
      <c r="Q7" s="54"/>
      <c r="R7" s="54"/>
      <c r="S7" s="54"/>
      <c r="T7" s="54"/>
      <c r="U7" s="54"/>
      <c r="V7" s="54"/>
      <c r="W7" s="54"/>
      <c r="X7" s="54"/>
      <c r="Y7" s="54"/>
      <c r="Z7" s="55"/>
      <c r="AA7" s="54"/>
      <c r="AB7" s="54"/>
      <c r="AC7" s="60"/>
      <c r="AD7" s="61"/>
    </row>
    <row r="8" spans="1:30" ht="15" customHeight="1">
      <c r="A8" s="819"/>
      <c r="B8" s="820"/>
      <c r="C8" s="827"/>
      <c r="D8" s="819"/>
      <c r="E8" s="830"/>
      <c r="F8" s="830"/>
      <c r="G8" s="830"/>
      <c r="H8" s="820"/>
      <c r="I8" s="834"/>
      <c r="J8" s="835"/>
      <c r="K8" s="819"/>
      <c r="L8" s="820"/>
      <c r="M8" s="845" t="s">
        <v>12</v>
      </c>
      <c r="N8" s="846"/>
      <c r="O8" s="847"/>
      <c r="P8" s="848"/>
      <c r="Q8" s="54"/>
      <c r="R8" s="54"/>
      <c r="S8" s="54"/>
      <c r="T8" s="54"/>
      <c r="U8" s="54"/>
      <c r="V8" s="54"/>
      <c r="W8" s="54"/>
      <c r="X8" s="54"/>
      <c r="Y8" s="54"/>
      <c r="Z8" s="55"/>
      <c r="AA8" s="54"/>
      <c r="AB8" s="54"/>
      <c r="AC8" s="60"/>
      <c r="AD8" s="61"/>
    </row>
    <row r="9" spans="1:30" ht="15.75" customHeight="1" thickBot="1">
      <c r="A9" s="821"/>
      <c r="B9" s="822"/>
      <c r="C9" s="828"/>
      <c r="D9" s="821"/>
      <c r="E9" s="831"/>
      <c r="F9" s="831"/>
      <c r="G9" s="831"/>
      <c r="H9" s="822"/>
      <c r="I9" s="836"/>
      <c r="J9" s="837"/>
      <c r="K9" s="821"/>
      <c r="L9" s="822"/>
      <c r="M9" s="849" t="s">
        <v>13</v>
      </c>
      <c r="N9" s="850"/>
      <c r="O9" s="851" t="s">
        <v>14</v>
      </c>
      <c r="P9" s="852"/>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17" t="s">
        <v>15</v>
      </c>
      <c r="B11" s="818"/>
      <c r="C11" s="823" t="s">
        <v>16</v>
      </c>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5"/>
    </row>
    <row r="12" spans="1:30" ht="15" customHeight="1">
      <c r="A12" s="819"/>
      <c r="B12" s="820"/>
      <c r="C12" s="808"/>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10"/>
    </row>
    <row r="13" spans="1:30" ht="15" customHeight="1" thickBot="1">
      <c r="A13" s="821"/>
      <c r="B13" s="822"/>
      <c r="C13" s="811"/>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53" t="s">
        <v>17</v>
      </c>
      <c r="B15" s="854"/>
      <c r="C15" s="840" t="s">
        <v>18</v>
      </c>
      <c r="D15" s="841"/>
      <c r="E15" s="841"/>
      <c r="F15" s="841"/>
      <c r="G15" s="841"/>
      <c r="H15" s="841"/>
      <c r="I15" s="841"/>
      <c r="J15" s="841"/>
      <c r="K15" s="842"/>
      <c r="L15" s="855" t="s">
        <v>19</v>
      </c>
      <c r="M15" s="856"/>
      <c r="N15" s="856"/>
      <c r="O15" s="856"/>
      <c r="P15" s="856"/>
      <c r="Q15" s="857"/>
      <c r="R15" s="858" t="s">
        <v>20</v>
      </c>
      <c r="S15" s="859"/>
      <c r="T15" s="859"/>
      <c r="U15" s="859"/>
      <c r="V15" s="859"/>
      <c r="W15" s="859"/>
      <c r="X15" s="860"/>
      <c r="Y15" s="855" t="s">
        <v>21</v>
      </c>
      <c r="Z15" s="857"/>
      <c r="AA15" s="840" t="s">
        <v>22</v>
      </c>
      <c r="AB15" s="841"/>
      <c r="AC15" s="841"/>
      <c r="AD15" s="842"/>
    </row>
    <row r="16" spans="1:30" ht="9" customHeight="1" thickBot="1">
      <c r="A16" s="59"/>
      <c r="B16" s="54"/>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863"/>
      <c r="AC16" s="73"/>
      <c r="AD16" s="74"/>
    </row>
    <row r="17" spans="1:45" s="76" customFormat="1" ht="37.5" customHeight="1" thickBot="1">
      <c r="A17" s="853" t="s">
        <v>23</v>
      </c>
      <c r="B17" s="854"/>
      <c r="C17" s="864" t="s">
        <v>117</v>
      </c>
      <c r="D17" s="865"/>
      <c r="E17" s="865"/>
      <c r="F17" s="865"/>
      <c r="G17" s="865"/>
      <c r="H17" s="865"/>
      <c r="I17" s="865"/>
      <c r="J17" s="865"/>
      <c r="K17" s="865"/>
      <c r="L17" s="865"/>
      <c r="M17" s="865"/>
      <c r="N17" s="865"/>
      <c r="O17" s="865"/>
      <c r="P17" s="865"/>
      <c r="Q17" s="866"/>
      <c r="R17" s="855" t="s">
        <v>25</v>
      </c>
      <c r="S17" s="856"/>
      <c r="T17" s="856"/>
      <c r="U17" s="856"/>
      <c r="V17" s="857"/>
      <c r="W17" s="1022">
        <v>0.2</v>
      </c>
      <c r="X17" s="1023"/>
      <c r="Y17" s="856" t="s">
        <v>26</v>
      </c>
      <c r="Z17" s="856"/>
      <c r="AA17" s="856"/>
      <c r="AB17" s="857"/>
      <c r="AC17" s="869">
        <v>0.25</v>
      </c>
      <c r="AD17" s="870"/>
      <c r="AF17" s="513"/>
      <c r="AG17" s="513"/>
      <c r="AH17" s="513"/>
      <c r="AI17" s="513"/>
      <c r="AJ17" s="420"/>
      <c r="AK17" s="420"/>
      <c r="AL17" s="420"/>
      <c r="AM17" s="420"/>
      <c r="AN17" s="420"/>
      <c r="AO17" s="420"/>
      <c r="AP17" s="420"/>
      <c r="AQ17" s="420"/>
    </row>
    <row r="18" spans="1:45" ht="16.5" hidden="1" customHeigh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hidden="1" customHeight="1">
      <c r="A19" s="855" t="s">
        <v>27</v>
      </c>
      <c r="B19" s="856"/>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7"/>
      <c r="AE19" s="83"/>
      <c r="AF19" s="514"/>
      <c r="AG19" s="514"/>
      <c r="AH19" s="514"/>
      <c r="AI19" s="514"/>
    </row>
    <row r="20" spans="1:45" ht="32.1" customHeight="1" thickBot="1">
      <c r="A20" s="82"/>
      <c r="B20" s="60"/>
      <c r="C20" s="871" t="s">
        <v>28</v>
      </c>
      <c r="D20" s="872"/>
      <c r="E20" s="872"/>
      <c r="F20" s="872"/>
      <c r="G20" s="872"/>
      <c r="H20" s="872"/>
      <c r="I20" s="872"/>
      <c r="J20" s="872"/>
      <c r="K20" s="872"/>
      <c r="L20" s="872"/>
      <c r="M20" s="872"/>
      <c r="N20" s="872"/>
      <c r="O20" s="872"/>
      <c r="P20" s="873"/>
      <c r="Q20" s="977" t="s">
        <v>29</v>
      </c>
      <c r="R20" s="975"/>
      <c r="S20" s="975"/>
      <c r="T20" s="975"/>
      <c r="U20" s="975"/>
      <c r="V20" s="975"/>
      <c r="W20" s="975"/>
      <c r="X20" s="975"/>
      <c r="Y20" s="975"/>
      <c r="Z20" s="975"/>
      <c r="AA20" s="975"/>
      <c r="AB20" s="975"/>
      <c r="AC20" s="975"/>
      <c r="AD20" s="976"/>
      <c r="AE20" s="83"/>
      <c r="AF20" s="514"/>
      <c r="AG20" s="514"/>
      <c r="AH20" s="514"/>
      <c r="AI20" s="514"/>
    </row>
    <row r="21" spans="1:45" ht="32.1" customHeight="1" thickBot="1">
      <c r="A21" s="359"/>
      <c r="B21" s="56"/>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515"/>
      <c r="AG21" s="515"/>
      <c r="AH21" s="515"/>
      <c r="AI21" s="515"/>
    </row>
    <row r="22" spans="1:45" ht="32.1" customHeight="1">
      <c r="A22" s="874" t="s">
        <v>43</v>
      </c>
      <c r="B22" s="950"/>
      <c r="C22" s="635">
        <v>0</v>
      </c>
      <c r="D22" s="636">
        <v>0</v>
      </c>
      <c r="E22" s="636">
        <v>0</v>
      </c>
      <c r="F22" s="636">
        <v>0</v>
      </c>
      <c r="G22" s="636">
        <v>0</v>
      </c>
      <c r="H22" s="636">
        <v>0</v>
      </c>
      <c r="I22" s="636">
        <v>0</v>
      </c>
      <c r="J22" s="636">
        <v>0</v>
      </c>
      <c r="K22" s="636">
        <v>0</v>
      </c>
      <c r="L22" s="636">
        <v>0</v>
      </c>
      <c r="M22" s="636">
        <v>0</v>
      </c>
      <c r="N22" s="636">
        <v>0</v>
      </c>
      <c r="O22" s="636">
        <f>SUM(C22:N22)</f>
        <v>0</v>
      </c>
      <c r="P22" s="637"/>
      <c r="Q22" s="648">
        <v>1452847000</v>
      </c>
      <c r="R22" s="636">
        <v>0</v>
      </c>
      <c r="S22" s="636">
        <v>0</v>
      </c>
      <c r="T22" s="643">
        <f>(5500000*9%)+(150000000*67%)</f>
        <v>100995000</v>
      </c>
      <c r="U22" s="643">
        <f>(471340694*5%)+8000000</f>
        <v>31567034.700000003</v>
      </c>
      <c r="V22" s="643">
        <f>(58000000*14%)+(5117000*29%)+(71651306*19%)</f>
        <v>23217678.140000001</v>
      </c>
      <c r="W22" s="643">
        <v>-28052209</v>
      </c>
      <c r="X22" s="636">
        <v>0</v>
      </c>
      <c r="Y22" s="643">
        <v>0</v>
      </c>
      <c r="Z22" s="636">
        <v>0</v>
      </c>
      <c r="AA22" s="636">
        <v>0</v>
      </c>
      <c r="AB22" s="636">
        <v>0</v>
      </c>
      <c r="AC22" s="786">
        <f>SUM(Q22:AB22)</f>
        <v>1580574503.8400002</v>
      </c>
      <c r="AD22" s="649"/>
      <c r="AE22" s="3"/>
      <c r="AF22" s="515"/>
      <c r="AG22" s="515"/>
      <c r="AH22" s="515"/>
      <c r="AI22" s="515"/>
      <c r="AJ22" s="435"/>
    </row>
    <row r="23" spans="1:45" ht="32.1" customHeight="1">
      <c r="A23" s="861" t="s">
        <v>44</v>
      </c>
      <c r="B23" s="888"/>
      <c r="C23" s="638">
        <v>0</v>
      </c>
      <c r="D23" s="639">
        <v>0</v>
      </c>
      <c r="E23" s="639">
        <v>0</v>
      </c>
      <c r="F23" s="639">
        <v>0</v>
      </c>
      <c r="G23" s="639">
        <v>0</v>
      </c>
      <c r="H23" s="639">
        <v>0</v>
      </c>
      <c r="I23" s="639">
        <v>0</v>
      </c>
      <c r="J23" s="639">
        <v>0</v>
      </c>
      <c r="K23" s="639">
        <v>0</v>
      </c>
      <c r="L23" s="639">
        <v>0</v>
      </c>
      <c r="M23" s="639">
        <v>0</v>
      </c>
      <c r="N23" s="639">
        <v>0</v>
      </c>
      <c r="O23" s="636">
        <f>SUM(C23:N23)</f>
        <v>0</v>
      </c>
      <c r="P23" s="640" t="str">
        <f>IFERROR(O23/(SUMIF(C23:N23,"&gt;0",C22:N22))," ")</f>
        <v xml:space="preserve"> </v>
      </c>
      <c r="Q23" s="648">
        <v>1451347000</v>
      </c>
      <c r="R23" s="643">
        <v>0</v>
      </c>
      <c r="S23" s="643">
        <v>100000000</v>
      </c>
      <c r="T23" s="643">
        <v>0</v>
      </c>
      <c r="U23" s="643">
        <v>16454619</v>
      </c>
      <c r="V23" s="643">
        <v>9095800</v>
      </c>
      <c r="W23" s="643">
        <v>0</v>
      </c>
      <c r="X23" s="643">
        <v>0</v>
      </c>
      <c r="Y23" s="636">
        <v>3182084</v>
      </c>
      <c r="Z23" s="636">
        <v>0</v>
      </c>
      <c r="AA23" s="636">
        <v>0</v>
      </c>
      <c r="AB23" s="636">
        <v>0</v>
      </c>
      <c r="AC23" s="785">
        <f>SUM(Q23:AB23)</f>
        <v>1580079503</v>
      </c>
      <c r="AD23" s="774">
        <f>AC23/AC22</f>
        <v>0.99968682220370031</v>
      </c>
      <c r="AE23" s="3"/>
      <c r="AF23" s="517" t="s">
        <v>118</v>
      </c>
      <c r="AG23" s="517"/>
      <c r="AH23" s="517"/>
      <c r="AI23" s="517"/>
    </row>
    <row r="24" spans="1:45" ht="32.1" customHeight="1">
      <c r="A24" s="861" t="s">
        <v>46</v>
      </c>
      <c r="B24" s="888"/>
      <c r="C24" s="638">
        <v>0</v>
      </c>
      <c r="D24" s="641">
        <f>4533333</f>
        <v>4533333</v>
      </c>
      <c r="E24" s="641">
        <v>3795913.4249999998</v>
      </c>
      <c r="F24" s="641">
        <v>6507926.4249999998</v>
      </c>
      <c r="G24" s="641">
        <v>7591826.8499999996</v>
      </c>
      <c r="H24" s="639">
        <v>0</v>
      </c>
      <c r="I24" s="639">
        <v>0</v>
      </c>
      <c r="J24" s="639">
        <v>0</v>
      </c>
      <c r="K24" s="639">
        <v>0</v>
      </c>
      <c r="L24" s="639">
        <v>0</v>
      </c>
      <c r="M24" s="639">
        <v>0</v>
      </c>
      <c r="N24" s="639">
        <v>0</v>
      </c>
      <c r="O24" s="694">
        <f>SUM(C24:N24)</f>
        <v>22428999.699999999</v>
      </c>
      <c r="P24" s="644"/>
      <c r="Q24" s="648">
        <v>0</v>
      </c>
      <c r="R24" s="643">
        <v>47124065.236666664</v>
      </c>
      <c r="S24" s="643">
        <v>135175398.56999999</v>
      </c>
      <c r="T24" s="643">
        <v>135175398.56999999</v>
      </c>
      <c r="U24" s="530">
        <v>135175398.56999999</v>
      </c>
      <c r="V24" s="530">
        <v>135237273.56999999</v>
      </c>
      <c r="W24" s="530">
        <v>170752273.56999999</v>
      </c>
      <c r="X24" s="530">
        <v>137252273.56999999</v>
      </c>
      <c r="Y24" s="530">
        <v>170752273.56999999</v>
      </c>
      <c r="Z24" s="530">
        <v>137252273.56999999</v>
      </c>
      <c r="AA24" s="530">
        <v>170752273.56999999</v>
      </c>
      <c r="AB24" s="530">
        <f>137252273.57+96725536.9033333-28052209</f>
        <v>205925601.4733333</v>
      </c>
      <c r="AC24" s="789">
        <f>SUM(Q24:AB24)</f>
        <v>1580574503.8399997</v>
      </c>
      <c r="AD24" s="640"/>
      <c r="AE24" s="3"/>
      <c r="AF24" s="515"/>
      <c r="AG24" s="515"/>
      <c r="AH24" s="515"/>
      <c r="AI24" s="515"/>
    </row>
    <row r="25" spans="1:45" ht="32.1" customHeight="1">
      <c r="A25" s="876" t="s">
        <v>47</v>
      </c>
      <c r="B25" s="877"/>
      <c r="C25" s="645">
        <v>1721301.54</v>
      </c>
      <c r="D25" s="646">
        <v>600398.46</v>
      </c>
      <c r="E25" s="646">
        <v>10231325.92</v>
      </c>
      <c r="F25" s="646">
        <v>0</v>
      </c>
      <c r="G25" s="646">
        <v>3424236.48</v>
      </c>
      <c r="H25" s="646">
        <f>(29338503*6%)</f>
        <v>1760310.18</v>
      </c>
      <c r="I25" s="646">
        <f>35681367*6%</f>
        <v>2140882.02</v>
      </c>
      <c r="J25" s="745">
        <f>26958669*6%</f>
        <v>1617520.14</v>
      </c>
      <c r="K25" s="769">
        <f>15550416*6%</f>
        <v>933024.96</v>
      </c>
      <c r="L25" s="647">
        <v>0</v>
      </c>
      <c r="M25" s="647">
        <v>0</v>
      </c>
      <c r="N25" s="647">
        <v>0</v>
      </c>
      <c r="O25" s="695">
        <f>SUM(C25:N25)</f>
        <v>22428999.700000003</v>
      </c>
      <c r="P25" s="470">
        <f>O25/O24</f>
        <v>1.0000000000000002</v>
      </c>
      <c r="Q25" s="650">
        <v>0</v>
      </c>
      <c r="R25" s="651">
        <v>47866500</v>
      </c>
      <c r="S25" s="651">
        <v>133077000</v>
      </c>
      <c r="T25" s="651">
        <v>133077000</v>
      </c>
      <c r="U25" s="651">
        <v>143002000</v>
      </c>
      <c r="V25" s="651">
        <v>159456619</v>
      </c>
      <c r="W25" s="651">
        <v>127927000</v>
      </c>
      <c r="X25" s="651">
        <v>127927000</v>
      </c>
      <c r="Y25" s="652">
        <v>133077000</v>
      </c>
      <c r="Z25" s="652">
        <v>0</v>
      </c>
      <c r="AA25" s="652">
        <v>0</v>
      </c>
      <c r="AB25" s="652">
        <v>0</v>
      </c>
      <c r="AC25" s="790">
        <f>SUM(Q25:AB25)</f>
        <v>1005410119</v>
      </c>
      <c r="AD25" s="470">
        <f>AC25/AC24</f>
        <v>0.63610422448126303</v>
      </c>
      <c r="AE25" s="3"/>
      <c r="AF25" s="515"/>
      <c r="AG25" s="512">
        <v>3182084</v>
      </c>
      <c r="AH25" s="515">
        <v>133077000</v>
      </c>
      <c r="AI25" s="515"/>
      <c r="AJ25" s="50"/>
      <c r="AK25" s="50"/>
      <c r="AL25" s="50"/>
      <c r="AM25" s="50"/>
      <c r="AN25" s="50"/>
      <c r="AO25" s="50"/>
      <c r="AP25" s="50"/>
      <c r="AQ25" s="50"/>
    </row>
    <row r="26" spans="1:45" ht="32.1" customHeight="1">
      <c r="A26" s="59"/>
      <c r="B26" s="54"/>
      <c r="C26" s="80"/>
      <c r="D26" s="80"/>
      <c r="E26" s="80"/>
      <c r="F26" s="80"/>
      <c r="G26" s="80"/>
      <c r="H26" s="80"/>
      <c r="I26" s="80"/>
      <c r="J26" s="80"/>
      <c r="K26" s="80"/>
      <c r="L26" s="80"/>
      <c r="M26" s="80"/>
      <c r="N26" s="80"/>
      <c r="O26" s="669"/>
      <c r="P26" s="80"/>
      <c r="Q26" s="80"/>
      <c r="R26" s="80"/>
      <c r="S26" s="80"/>
      <c r="T26" s="80"/>
      <c r="U26" s="80"/>
      <c r="V26" s="80"/>
      <c r="W26" s="80"/>
      <c r="X26" s="80"/>
      <c r="Y26" s="80"/>
      <c r="Z26" s="80"/>
      <c r="AA26" s="80"/>
      <c r="AB26" s="80"/>
      <c r="AC26" s="60"/>
      <c r="AD26" s="159"/>
      <c r="AF26" s="515"/>
      <c r="AG26" s="516"/>
      <c r="AH26" s="516"/>
      <c r="AI26" s="516"/>
    </row>
    <row r="27" spans="1:45" ht="33.950000000000003" customHeight="1">
      <c r="A27" s="878" t="s">
        <v>48</v>
      </c>
      <c r="B27" s="879"/>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0"/>
      <c r="AA27" s="880"/>
      <c r="AB27" s="880"/>
      <c r="AC27" s="880"/>
      <c r="AD27" s="881"/>
      <c r="AF27" s="516"/>
    </row>
    <row r="28" spans="1:45" ht="15" customHeight="1">
      <c r="A28" s="882" t="s">
        <v>49</v>
      </c>
      <c r="B28" s="884" t="s">
        <v>50</v>
      </c>
      <c r="C28" s="885"/>
      <c r="D28" s="888" t="s">
        <v>51</v>
      </c>
      <c r="E28" s="889"/>
      <c r="F28" s="889"/>
      <c r="G28" s="889"/>
      <c r="H28" s="889"/>
      <c r="I28" s="889"/>
      <c r="J28" s="889"/>
      <c r="K28" s="889"/>
      <c r="L28" s="889"/>
      <c r="M28" s="889"/>
      <c r="N28" s="889"/>
      <c r="O28" s="890"/>
      <c r="P28" s="891" t="s">
        <v>41</v>
      </c>
      <c r="Q28" s="891" t="s">
        <v>52</v>
      </c>
      <c r="R28" s="891"/>
      <c r="S28" s="891"/>
      <c r="T28" s="891"/>
      <c r="U28" s="891"/>
      <c r="V28" s="891"/>
      <c r="W28" s="891"/>
      <c r="X28" s="891"/>
      <c r="Y28" s="891"/>
      <c r="Z28" s="891"/>
      <c r="AA28" s="891"/>
      <c r="AB28" s="891"/>
      <c r="AC28" s="891"/>
      <c r="AD28" s="862"/>
    </row>
    <row r="29" spans="1:45" ht="27" customHeight="1">
      <c r="A29" s="883"/>
      <c r="B29" s="886"/>
      <c r="C29" s="887"/>
      <c r="D29" s="88" t="s">
        <v>30</v>
      </c>
      <c r="E29" s="88" t="s">
        <v>31</v>
      </c>
      <c r="F29" s="88" t="s">
        <v>32</v>
      </c>
      <c r="G29" s="88" t="s">
        <v>33</v>
      </c>
      <c r="H29" s="88" t="s">
        <v>34</v>
      </c>
      <c r="I29" s="88" t="s">
        <v>35</v>
      </c>
      <c r="J29" s="88" t="s">
        <v>36</v>
      </c>
      <c r="K29" s="88" t="s">
        <v>8</v>
      </c>
      <c r="L29" s="88" t="s">
        <v>37</v>
      </c>
      <c r="M29" s="88" t="s">
        <v>38</v>
      </c>
      <c r="N29" s="88" t="s">
        <v>39</v>
      </c>
      <c r="O29" s="88" t="s">
        <v>40</v>
      </c>
      <c r="P29" s="890"/>
      <c r="Q29" s="891"/>
      <c r="R29" s="891"/>
      <c r="S29" s="891"/>
      <c r="T29" s="891"/>
      <c r="U29" s="891"/>
      <c r="V29" s="891"/>
      <c r="W29" s="891"/>
      <c r="X29" s="891"/>
      <c r="Y29" s="891"/>
      <c r="Z29" s="891"/>
      <c r="AA29" s="891"/>
      <c r="AB29" s="891"/>
      <c r="AC29" s="891"/>
      <c r="AD29" s="862"/>
      <c r="AF29" s="156" t="s">
        <v>119</v>
      </c>
      <c r="AG29" s="156"/>
      <c r="AH29" s="433"/>
      <c r="AI29" s="433"/>
    </row>
    <row r="30" spans="1:45" ht="156.75" customHeight="1" thickBot="1">
      <c r="A30" s="377" t="str">
        <f>C17</f>
        <v>Diseñar e implementar una (1) estrategia para el desarrollo de capacidades socioemocionales y técnicas de las mujeres en toda su diversidad para su emprendimiento y empleabilidad.</v>
      </c>
      <c r="B30" s="969"/>
      <c r="C30" s="970"/>
      <c r="D30" s="89"/>
      <c r="E30" s="89"/>
      <c r="F30" s="89"/>
      <c r="G30" s="89"/>
      <c r="H30" s="89"/>
      <c r="I30" s="89"/>
      <c r="J30" s="89"/>
      <c r="K30" s="89"/>
      <c r="L30" s="89"/>
      <c r="M30" s="89"/>
      <c r="N30" s="89"/>
      <c r="O30" s="89"/>
      <c r="P30" s="86">
        <f>SUM(D30:O30)</f>
        <v>0</v>
      </c>
      <c r="Q30" s="894" t="s">
        <v>1263</v>
      </c>
      <c r="R30" s="895"/>
      <c r="S30" s="895"/>
      <c r="T30" s="895"/>
      <c r="U30" s="895"/>
      <c r="V30" s="895"/>
      <c r="W30" s="895"/>
      <c r="X30" s="895"/>
      <c r="Y30" s="895"/>
      <c r="Z30" s="895"/>
      <c r="AA30" s="895"/>
      <c r="AB30" s="895"/>
      <c r="AC30" s="895"/>
      <c r="AD30" s="896"/>
      <c r="AF30" s="624" t="s">
        <v>120</v>
      </c>
      <c r="AG30" s="623"/>
      <c r="AH30" s="623"/>
      <c r="AI30" s="623"/>
      <c r="AJ30" s="714"/>
      <c r="AK30" s="714"/>
      <c r="AL30" s="714"/>
      <c r="AM30" s="714"/>
      <c r="AN30" s="714"/>
      <c r="AO30" s="714"/>
      <c r="AP30" s="714"/>
      <c r="AQ30" s="714"/>
      <c r="AR30" s="714"/>
      <c r="AS30" s="623"/>
    </row>
    <row r="31" spans="1:45" ht="45" customHeight="1">
      <c r="A31" s="897" t="s">
        <v>54</v>
      </c>
      <c r="B31" s="89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9"/>
      <c r="AJ31" s="713"/>
      <c r="AK31" s="713"/>
      <c r="AL31" s="713"/>
      <c r="AM31" s="715"/>
      <c r="AN31" s="715"/>
      <c r="AO31" s="715"/>
      <c r="AP31" s="715"/>
      <c r="AQ31" s="715"/>
      <c r="AR31" s="716"/>
    </row>
    <row r="32" spans="1:45" ht="23.1" customHeight="1">
      <c r="A32" s="861" t="s">
        <v>55</v>
      </c>
      <c r="B32" s="891" t="s">
        <v>56</v>
      </c>
      <c r="C32" s="891" t="s">
        <v>50</v>
      </c>
      <c r="D32" s="891" t="s">
        <v>57</v>
      </c>
      <c r="E32" s="891"/>
      <c r="F32" s="891"/>
      <c r="G32" s="891"/>
      <c r="H32" s="891"/>
      <c r="I32" s="891"/>
      <c r="J32" s="891"/>
      <c r="K32" s="891"/>
      <c r="L32" s="891"/>
      <c r="M32" s="891"/>
      <c r="N32" s="891"/>
      <c r="O32" s="891"/>
      <c r="P32" s="891"/>
      <c r="Q32" s="891" t="s">
        <v>58</v>
      </c>
      <c r="R32" s="891"/>
      <c r="S32" s="891"/>
      <c r="T32" s="891"/>
      <c r="U32" s="891"/>
      <c r="V32" s="891"/>
      <c r="W32" s="891"/>
      <c r="X32" s="891"/>
      <c r="Y32" s="891"/>
      <c r="Z32" s="891"/>
      <c r="AA32" s="891"/>
      <c r="AB32" s="891"/>
      <c r="AC32" s="891"/>
      <c r="AD32" s="862"/>
      <c r="AJ32" s="717"/>
      <c r="AK32" s="717"/>
      <c r="AL32" s="717"/>
      <c r="AM32" s="718"/>
      <c r="AN32" s="718"/>
      <c r="AO32" s="718"/>
      <c r="AP32" s="718"/>
      <c r="AQ32" s="718"/>
      <c r="AR32" s="719"/>
    </row>
    <row r="33" spans="1:46" ht="23.1" customHeight="1">
      <c r="A33" s="861"/>
      <c r="B33" s="891"/>
      <c r="C33" s="900"/>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86" t="s">
        <v>59</v>
      </c>
      <c r="R33" s="901"/>
      <c r="S33" s="901"/>
      <c r="T33" s="901"/>
      <c r="U33" s="901"/>
      <c r="V33" s="887"/>
      <c r="W33" s="886" t="s">
        <v>60</v>
      </c>
      <c r="X33" s="901"/>
      <c r="Y33" s="901"/>
      <c r="Z33" s="887"/>
      <c r="AA33" s="886" t="s">
        <v>61</v>
      </c>
      <c r="AB33" s="901"/>
      <c r="AC33" s="901"/>
      <c r="AD33" s="910"/>
      <c r="AF33" s="156" t="s">
        <v>121</v>
      </c>
      <c r="AG33" s="156" t="s">
        <v>122</v>
      </c>
      <c r="AH33" s="433" t="s">
        <v>123</v>
      </c>
      <c r="AI33" s="433" t="s">
        <v>124</v>
      </c>
      <c r="AJ33" s="713"/>
      <c r="AK33" s="540" t="s">
        <v>62</v>
      </c>
      <c r="AL33" s="541" t="s">
        <v>63</v>
      </c>
      <c r="AM33" s="541" t="s">
        <v>64</v>
      </c>
      <c r="AN33" s="541" t="s">
        <v>65</v>
      </c>
      <c r="AO33" s="541" t="s">
        <v>66</v>
      </c>
      <c r="AP33" s="541" t="s">
        <v>67</v>
      </c>
      <c r="AQ33" s="541" t="s">
        <v>68</v>
      </c>
      <c r="AR33" s="541" t="s">
        <v>69</v>
      </c>
    </row>
    <row r="34" spans="1:46" ht="91.5" customHeight="1">
      <c r="A34" s="954" t="str">
        <f>C17</f>
        <v>Diseñar e implementar una (1) estrategia para el desarrollo de capacidades socioemocionales y técnicas de las mujeres en toda su diversidad para su emprendimiento y empleabilidad.</v>
      </c>
      <c r="B34" s="913">
        <f>B38+B40+B42+B44+B46</f>
        <v>0.25</v>
      </c>
      <c r="C34" s="90" t="s">
        <v>70</v>
      </c>
      <c r="D34" s="205">
        <f>D68</f>
        <v>0</v>
      </c>
      <c r="E34" s="205">
        <f t="shared" ref="E34:O34" si="0">E68</f>
        <v>1.0400000000000003E-2</v>
      </c>
      <c r="F34" s="205">
        <f t="shared" si="0"/>
        <v>2.0000000000000004E-2</v>
      </c>
      <c r="G34" s="205">
        <f t="shared" si="0"/>
        <v>2.0000000000000004E-2</v>
      </c>
      <c r="H34" s="205">
        <f t="shared" si="0"/>
        <v>2.0000000000000004E-2</v>
      </c>
      <c r="I34" s="205">
        <f t="shared" si="0"/>
        <v>2.0000000000000004E-2</v>
      </c>
      <c r="J34" s="205">
        <f t="shared" si="0"/>
        <v>2.0000000000000004E-2</v>
      </c>
      <c r="K34" s="205">
        <f t="shared" si="0"/>
        <v>2.0000000000000004E-2</v>
      </c>
      <c r="L34" s="205">
        <f t="shared" si="0"/>
        <v>2.0000000000000004E-2</v>
      </c>
      <c r="M34" s="205">
        <f t="shared" si="0"/>
        <v>2.0000000000000004E-2</v>
      </c>
      <c r="N34" s="205">
        <f t="shared" si="0"/>
        <v>2.0000000000000004E-2</v>
      </c>
      <c r="O34" s="205">
        <f t="shared" si="0"/>
        <v>9.6000000000000026E-3</v>
      </c>
      <c r="P34" s="205">
        <f>SUM(D34:O34)</f>
        <v>0.20000000000000007</v>
      </c>
      <c r="Q34" s="1003" t="s">
        <v>125</v>
      </c>
      <c r="R34" s="1004"/>
      <c r="S34" s="1004"/>
      <c r="T34" s="1004"/>
      <c r="U34" s="1004"/>
      <c r="V34" s="1005"/>
      <c r="W34" s="1003" t="s">
        <v>126</v>
      </c>
      <c r="X34" s="1004"/>
      <c r="Y34" s="1004"/>
      <c r="Z34" s="1005"/>
      <c r="AA34" s="1003" t="s">
        <v>127</v>
      </c>
      <c r="AB34" s="1009"/>
      <c r="AC34" s="1009"/>
      <c r="AD34" s="1010"/>
      <c r="AF34" s="1034" t="s">
        <v>128</v>
      </c>
      <c r="AG34" s="1035" t="s">
        <v>129</v>
      </c>
      <c r="AH34" s="1035" t="s">
        <v>130</v>
      </c>
      <c r="AI34" s="617"/>
      <c r="AJ34" s="713"/>
      <c r="AK34" s="531" t="s">
        <v>131</v>
      </c>
      <c r="AL34" s="531" t="s">
        <v>132</v>
      </c>
      <c r="AM34" s="531" t="s">
        <v>133</v>
      </c>
      <c r="AN34" s="531" t="s">
        <v>134</v>
      </c>
      <c r="AO34" s="531" t="s">
        <v>135</v>
      </c>
      <c r="AP34" s="531" t="s">
        <v>136</v>
      </c>
      <c r="AQ34" s="531" t="s">
        <v>137</v>
      </c>
      <c r="AR34" s="531" t="s">
        <v>138</v>
      </c>
      <c r="AS34" s="512"/>
      <c r="AT34" s="512"/>
    </row>
    <row r="35" spans="1:46" ht="91.5" customHeight="1" thickBot="1">
      <c r="A35" s="955"/>
      <c r="B35" s="956"/>
      <c r="C35" s="368" t="s">
        <v>79</v>
      </c>
      <c r="D35" s="413">
        <f t="shared" ref="D35:O35" si="1">D65</f>
        <v>0</v>
      </c>
      <c r="E35" s="413">
        <f t="shared" si="1"/>
        <v>1.0480000000000003E-2</v>
      </c>
      <c r="F35" s="413">
        <f t="shared" si="1"/>
        <v>1.9440000000000006E-2</v>
      </c>
      <c r="G35" s="413">
        <f t="shared" si="1"/>
        <v>1.7280000000000007E-2</v>
      </c>
      <c r="H35" s="413">
        <f t="shared" si="1"/>
        <v>2.0000000000000004E-2</v>
      </c>
      <c r="I35" s="413">
        <f t="shared" si="1"/>
        <v>2.1600000000000008E-2</v>
      </c>
      <c r="J35" s="413">
        <f t="shared" si="1"/>
        <v>1.9440000000000006E-2</v>
      </c>
      <c r="K35" s="413">
        <f t="shared" si="1"/>
        <v>2.0000000000000004E-2</v>
      </c>
      <c r="L35" s="413">
        <f t="shared" si="1"/>
        <v>2.1120000000000007E-2</v>
      </c>
      <c r="M35" s="413">
        <f t="shared" si="1"/>
        <v>0</v>
      </c>
      <c r="N35" s="413">
        <f t="shared" si="1"/>
        <v>0</v>
      </c>
      <c r="O35" s="413">
        <f t="shared" si="1"/>
        <v>0</v>
      </c>
      <c r="P35" s="778">
        <f>SUM(D35:O35)</f>
        <v>0.14936000000000002</v>
      </c>
      <c r="Q35" s="1006"/>
      <c r="R35" s="1007"/>
      <c r="S35" s="1007"/>
      <c r="T35" s="1007"/>
      <c r="U35" s="1007"/>
      <c r="V35" s="1008"/>
      <c r="W35" s="1006"/>
      <c r="X35" s="1007"/>
      <c r="Y35" s="1007"/>
      <c r="Z35" s="1008"/>
      <c r="AA35" s="1011"/>
      <c r="AB35" s="1012"/>
      <c r="AC35" s="1012"/>
      <c r="AD35" s="1013"/>
      <c r="AE35" s="49"/>
      <c r="AF35" s="1032"/>
      <c r="AG35" s="1035"/>
      <c r="AH35" s="1035"/>
      <c r="AI35" s="608"/>
      <c r="AJ35" s="713"/>
      <c r="AK35" s="720">
        <f t="shared" ref="AK35:AP35" si="2">LEN(AK34)</f>
        <v>301</v>
      </c>
      <c r="AL35" s="720">
        <f t="shared" si="2"/>
        <v>288</v>
      </c>
      <c r="AM35" s="720">
        <f t="shared" si="2"/>
        <v>301</v>
      </c>
      <c r="AN35" s="720">
        <f t="shared" si="2"/>
        <v>298</v>
      </c>
      <c r="AO35" s="720">
        <f t="shared" si="2"/>
        <v>299</v>
      </c>
      <c r="AP35" s="720">
        <f t="shared" si="2"/>
        <v>298</v>
      </c>
      <c r="AQ35" s="720">
        <f t="shared" ref="AQ35:AR35" si="3">LEN(AQ34)</f>
        <v>300</v>
      </c>
      <c r="AR35" s="720">
        <f t="shared" si="3"/>
        <v>300</v>
      </c>
      <c r="AS35" s="528"/>
    </row>
    <row r="36" spans="1:46" ht="32.25" customHeight="1">
      <c r="A36" s="874" t="s">
        <v>80</v>
      </c>
      <c r="B36" s="947" t="s">
        <v>81</v>
      </c>
      <c r="C36" s="949" t="s">
        <v>82</v>
      </c>
      <c r="D36" s="949"/>
      <c r="E36" s="949"/>
      <c r="F36" s="949"/>
      <c r="G36" s="949"/>
      <c r="H36" s="949"/>
      <c r="I36" s="949"/>
      <c r="J36" s="949"/>
      <c r="K36" s="949"/>
      <c r="L36" s="949"/>
      <c r="M36" s="949"/>
      <c r="N36" s="949"/>
      <c r="O36" s="949"/>
      <c r="P36" s="949"/>
      <c r="Q36" s="1015" t="s">
        <v>83</v>
      </c>
      <c r="R36" s="1016"/>
      <c r="S36" s="1016"/>
      <c r="T36" s="1016"/>
      <c r="U36" s="1016"/>
      <c r="V36" s="1016"/>
      <c r="W36" s="1016"/>
      <c r="X36" s="1016"/>
      <c r="Y36" s="1016"/>
      <c r="Z36" s="1016"/>
      <c r="AA36" s="1016"/>
      <c r="AB36" s="1016"/>
      <c r="AC36" s="1016"/>
      <c r="AD36" s="1017"/>
      <c r="AG36" s="617"/>
      <c r="AH36" s="617"/>
      <c r="AI36" s="617"/>
      <c r="AJ36" s="717"/>
      <c r="AK36" s="717"/>
      <c r="AL36" s="717"/>
      <c r="AM36" s="718"/>
      <c r="AN36" s="718"/>
      <c r="AO36" s="718"/>
      <c r="AP36" s="718"/>
      <c r="AQ36" s="718"/>
      <c r="AR36" s="719"/>
    </row>
    <row r="37" spans="1:46" ht="32.25" customHeight="1" thickBot="1">
      <c r="A37" s="973"/>
      <c r="B37" s="1014"/>
      <c r="C37" s="202" t="s">
        <v>84</v>
      </c>
      <c r="D37" s="202" t="s">
        <v>85</v>
      </c>
      <c r="E37" s="202" t="s">
        <v>86</v>
      </c>
      <c r="F37" s="202" t="s">
        <v>87</v>
      </c>
      <c r="G37" s="202" t="s">
        <v>88</v>
      </c>
      <c r="H37" s="202" t="s">
        <v>89</v>
      </c>
      <c r="I37" s="202" t="s">
        <v>90</v>
      </c>
      <c r="J37" s="202" t="s">
        <v>91</v>
      </c>
      <c r="K37" s="202" t="s">
        <v>92</v>
      </c>
      <c r="L37" s="202" t="s">
        <v>93</v>
      </c>
      <c r="M37" s="202" t="s">
        <v>94</v>
      </c>
      <c r="N37" s="202" t="s">
        <v>95</v>
      </c>
      <c r="O37" s="202" t="s">
        <v>96</v>
      </c>
      <c r="P37" s="202" t="s">
        <v>97</v>
      </c>
      <c r="Q37" s="1018" t="s">
        <v>98</v>
      </c>
      <c r="R37" s="1019"/>
      <c r="S37" s="1019"/>
      <c r="T37" s="1019"/>
      <c r="U37" s="1019"/>
      <c r="V37" s="1019"/>
      <c r="W37" s="1019"/>
      <c r="X37" s="1019"/>
      <c r="Y37" s="1019"/>
      <c r="Z37" s="1019"/>
      <c r="AA37" s="1019"/>
      <c r="AB37" s="1019"/>
      <c r="AC37" s="1019"/>
      <c r="AD37" s="1020"/>
      <c r="AF37" s="156" t="s">
        <v>139</v>
      </c>
      <c r="AG37" s="521" t="s">
        <v>140</v>
      </c>
      <c r="AH37" s="433" t="s">
        <v>123</v>
      </c>
      <c r="AI37" s="433" t="s">
        <v>124</v>
      </c>
      <c r="AJ37" s="721"/>
      <c r="AK37" s="541"/>
      <c r="AL37" s="541"/>
      <c r="AM37" s="722"/>
      <c r="AN37" s="722"/>
      <c r="AO37" s="722"/>
      <c r="AP37" s="722"/>
      <c r="AQ37" s="722"/>
      <c r="AR37" s="723"/>
    </row>
    <row r="38" spans="1:46" ht="70.5" customHeight="1">
      <c r="A38" s="994" t="s">
        <v>141</v>
      </c>
      <c r="B38" s="996">
        <v>7.0000000000000007E-2</v>
      </c>
      <c r="C38" s="203" t="s">
        <v>70</v>
      </c>
      <c r="D38" s="204">
        <v>0</v>
      </c>
      <c r="E38" s="204">
        <v>0.05</v>
      </c>
      <c r="F38" s="204">
        <v>0.1</v>
      </c>
      <c r="G38" s="204">
        <v>0.1</v>
      </c>
      <c r="H38" s="204">
        <v>0.1</v>
      </c>
      <c r="I38" s="204">
        <v>0.1</v>
      </c>
      <c r="J38" s="204">
        <v>0.1</v>
      </c>
      <c r="K38" s="204">
        <v>0.1</v>
      </c>
      <c r="L38" s="204">
        <v>0.1</v>
      </c>
      <c r="M38" s="204">
        <v>0.1</v>
      </c>
      <c r="N38" s="204">
        <v>0.1</v>
      </c>
      <c r="O38" s="204">
        <v>0.05</v>
      </c>
      <c r="P38" s="347">
        <f t="shared" ref="P38:P45" si="4">SUM(D38:O38)</f>
        <v>0.99999999999999989</v>
      </c>
      <c r="Q38" s="998" t="s">
        <v>142</v>
      </c>
      <c r="R38" s="998"/>
      <c r="S38" s="998"/>
      <c r="T38" s="998"/>
      <c r="U38" s="998"/>
      <c r="V38" s="998"/>
      <c r="W38" s="998"/>
      <c r="X38" s="998"/>
      <c r="Y38" s="998"/>
      <c r="Z38" s="998"/>
      <c r="AA38" s="998"/>
      <c r="AB38" s="998"/>
      <c r="AC38" s="998"/>
      <c r="AD38" s="999"/>
      <c r="AE38" s="522"/>
      <c r="AF38" s="1021" t="s">
        <v>143</v>
      </c>
      <c r="AG38" s="1021" t="s">
        <v>144</v>
      </c>
      <c r="AH38" s="1032" t="s">
        <v>145</v>
      </c>
      <c r="AI38" s="616"/>
      <c r="AJ38" s="724"/>
      <c r="AK38" s="540"/>
      <c r="AL38" s="540"/>
      <c r="AM38" s="725"/>
      <c r="AN38" s="725"/>
      <c r="AO38" s="725"/>
      <c r="AP38" s="725"/>
      <c r="AQ38" s="725"/>
      <c r="AR38" s="726"/>
    </row>
    <row r="39" spans="1:46" ht="70.5" customHeight="1">
      <c r="A39" s="995"/>
      <c r="B39" s="997"/>
      <c r="C39" s="99" t="s">
        <v>79</v>
      </c>
      <c r="D39" s="100">
        <v>0</v>
      </c>
      <c r="E39" s="100">
        <v>0.04</v>
      </c>
      <c r="F39" s="100">
        <v>0.09</v>
      </c>
      <c r="G39" s="100">
        <v>0.08</v>
      </c>
      <c r="H39" s="100">
        <v>0.1</v>
      </c>
      <c r="I39" s="100">
        <v>0.1</v>
      </c>
      <c r="J39" s="100">
        <v>0.09</v>
      </c>
      <c r="K39" s="100">
        <v>0.1</v>
      </c>
      <c r="L39" s="100">
        <v>0.12</v>
      </c>
      <c r="M39" s="100"/>
      <c r="N39" s="100"/>
      <c r="O39" s="100"/>
      <c r="P39" s="348">
        <f t="shared" si="4"/>
        <v>0.72</v>
      </c>
      <c r="Q39" s="998"/>
      <c r="R39" s="998"/>
      <c r="S39" s="998"/>
      <c r="T39" s="998"/>
      <c r="U39" s="998"/>
      <c r="V39" s="998"/>
      <c r="W39" s="998"/>
      <c r="X39" s="998"/>
      <c r="Y39" s="998"/>
      <c r="Z39" s="998"/>
      <c r="AA39" s="998"/>
      <c r="AB39" s="998"/>
      <c r="AC39" s="998"/>
      <c r="AD39" s="999"/>
      <c r="AE39" s="522"/>
      <c r="AF39" s="1021"/>
      <c r="AG39" s="1021"/>
      <c r="AH39" s="1032"/>
      <c r="AI39" s="619"/>
      <c r="AJ39" s="724"/>
      <c r="AK39" s="713"/>
      <c r="AL39" s="713"/>
      <c r="AM39" s="715"/>
      <c r="AN39" s="715"/>
      <c r="AO39" s="715"/>
      <c r="AP39" s="715"/>
      <c r="AQ39" s="715"/>
      <c r="AR39" s="716"/>
    </row>
    <row r="40" spans="1:46" ht="72.75" customHeight="1">
      <c r="A40" s="995" t="s">
        <v>146</v>
      </c>
      <c r="B40" s="913">
        <v>0.05</v>
      </c>
      <c r="C40" s="102" t="s">
        <v>70</v>
      </c>
      <c r="D40" s="103">
        <v>0</v>
      </c>
      <c r="E40" s="103">
        <v>0.1</v>
      </c>
      <c r="F40" s="103">
        <v>0.1</v>
      </c>
      <c r="G40" s="103">
        <v>0.1</v>
      </c>
      <c r="H40" s="103">
        <v>0.1</v>
      </c>
      <c r="I40" s="103">
        <v>0.1</v>
      </c>
      <c r="J40" s="103">
        <v>0.1</v>
      </c>
      <c r="K40" s="103">
        <v>0.1</v>
      </c>
      <c r="L40" s="103">
        <v>0.1</v>
      </c>
      <c r="M40" s="103">
        <v>0.1</v>
      </c>
      <c r="N40" s="103">
        <v>0.1</v>
      </c>
      <c r="O40" s="103">
        <v>0</v>
      </c>
      <c r="P40" s="348">
        <f t="shared" si="4"/>
        <v>0.99999999999999989</v>
      </c>
      <c r="Q40" s="998" t="s">
        <v>147</v>
      </c>
      <c r="R40" s="998"/>
      <c r="S40" s="998"/>
      <c r="T40" s="998"/>
      <c r="U40" s="998"/>
      <c r="V40" s="998"/>
      <c r="W40" s="998"/>
      <c r="X40" s="998"/>
      <c r="Y40" s="998"/>
      <c r="Z40" s="998"/>
      <c r="AA40" s="998"/>
      <c r="AB40" s="998"/>
      <c r="AC40" s="998"/>
      <c r="AD40" s="999"/>
      <c r="AE40" s="522"/>
      <c r="AF40" s="1021" t="s">
        <v>148</v>
      </c>
      <c r="AG40" s="1021" t="s">
        <v>149</v>
      </c>
      <c r="AH40" s="1032" t="s">
        <v>150</v>
      </c>
      <c r="AI40" s="616"/>
      <c r="AJ40" s="724"/>
      <c r="AK40" s="713"/>
      <c r="AL40" s="713"/>
      <c r="AM40" s="715"/>
      <c r="AN40" s="715"/>
      <c r="AO40" s="715"/>
      <c r="AP40" s="715"/>
      <c r="AQ40" s="715"/>
      <c r="AR40" s="716"/>
    </row>
    <row r="41" spans="1:46" ht="72.75" customHeight="1">
      <c r="A41" s="995"/>
      <c r="B41" s="997"/>
      <c r="C41" s="99" t="s">
        <v>79</v>
      </c>
      <c r="D41" s="100">
        <v>0</v>
      </c>
      <c r="E41" s="100">
        <v>0.1</v>
      </c>
      <c r="F41" s="100">
        <v>0.1</v>
      </c>
      <c r="G41" s="100">
        <v>0.1</v>
      </c>
      <c r="H41" s="100">
        <v>0.1</v>
      </c>
      <c r="I41" s="100">
        <v>0.1</v>
      </c>
      <c r="J41" s="100">
        <v>0.1</v>
      </c>
      <c r="K41" s="100">
        <v>0.1</v>
      </c>
      <c r="L41" s="100">
        <v>0.1</v>
      </c>
      <c r="M41" s="100"/>
      <c r="N41" s="100"/>
      <c r="O41" s="100"/>
      <c r="P41" s="348">
        <f t="shared" si="4"/>
        <v>0.79999999999999993</v>
      </c>
      <c r="Q41" s="998"/>
      <c r="R41" s="998"/>
      <c r="S41" s="998"/>
      <c r="T41" s="998"/>
      <c r="U41" s="998"/>
      <c r="V41" s="998"/>
      <c r="W41" s="998"/>
      <c r="X41" s="998"/>
      <c r="Y41" s="998"/>
      <c r="Z41" s="998"/>
      <c r="AA41" s="998"/>
      <c r="AB41" s="998"/>
      <c r="AC41" s="998"/>
      <c r="AD41" s="999"/>
      <c r="AE41" s="522"/>
      <c r="AF41" s="1021"/>
      <c r="AG41" s="1021"/>
      <c r="AH41" s="1032"/>
      <c r="AI41" s="619"/>
      <c r="AJ41" s="724"/>
      <c r="AK41" s="713"/>
      <c r="AL41" s="713"/>
      <c r="AM41" s="715"/>
      <c r="AN41" s="715"/>
      <c r="AO41" s="715"/>
      <c r="AP41" s="715"/>
      <c r="AQ41" s="715"/>
      <c r="AR41" s="716"/>
    </row>
    <row r="42" spans="1:46" ht="69.75" customHeight="1">
      <c r="A42" s="995" t="s">
        <v>151</v>
      </c>
      <c r="B42" s="913">
        <v>0.05</v>
      </c>
      <c r="C42" s="102" t="s">
        <v>70</v>
      </c>
      <c r="D42" s="103">
        <v>0</v>
      </c>
      <c r="E42" s="103">
        <v>0.05</v>
      </c>
      <c r="F42" s="103">
        <v>0.1</v>
      </c>
      <c r="G42" s="103">
        <v>0.1</v>
      </c>
      <c r="H42" s="103">
        <v>0.1</v>
      </c>
      <c r="I42" s="103">
        <v>0.1</v>
      </c>
      <c r="J42" s="103">
        <v>0.1</v>
      </c>
      <c r="K42" s="103">
        <v>0.1</v>
      </c>
      <c r="L42" s="103">
        <v>0.1</v>
      </c>
      <c r="M42" s="103">
        <v>0.1</v>
      </c>
      <c r="N42" s="103">
        <v>0.1</v>
      </c>
      <c r="O42" s="103">
        <v>0.05</v>
      </c>
      <c r="P42" s="348">
        <f>SUM(D42:O42)</f>
        <v>0.99999999999999989</v>
      </c>
      <c r="Q42" s="998" t="s">
        <v>152</v>
      </c>
      <c r="R42" s="998"/>
      <c r="S42" s="998"/>
      <c r="T42" s="998"/>
      <c r="U42" s="998"/>
      <c r="V42" s="998"/>
      <c r="W42" s="998"/>
      <c r="X42" s="998"/>
      <c r="Y42" s="998"/>
      <c r="Z42" s="998"/>
      <c r="AA42" s="998"/>
      <c r="AB42" s="998"/>
      <c r="AC42" s="998"/>
      <c r="AD42" s="999"/>
      <c r="AE42" s="97"/>
      <c r="AF42" s="1021" t="s">
        <v>153</v>
      </c>
      <c r="AG42" s="1021" t="s">
        <v>154</v>
      </c>
      <c r="AH42" s="1032" t="s">
        <v>155</v>
      </c>
      <c r="AI42" s="616"/>
      <c r="AJ42" s="713"/>
      <c r="AK42" s="713"/>
      <c r="AL42" s="713"/>
      <c r="AM42" s="715"/>
      <c r="AN42" s="715"/>
      <c r="AO42" s="715"/>
      <c r="AP42" s="715"/>
      <c r="AQ42" s="715"/>
      <c r="AR42" s="716"/>
    </row>
    <row r="43" spans="1:46" ht="69.75" customHeight="1">
      <c r="A43" s="995"/>
      <c r="B43" s="997"/>
      <c r="C43" s="99" t="s">
        <v>79</v>
      </c>
      <c r="D43" s="100">
        <v>0</v>
      </c>
      <c r="E43" s="100">
        <v>0.05</v>
      </c>
      <c r="F43" s="100">
        <v>0.1</v>
      </c>
      <c r="G43" s="100">
        <v>0.1</v>
      </c>
      <c r="H43" s="100">
        <v>0.1</v>
      </c>
      <c r="I43" s="100">
        <v>0.1</v>
      </c>
      <c r="J43" s="100">
        <v>0.1</v>
      </c>
      <c r="K43" s="100">
        <v>0.1</v>
      </c>
      <c r="L43" s="100">
        <v>0.1</v>
      </c>
      <c r="M43" s="100"/>
      <c r="N43" s="100"/>
      <c r="O43" s="100"/>
      <c r="P43" s="348">
        <f>SUM(D43:O43)</f>
        <v>0.74999999999999989</v>
      </c>
      <c r="Q43" s="998"/>
      <c r="R43" s="998"/>
      <c r="S43" s="998"/>
      <c r="T43" s="998"/>
      <c r="U43" s="998"/>
      <c r="V43" s="998"/>
      <c r="W43" s="998"/>
      <c r="X43" s="998"/>
      <c r="Y43" s="998"/>
      <c r="Z43" s="998"/>
      <c r="AA43" s="998"/>
      <c r="AB43" s="998"/>
      <c r="AC43" s="998"/>
      <c r="AD43" s="999"/>
      <c r="AE43" s="97"/>
      <c r="AF43" s="1021"/>
      <c r="AG43" s="1021"/>
      <c r="AH43" s="1032"/>
      <c r="AI43" s="619"/>
      <c r="AJ43" s="727"/>
      <c r="AK43" s="540" t="s">
        <v>156</v>
      </c>
      <c r="AL43" s="540" t="s">
        <v>157</v>
      </c>
      <c r="AM43" s="540" t="s">
        <v>158</v>
      </c>
      <c r="AN43" s="540" t="s">
        <v>159</v>
      </c>
      <c r="AO43" s="540" t="s">
        <v>160</v>
      </c>
      <c r="AP43" s="540" t="s">
        <v>161</v>
      </c>
      <c r="AQ43" s="540" t="s">
        <v>162</v>
      </c>
      <c r="AR43" s="540" t="s">
        <v>163</v>
      </c>
    </row>
    <row r="44" spans="1:46" ht="53.25" customHeight="1">
      <c r="A44" s="995" t="s">
        <v>164</v>
      </c>
      <c r="B44" s="913">
        <v>0.04</v>
      </c>
      <c r="C44" s="102" t="s">
        <v>70</v>
      </c>
      <c r="D44" s="103">
        <v>0</v>
      </c>
      <c r="E44" s="103">
        <v>0</v>
      </c>
      <c r="F44" s="103">
        <v>0.1</v>
      </c>
      <c r="G44" s="103">
        <v>0.1</v>
      </c>
      <c r="H44" s="103">
        <v>0.1</v>
      </c>
      <c r="I44" s="103">
        <v>0.1</v>
      </c>
      <c r="J44" s="103">
        <v>0.1</v>
      </c>
      <c r="K44" s="103">
        <v>0.1</v>
      </c>
      <c r="L44" s="103">
        <v>0.1</v>
      </c>
      <c r="M44" s="103">
        <v>0.1</v>
      </c>
      <c r="N44" s="103">
        <v>0.1</v>
      </c>
      <c r="O44" s="103">
        <v>0.1</v>
      </c>
      <c r="P44" s="348">
        <f t="shared" si="4"/>
        <v>0.99999999999999989</v>
      </c>
      <c r="Q44" s="998" t="s">
        <v>165</v>
      </c>
      <c r="R44" s="998"/>
      <c r="S44" s="998"/>
      <c r="T44" s="998"/>
      <c r="U44" s="998"/>
      <c r="V44" s="998"/>
      <c r="W44" s="998"/>
      <c r="X44" s="998"/>
      <c r="Y44" s="998"/>
      <c r="Z44" s="998"/>
      <c r="AA44" s="998"/>
      <c r="AB44" s="998"/>
      <c r="AC44" s="998"/>
      <c r="AD44" s="999"/>
      <c r="AE44" s="97"/>
      <c r="AF44" s="1021" t="s">
        <v>166</v>
      </c>
      <c r="AG44" s="1021" t="s">
        <v>167</v>
      </c>
      <c r="AH44" s="1033" t="s">
        <v>168</v>
      </c>
      <c r="AI44" s="619"/>
      <c r="AJ44" s="727"/>
      <c r="AK44" s="727"/>
      <c r="AL44" s="727"/>
      <c r="AM44" s="727"/>
      <c r="AN44" s="727"/>
      <c r="AO44" s="737" t="s">
        <v>169</v>
      </c>
      <c r="AP44" s="737" t="s">
        <v>170</v>
      </c>
      <c r="AQ44" s="737" t="s">
        <v>171</v>
      </c>
      <c r="AR44" s="737" t="s">
        <v>172</v>
      </c>
    </row>
    <row r="45" spans="1:46" ht="53.25" customHeight="1">
      <c r="A45" s="995"/>
      <c r="B45" s="997"/>
      <c r="C45" s="99" t="s">
        <v>79</v>
      </c>
      <c r="D45" s="100">
        <v>0</v>
      </c>
      <c r="E45" s="100">
        <v>0.02</v>
      </c>
      <c r="F45" s="100">
        <v>0.1</v>
      </c>
      <c r="G45" s="100">
        <v>0.05</v>
      </c>
      <c r="H45" s="100">
        <v>0.1</v>
      </c>
      <c r="I45" s="100">
        <v>0.15</v>
      </c>
      <c r="J45" s="100">
        <v>0.1</v>
      </c>
      <c r="K45" s="100">
        <v>0.1</v>
      </c>
      <c r="L45" s="100">
        <v>0.1</v>
      </c>
      <c r="M45" s="100"/>
      <c r="N45" s="100"/>
      <c r="O45" s="100"/>
      <c r="P45" s="348">
        <f t="shared" si="4"/>
        <v>0.72</v>
      </c>
      <c r="Q45" s="998"/>
      <c r="R45" s="998"/>
      <c r="S45" s="998"/>
      <c r="T45" s="998"/>
      <c r="U45" s="998"/>
      <c r="V45" s="998"/>
      <c r="W45" s="998"/>
      <c r="X45" s="998"/>
      <c r="Y45" s="998"/>
      <c r="Z45" s="998"/>
      <c r="AA45" s="998"/>
      <c r="AB45" s="998"/>
      <c r="AC45" s="998"/>
      <c r="AD45" s="999"/>
      <c r="AE45" s="97"/>
      <c r="AF45" s="1021"/>
      <c r="AG45" s="1021"/>
      <c r="AH45" s="1033"/>
      <c r="AI45" s="619"/>
      <c r="AJ45" s="728"/>
      <c r="AK45" s="729">
        <f>LEN(AK44)</f>
        <v>0</v>
      </c>
      <c r="AL45" s="729">
        <f t="shared" ref="AL45:AQ45" si="5">LEN(AL44)</f>
        <v>0</v>
      </c>
      <c r="AM45" s="729">
        <f t="shared" si="5"/>
        <v>0</v>
      </c>
      <c r="AN45" s="729">
        <f t="shared" si="5"/>
        <v>0</v>
      </c>
      <c r="AO45" s="729">
        <f t="shared" si="5"/>
        <v>262</v>
      </c>
      <c r="AP45" s="729">
        <f t="shared" si="5"/>
        <v>298</v>
      </c>
      <c r="AQ45" s="729">
        <f t="shared" si="5"/>
        <v>292</v>
      </c>
      <c r="AR45" s="729">
        <f t="shared" ref="AR45" si="6">LEN(AR44)</f>
        <v>216</v>
      </c>
    </row>
    <row r="46" spans="1:46" ht="170.25" customHeight="1">
      <c r="A46" s="995" t="s">
        <v>173</v>
      </c>
      <c r="B46" s="913">
        <v>0.04</v>
      </c>
      <c r="C46" s="102" t="s">
        <v>70</v>
      </c>
      <c r="D46" s="103">
        <v>0</v>
      </c>
      <c r="E46" s="103">
        <v>0.05</v>
      </c>
      <c r="F46" s="103">
        <v>0.1</v>
      </c>
      <c r="G46" s="103">
        <v>0.1</v>
      </c>
      <c r="H46" s="103">
        <v>0.1</v>
      </c>
      <c r="I46" s="103">
        <v>0.1</v>
      </c>
      <c r="J46" s="103">
        <v>0.1</v>
      </c>
      <c r="K46" s="103">
        <v>0.1</v>
      </c>
      <c r="L46" s="103">
        <v>0.1</v>
      </c>
      <c r="M46" s="103">
        <v>0.1</v>
      </c>
      <c r="N46" s="103">
        <v>0.1</v>
      </c>
      <c r="O46" s="103">
        <v>0.05</v>
      </c>
      <c r="P46" s="348">
        <f>SUM(D46:O46)</f>
        <v>0.99999999999999989</v>
      </c>
      <c r="Q46" s="1026" t="s">
        <v>174</v>
      </c>
      <c r="R46" s="1027"/>
      <c r="S46" s="1027"/>
      <c r="T46" s="1027"/>
      <c r="U46" s="1027"/>
      <c r="V46" s="1027"/>
      <c r="W46" s="1027"/>
      <c r="X46" s="1027"/>
      <c r="Y46" s="1027"/>
      <c r="Z46" s="1027"/>
      <c r="AA46" s="1027"/>
      <c r="AB46" s="1027"/>
      <c r="AC46" s="1027"/>
      <c r="AD46" s="1028"/>
      <c r="AE46" s="97"/>
      <c r="AF46" s="1021" t="s">
        <v>175</v>
      </c>
      <c r="AG46" s="1021" t="s">
        <v>176</v>
      </c>
      <c r="AH46" s="776"/>
      <c r="AI46" s="619"/>
      <c r="AJ46" s="713"/>
      <c r="AK46" s="540" t="s">
        <v>177</v>
      </c>
      <c r="AL46" s="540" t="s">
        <v>178</v>
      </c>
      <c r="AM46" s="540" t="s">
        <v>179</v>
      </c>
      <c r="AN46" s="725" t="s">
        <v>180</v>
      </c>
      <c r="AO46" s="725" t="s">
        <v>181</v>
      </c>
      <c r="AP46" s="725" t="s">
        <v>182</v>
      </c>
      <c r="AQ46" s="725" t="s">
        <v>183</v>
      </c>
      <c r="AR46" s="725" t="s">
        <v>184</v>
      </c>
    </row>
    <row r="47" spans="1:46" ht="170.25" customHeight="1" thickBot="1">
      <c r="A47" s="938"/>
      <c r="B47" s="1025"/>
      <c r="C47" s="91" t="s">
        <v>79</v>
      </c>
      <c r="D47" s="105">
        <v>0</v>
      </c>
      <c r="E47" s="105">
        <v>0.05</v>
      </c>
      <c r="F47" s="105">
        <v>0.1</v>
      </c>
      <c r="G47" s="105">
        <v>0.1</v>
      </c>
      <c r="H47" s="105">
        <v>0.1</v>
      </c>
      <c r="I47" s="105">
        <v>0.1</v>
      </c>
      <c r="J47" s="105">
        <v>0.1</v>
      </c>
      <c r="K47" s="105">
        <v>0.1</v>
      </c>
      <c r="L47" s="105">
        <v>0.1</v>
      </c>
      <c r="M47" s="105"/>
      <c r="N47" s="105"/>
      <c r="O47" s="105"/>
      <c r="P47" s="349">
        <f>SUM(D47:O47)</f>
        <v>0.74999999999999989</v>
      </c>
      <c r="Q47" s="1029"/>
      <c r="R47" s="1030"/>
      <c r="S47" s="1030"/>
      <c r="T47" s="1030"/>
      <c r="U47" s="1030"/>
      <c r="V47" s="1030"/>
      <c r="W47" s="1030"/>
      <c r="X47" s="1030"/>
      <c r="Y47" s="1030"/>
      <c r="Z47" s="1030"/>
      <c r="AA47" s="1030"/>
      <c r="AB47" s="1030"/>
      <c r="AC47" s="1030"/>
      <c r="AD47" s="1031"/>
      <c r="AE47" s="97"/>
      <c r="AF47" s="1021"/>
      <c r="AG47" s="1021"/>
      <c r="AH47" s="776"/>
      <c r="AI47" s="619"/>
      <c r="AJ47" s="713"/>
      <c r="AK47" s="713" t="s">
        <v>185</v>
      </c>
      <c r="AL47" s="713" t="s">
        <v>186</v>
      </c>
      <c r="AM47" s="713" t="s">
        <v>187</v>
      </c>
      <c r="AN47" s="713" t="s">
        <v>188</v>
      </c>
      <c r="AO47" s="713" t="s">
        <v>189</v>
      </c>
      <c r="AP47" s="713" t="s">
        <v>190</v>
      </c>
      <c r="AQ47" s="713" t="s">
        <v>191</v>
      </c>
      <c r="AR47" s="713" t="s">
        <v>192</v>
      </c>
    </row>
    <row r="48" spans="1:46">
      <c r="A48" s="50" t="s">
        <v>105</v>
      </c>
      <c r="AJ48" s="713"/>
      <c r="AK48" s="730">
        <f t="shared" ref="AK48:AP48" si="7">LEN(AK47)</f>
        <v>300</v>
      </c>
      <c r="AL48" s="730">
        <f t="shared" si="7"/>
        <v>263</v>
      </c>
      <c r="AM48" s="730">
        <f t="shared" si="7"/>
        <v>300</v>
      </c>
      <c r="AN48" s="730">
        <f t="shared" si="7"/>
        <v>299</v>
      </c>
      <c r="AO48" s="730">
        <f t="shared" si="7"/>
        <v>226</v>
      </c>
      <c r="AP48" s="730">
        <f t="shared" si="7"/>
        <v>298</v>
      </c>
      <c r="AQ48" s="730">
        <f t="shared" ref="AQ48:AR48" si="8">LEN(AQ47)</f>
        <v>176</v>
      </c>
      <c r="AR48" s="730">
        <f t="shared" si="8"/>
        <v>187</v>
      </c>
    </row>
    <row r="49" spans="1:54">
      <c r="AJ49" s="713"/>
      <c r="AK49" s="717"/>
      <c r="AL49" s="717"/>
      <c r="AM49" s="713"/>
      <c r="AN49" s="715"/>
      <c r="AO49" s="715"/>
      <c r="AP49" s="715"/>
      <c r="AQ49" s="715"/>
      <c r="AR49" s="716"/>
    </row>
    <row r="50" spans="1:54">
      <c r="AJ50" s="713"/>
      <c r="AK50" s="713"/>
      <c r="AL50" s="713" t="s">
        <v>178</v>
      </c>
      <c r="AM50" s="713" t="s">
        <v>179</v>
      </c>
      <c r="AN50" s="715" t="s">
        <v>180</v>
      </c>
      <c r="AO50" s="715" t="s">
        <v>193</v>
      </c>
      <c r="AP50" s="540" t="s">
        <v>194</v>
      </c>
      <c r="AQ50" s="540" t="s">
        <v>195</v>
      </c>
      <c r="AR50" s="725" t="s">
        <v>184</v>
      </c>
    </row>
    <row r="51" spans="1:54">
      <c r="AJ51" s="713"/>
      <c r="AK51" s="713"/>
      <c r="AL51" s="713"/>
      <c r="AM51" s="713"/>
      <c r="AN51" s="715"/>
      <c r="AO51" s="715"/>
      <c r="AP51" s="715"/>
      <c r="AQ51" s="715"/>
      <c r="AR51" s="713"/>
    </row>
    <row r="52" spans="1:54" s="191" customFormat="1" ht="233.25" customHeight="1">
      <c r="A52" s="1024" t="s">
        <v>196</v>
      </c>
      <c r="B52" s="1024" t="s">
        <v>81</v>
      </c>
      <c r="C52" s="1000" t="s">
        <v>82</v>
      </c>
      <c r="D52" s="1001"/>
      <c r="E52" s="1001"/>
      <c r="F52" s="1001"/>
      <c r="G52" s="1001"/>
      <c r="H52" s="1001"/>
      <c r="I52" s="1001"/>
      <c r="J52" s="1001"/>
      <c r="K52" s="1001"/>
      <c r="L52" s="1001"/>
      <c r="M52" s="1001"/>
      <c r="N52" s="1001"/>
      <c r="O52" s="1001"/>
      <c r="P52" s="1002"/>
      <c r="Q52" s="189"/>
      <c r="R52" s="189"/>
      <c r="S52" s="189"/>
      <c r="T52" s="189"/>
      <c r="U52" s="189"/>
      <c r="V52" s="189"/>
      <c r="W52" s="189"/>
      <c r="X52" s="189"/>
      <c r="Y52" s="189"/>
      <c r="Z52" s="189"/>
      <c r="AA52" s="189"/>
      <c r="AB52" s="189"/>
      <c r="AC52" s="189"/>
      <c r="AD52" s="189"/>
      <c r="AE52" s="189"/>
      <c r="AF52" s="524"/>
      <c r="AG52" s="524"/>
      <c r="AH52" s="524"/>
      <c r="AI52" s="524"/>
      <c r="AJ52" s="190"/>
      <c r="AK52" s="437"/>
      <c r="AL52" s="713" t="s">
        <v>197</v>
      </c>
      <c r="AM52" s="713" t="s">
        <v>198</v>
      </c>
      <c r="AN52" s="713" t="s">
        <v>199</v>
      </c>
      <c r="AO52" s="713" t="s">
        <v>200</v>
      </c>
      <c r="AP52" s="713" t="s">
        <v>201</v>
      </c>
      <c r="AQ52" s="713" t="s">
        <v>202</v>
      </c>
      <c r="AR52" s="713" t="s">
        <v>203</v>
      </c>
      <c r="AS52" s="189"/>
      <c r="AT52" s="190"/>
      <c r="AU52" s="190"/>
      <c r="AV52" s="190"/>
      <c r="AW52" s="190"/>
      <c r="AX52" s="190"/>
      <c r="AY52" s="190"/>
      <c r="AZ52" s="190"/>
      <c r="BA52" s="190"/>
      <c r="BB52" s="190"/>
    </row>
    <row r="53" spans="1:54" s="191" customFormat="1" ht="21">
      <c r="A53" s="993"/>
      <c r="B53" s="993"/>
      <c r="C53" s="192" t="s">
        <v>84</v>
      </c>
      <c r="D53" s="192" t="s">
        <v>85</v>
      </c>
      <c r="E53" s="192" t="s">
        <v>86</v>
      </c>
      <c r="F53" s="192" t="s">
        <v>87</v>
      </c>
      <c r="G53" s="192" t="s">
        <v>88</v>
      </c>
      <c r="H53" s="192" t="s">
        <v>89</v>
      </c>
      <c r="I53" s="192" t="s">
        <v>90</v>
      </c>
      <c r="J53" s="192" t="s">
        <v>91</v>
      </c>
      <c r="K53" s="192" t="s">
        <v>92</v>
      </c>
      <c r="L53" s="192" t="s">
        <v>93</v>
      </c>
      <c r="M53" s="192" t="s">
        <v>94</v>
      </c>
      <c r="N53" s="192" t="s">
        <v>95</v>
      </c>
      <c r="O53" s="192" t="s">
        <v>96</v>
      </c>
      <c r="P53" s="192" t="s">
        <v>97</v>
      </c>
      <c r="Q53" s="189"/>
      <c r="R53" s="189"/>
      <c r="S53" s="189"/>
      <c r="T53" s="189"/>
      <c r="U53" s="189"/>
      <c r="V53" s="189"/>
      <c r="W53" s="189"/>
      <c r="X53" s="189"/>
      <c r="Y53" s="189"/>
      <c r="Z53" s="189"/>
      <c r="AA53" s="189"/>
      <c r="AB53" s="189"/>
      <c r="AC53" s="189"/>
      <c r="AD53" s="189"/>
      <c r="AE53" s="189"/>
      <c r="AF53" s="524"/>
      <c r="AG53" s="524"/>
      <c r="AH53" s="524"/>
      <c r="AI53" s="524"/>
      <c r="AJ53" s="190"/>
      <c r="AK53" s="437"/>
      <c r="AL53" s="730">
        <f t="shared" ref="AL53:AR53" si="9">LEN(AL52)</f>
        <v>196</v>
      </c>
      <c r="AM53" s="730">
        <f t="shared" si="9"/>
        <v>218</v>
      </c>
      <c r="AN53" s="730">
        <f t="shared" si="9"/>
        <v>199</v>
      </c>
      <c r="AO53" s="730">
        <f t="shared" si="9"/>
        <v>200</v>
      </c>
      <c r="AP53" s="730">
        <f t="shared" si="9"/>
        <v>225</v>
      </c>
      <c r="AQ53" s="730">
        <f t="shared" si="9"/>
        <v>295</v>
      </c>
      <c r="AR53" s="730">
        <f t="shared" si="9"/>
        <v>270</v>
      </c>
      <c r="AS53" s="189"/>
      <c r="AT53" s="190"/>
      <c r="AU53" s="190"/>
      <c r="AV53" s="190"/>
      <c r="AW53" s="190"/>
      <c r="AX53" s="190"/>
      <c r="AY53" s="190"/>
      <c r="AZ53" s="190"/>
      <c r="BA53" s="190"/>
      <c r="BB53" s="190"/>
    </row>
    <row r="54" spans="1:54" s="191" customFormat="1">
      <c r="A54" s="992" t="str">
        <f>A38</f>
        <v>8. Implementar la ruta de divulgación y orientación para la formación y oferta de empleo y emprendimiento de mujeres diseñada en el marco de la estrategia de emprendimiento y empleabilidad.</v>
      </c>
      <c r="B54" s="992">
        <f>B38</f>
        <v>7.0000000000000007E-2</v>
      </c>
      <c r="C54" s="193" t="s">
        <v>70</v>
      </c>
      <c r="D54" s="350">
        <f>D38*$B$38/$P$38</f>
        <v>0</v>
      </c>
      <c r="E54" s="194">
        <f t="shared" ref="E54:O54" si="10">E38*$B$38/$P$38</f>
        <v>3.5000000000000009E-3</v>
      </c>
      <c r="F54" s="194">
        <f t="shared" si="10"/>
        <v>7.0000000000000019E-3</v>
      </c>
      <c r="G54" s="194">
        <f t="shared" si="10"/>
        <v>7.0000000000000019E-3</v>
      </c>
      <c r="H54" s="194">
        <f t="shared" si="10"/>
        <v>7.0000000000000019E-3</v>
      </c>
      <c r="I54" s="194">
        <f t="shared" si="10"/>
        <v>7.0000000000000019E-3</v>
      </c>
      <c r="J54" s="194">
        <f t="shared" si="10"/>
        <v>7.0000000000000019E-3</v>
      </c>
      <c r="K54" s="194">
        <f t="shared" si="10"/>
        <v>7.0000000000000019E-3</v>
      </c>
      <c r="L54" s="194">
        <f t="shared" si="10"/>
        <v>7.0000000000000019E-3</v>
      </c>
      <c r="M54" s="194">
        <f t="shared" si="10"/>
        <v>7.0000000000000019E-3</v>
      </c>
      <c r="N54" s="194">
        <f t="shared" si="10"/>
        <v>7.0000000000000019E-3</v>
      </c>
      <c r="O54" s="194">
        <f t="shared" si="10"/>
        <v>3.5000000000000009E-3</v>
      </c>
      <c r="P54" s="346">
        <f t="shared" ref="P54:P57" si="11">SUM(D54:O54)</f>
        <v>7.0000000000000007E-2</v>
      </c>
      <c r="Q54" s="194"/>
      <c r="R54" s="194"/>
      <c r="S54" s="194"/>
      <c r="T54" s="194"/>
      <c r="U54" s="194"/>
      <c r="V54" s="194"/>
      <c r="W54" s="194"/>
      <c r="X54" s="194"/>
      <c r="Y54" s="194"/>
      <c r="Z54" s="194"/>
      <c r="AA54" s="194"/>
      <c r="AB54" s="194"/>
      <c r="AC54" s="194"/>
      <c r="AD54" s="194"/>
      <c r="AE54" s="194"/>
      <c r="AF54" s="524"/>
      <c r="AG54" s="524"/>
      <c r="AH54" s="524"/>
      <c r="AI54" s="524"/>
      <c r="AJ54" s="190"/>
      <c r="AK54" s="438"/>
      <c r="AL54" s="540" t="s">
        <v>178</v>
      </c>
      <c r="AM54" s="540" t="s">
        <v>179</v>
      </c>
      <c r="AN54" s="540" t="s">
        <v>180</v>
      </c>
      <c r="AO54" s="540" t="s">
        <v>181</v>
      </c>
      <c r="AP54" s="540" t="s">
        <v>182</v>
      </c>
      <c r="AQ54" s="540" t="s">
        <v>183</v>
      </c>
      <c r="AR54" s="725" t="s">
        <v>184</v>
      </c>
      <c r="AS54" s="194"/>
      <c r="AT54" s="190"/>
      <c r="AU54" s="190"/>
      <c r="AV54" s="190"/>
      <c r="AW54" s="190"/>
      <c r="AX54" s="190"/>
      <c r="AY54" s="190"/>
      <c r="AZ54" s="190"/>
      <c r="BA54" s="190"/>
      <c r="BB54" s="190"/>
    </row>
    <row r="55" spans="1:54" s="191" customFormat="1">
      <c r="A55" s="993"/>
      <c r="B55" s="993"/>
      <c r="C55" s="195" t="s">
        <v>79</v>
      </c>
      <c r="D55" s="196">
        <f>D38*$B$38/$P$38</f>
        <v>0</v>
      </c>
      <c r="E55" s="196">
        <f t="shared" ref="E55:O55" si="12">E39*$B$38/$P$38</f>
        <v>2.8000000000000008E-3</v>
      </c>
      <c r="F55" s="196">
        <f t="shared" si="12"/>
        <v>6.3000000000000009E-3</v>
      </c>
      <c r="G55" s="196">
        <f t="shared" si="12"/>
        <v>5.6000000000000017E-3</v>
      </c>
      <c r="H55" s="196">
        <f t="shared" si="12"/>
        <v>7.0000000000000019E-3</v>
      </c>
      <c r="I55" s="196">
        <f t="shared" si="12"/>
        <v>7.0000000000000019E-3</v>
      </c>
      <c r="J55" s="196">
        <f t="shared" si="12"/>
        <v>6.3000000000000009E-3</v>
      </c>
      <c r="K55" s="196">
        <f t="shared" si="12"/>
        <v>7.0000000000000019E-3</v>
      </c>
      <c r="L55" s="196">
        <f t="shared" si="12"/>
        <v>8.400000000000003E-3</v>
      </c>
      <c r="M55" s="196">
        <f t="shared" si="12"/>
        <v>0</v>
      </c>
      <c r="N55" s="196">
        <f t="shared" si="12"/>
        <v>0</v>
      </c>
      <c r="O55" s="196">
        <f t="shared" si="12"/>
        <v>0</v>
      </c>
      <c r="P55" s="197">
        <f t="shared" si="11"/>
        <v>5.0400000000000014E-2</v>
      </c>
      <c r="Q55" s="194"/>
      <c r="R55" s="194"/>
      <c r="S55" s="194"/>
      <c r="T55" s="194"/>
      <c r="U55" s="194"/>
      <c r="V55" s="194"/>
      <c r="W55" s="194"/>
      <c r="X55" s="194"/>
      <c r="Y55" s="194"/>
      <c r="Z55" s="194"/>
      <c r="AA55" s="194"/>
      <c r="AB55" s="194"/>
      <c r="AC55" s="194"/>
      <c r="AD55" s="194"/>
      <c r="AE55" s="194"/>
      <c r="AF55" s="524"/>
      <c r="AG55" s="524"/>
      <c r="AH55" s="524"/>
      <c r="AI55" s="524"/>
      <c r="AJ55" s="190"/>
      <c r="AK55" s="438"/>
      <c r="AL55" s="713"/>
      <c r="AM55" s="438"/>
      <c r="AN55" s="194"/>
      <c r="AO55" s="194"/>
      <c r="AP55" s="194"/>
      <c r="AQ55" s="194"/>
      <c r="AR55" s="194"/>
      <c r="AS55" s="194"/>
      <c r="AT55" s="190"/>
      <c r="AU55" s="190"/>
      <c r="AV55" s="190"/>
      <c r="AW55" s="190"/>
      <c r="AX55" s="190"/>
      <c r="AY55" s="190"/>
      <c r="AZ55" s="190"/>
      <c r="BA55" s="190"/>
      <c r="BB55" s="190"/>
    </row>
    <row r="56" spans="1:54" s="191" customFormat="1">
      <c r="A56" s="992"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992">
        <f>B40</f>
        <v>0.05</v>
      </c>
      <c r="C56" s="193" t="s">
        <v>70</v>
      </c>
      <c r="D56" s="194">
        <f>D40*$B$40/$P$40</f>
        <v>0</v>
      </c>
      <c r="E56" s="194">
        <f t="shared" ref="E56:O56" si="13">E40*$B$40/$P$40</f>
        <v>5.0000000000000018E-3</v>
      </c>
      <c r="F56" s="194">
        <f t="shared" si="13"/>
        <v>5.0000000000000018E-3</v>
      </c>
      <c r="G56" s="194">
        <f t="shared" si="13"/>
        <v>5.0000000000000018E-3</v>
      </c>
      <c r="H56" s="194">
        <f t="shared" si="13"/>
        <v>5.0000000000000018E-3</v>
      </c>
      <c r="I56" s="194">
        <f t="shared" si="13"/>
        <v>5.0000000000000018E-3</v>
      </c>
      <c r="J56" s="194">
        <f t="shared" si="13"/>
        <v>5.0000000000000018E-3</v>
      </c>
      <c r="K56" s="194">
        <f t="shared" si="13"/>
        <v>5.0000000000000018E-3</v>
      </c>
      <c r="L56" s="194">
        <f t="shared" si="13"/>
        <v>5.0000000000000018E-3</v>
      </c>
      <c r="M56" s="194">
        <f t="shared" si="13"/>
        <v>5.0000000000000018E-3</v>
      </c>
      <c r="N56" s="194">
        <f t="shared" si="13"/>
        <v>5.0000000000000018E-3</v>
      </c>
      <c r="O56" s="194">
        <f t="shared" si="13"/>
        <v>0</v>
      </c>
      <c r="P56" s="346">
        <f t="shared" si="11"/>
        <v>5.0000000000000024E-2</v>
      </c>
      <c r="Q56" s="194"/>
      <c r="R56" s="194"/>
      <c r="S56" s="194"/>
      <c r="T56" s="194"/>
      <c r="U56" s="194"/>
      <c r="V56" s="194"/>
      <c r="W56" s="194"/>
      <c r="X56" s="194"/>
      <c r="Y56" s="194"/>
      <c r="Z56" s="194"/>
      <c r="AA56" s="194"/>
      <c r="AB56" s="194"/>
      <c r="AC56" s="194"/>
      <c r="AD56" s="194"/>
      <c r="AE56" s="194"/>
      <c r="AF56" s="524"/>
      <c r="AG56" s="524"/>
      <c r="AH56" s="524"/>
      <c r="AI56" s="524"/>
      <c r="AJ56" s="190"/>
      <c r="AK56" s="438"/>
      <c r="AL56" s="713" t="s">
        <v>204</v>
      </c>
      <c r="AM56" s="713">
        <v>0</v>
      </c>
      <c r="AN56" s="713">
        <v>0</v>
      </c>
      <c r="AO56" s="713">
        <v>0</v>
      </c>
      <c r="AP56" s="713">
        <v>0</v>
      </c>
      <c r="AQ56" s="713">
        <v>0</v>
      </c>
      <c r="AR56" s="713">
        <v>0</v>
      </c>
      <c r="AS56" s="194"/>
      <c r="AT56" s="190"/>
      <c r="AU56" s="190"/>
      <c r="AV56" s="190"/>
      <c r="AW56" s="190"/>
      <c r="AX56" s="190"/>
      <c r="AY56" s="190"/>
      <c r="AZ56" s="190"/>
      <c r="BA56" s="190"/>
      <c r="BB56" s="190"/>
    </row>
    <row r="57" spans="1:54" s="191" customFormat="1">
      <c r="A57" s="993"/>
      <c r="B57" s="993"/>
      <c r="C57" s="195" t="s">
        <v>79</v>
      </c>
      <c r="D57" s="196">
        <f t="shared" ref="D57" si="14">D41*$B$40/$P$40</f>
        <v>0</v>
      </c>
      <c r="E57" s="196">
        <f t="shared" ref="E57:O57" si="15">E41*$B$40/$P$40</f>
        <v>5.0000000000000018E-3</v>
      </c>
      <c r="F57" s="196">
        <f t="shared" si="15"/>
        <v>5.0000000000000018E-3</v>
      </c>
      <c r="G57" s="196">
        <f t="shared" si="15"/>
        <v>5.0000000000000018E-3</v>
      </c>
      <c r="H57" s="196">
        <f t="shared" si="15"/>
        <v>5.0000000000000018E-3</v>
      </c>
      <c r="I57" s="196">
        <f t="shared" si="15"/>
        <v>5.0000000000000018E-3</v>
      </c>
      <c r="J57" s="196">
        <f t="shared" si="15"/>
        <v>5.0000000000000018E-3</v>
      </c>
      <c r="K57" s="196">
        <f t="shared" si="15"/>
        <v>5.0000000000000018E-3</v>
      </c>
      <c r="L57" s="196">
        <f t="shared" si="15"/>
        <v>5.0000000000000018E-3</v>
      </c>
      <c r="M57" s="196">
        <f t="shared" si="15"/>
        <v>0</v>
      </c>
      <c r="N57" s="196">
        <f t="shared" si="15"/>
        <v>0</v>
      </c>
      <c r="O57" s="196">
        <f t="shared" si="15"/>
        <v>0</v>
      </c>
      <c r="P57" s="197">
        <f t="shared" si="11"/>
        <v>4.0000000000000015E-2</v>
      </c>
      <c r="Q57" s="194"/>
      <c r="R57" s="194"/>
      <c r="S57" s="194"/>
      <c r="T57" s="194"/>
      <c r="U57" s="194"/>
      <c r="V57" s="194"/>
      <c r="W57" s="194"/>
      <c r="X57" s="194"/>
      <c r="Y57" s="194"/>
      <c r="Z57" s="194"/>
      <c r="AA57" s="194"/>
      <c r="AB57" s="194"/>
      <c r="AC57" s="194"/>
      <c r="AD57" s="194"/>
      <c r="AE57" s="194"/>
      <c r="AF57" s="524"/>
      <c r="AG57" s="524"/>
      <c r="AH57" s="524"/>
      <c r="AI57" s="524"/>
      <c r="AJ57" s="190"/>
      <c r="AK57" s="438"/>
      <c r="AL57" s="730">
        <f t="shared" ref="AL57:AQ57" si="16">LEN(AL56)</f>
        <v>1</v>
      </c>
      <c r="AM57" s="730">
        <f t="shared" si="16"/>
        <v>1</v>
      </c>
      <c r="AN57" s="730">
        <f t="shared" si="16"/>
        <v>1</v>
      </c>
      <c r="AO57" s="730">
        <f t="shared" si="16"/>
        <v>1</v>
      </c>
      <c r="AP57" s="730">
        <f t="shared" si="16"/>
        <v>1</v>
      </c>
      <c r="AQ57" s="730">
        <f t="shared" si="16"/>
        <v>1</v>
      </c>
      <c r="AR57" s="730">
        <f t="shared" ref="AR57" si="17">LEN(AR56)</f>
        <v>1</v>
      </c>
      <c r="AS57" s="194"/>
      <c r="AT57" s="190"/>
      <c r="AU57" s="190"/>
      <c r="AV57" s="190"/>
      <c r="AW57" s="190"/>
      <c r="AX57" s="190"/>
      <c r="AY57" s="190"/>
      <c r="AZ57" s="190"/>
      <c r="BA57" s="190"/>
      <c r="BB57" s="190"/>
    </row>
    <row r="58" spans="1:54" s="191" customFormat="1">
      <c r="A58" s="992" t="str">
        <f>A42</f>
        <v>10. Promover acciones que contribuyan a la generación de ingresos y empleo para las mujeres, conforme a la oferta de las diferentes entidades del distrito.</v>
      </c>
      <c r="B58" s="992">
        <f>B42</f>
        <v>0.05</v>
      </c>
      <c r="C58" s="193" t="s">
        <v>70</v>
      </c>
      <c r="D58" s="194">
        <f>D42*$B$42/$P$42</f>
        <v>0</v>
      </c>
      <c r="E58" s="194">
        <f t="shared" ref="E58:O58" si="18">E42*$B$42/$P$42</f>
        <v>2.5000000000000009E-3</v>
      </c>
      <c r="F58" s="194">
        <f t="shared" si="18"/>
        <v>5.0000000000000018E-3</v>
      </c>
      <c r="G58" s="194">
        <f t="shared" si="18"/>
        <v>5.0000000000000018E-3</v>
      </c>
      <c r="H58" s="194">
        <f t="shared" si="18"/>
        <v>5.0000000000000018E-3</v>
      </c>
      <c r="I58" s="194">
        <f t="shared" si="18"/>
        <v>5.0000000000000018E-3</v>
      </c>
      <c r="J58" s="194">
        <f t="shared" si="18"/>
        <v>5.0000000000000018E-3</v>
      </c>
      <c r="K58" s="194">
        <f t="shared" si="18"/>
        <v>5.0000000000000018E-3</v>
      </c>
      <c r="L58" s="194">
        <f t="shared" si="18"/>
        <v>5.0000000000000018E-3</v>
      </c>
      <c r="M58" s="194">
        <f t="shared" si="18"/>
        <v>5.0000000000000018E-3</v>
      </c>
      <c r="N58" s="194">
        <f t="shared" si="18"/>
        <v>5.0000000000000018E-3</v>
      </c>
      <c r="O58" s="194">
        <f t="shared" si="18"/>
        <v>2.5000000000000009E-3</v>
      </c>
      <c r="P58" s="346">
        <f t="shared" ref="P58:P61" si="19">SUM(D58:O58)</f>
        <v>5.0000000000000024E-2</v>
      </c>
      <c r="Q58" s="194"/>
      <c r="R58" s="194"/>
      <c r="S58" s="194"/>
      <c r="T58" s="194"/>
      <c r="U58" s="194"/>
      <c r="V58" s="194"/>
      <c r="W58" s="194"/>
      <c r="X58" s="194"/>
      <c r="Y58" s="194"/>
      <c r="Z58" s="194"/>
      <c r="AA58" s="194"/>
      <c r="AB58" s="194"/>
      <c r="AC58" s="194"/>
      <c r="AD58" s="194"/>
      <c r="AE58" s="194"/>
      <c r="AF58" s="524"/>
      <c r="AG58" s="524"/>
      <c r="AH58" s="524"/>
      <c r="AI58" s="524"/>
      <c r="AJ58" s="190"/>
      <c r="AK58" s="438"/>
      <c r="AL58" s="438"/>
      <c r="AM58" s="438"/>
      <c r="AN58" s="194"/>
      <c r="AO58" s="194"/>
      <c r="AP58" s="194"/>
      <c r="AQ58" s="194"/>
      <c r="AR58" s="194"/>
      <c r="AS58" s="194"/>
      <c r="AT58" s="190"/>
      <c r="AU58" s="190"/>
      <c r="AV58" s="190"/>
      <c r="AW58" s="190"/>
      <c r="AX58" s="190"/>
      <c r="AY58" s="190"/>
      <c r="AZ58" s="190"/>
      <c r="BA58" s="190"/>
      <c r="BB58" s="190"/>
    </row>
    <row r="59" spans="1:54" s="191" customFormat="1">
      <c r="A59" s="993"/>
      <c r="B59" s="993"/>
      <c r="C59" s="195" t="s">
        <v>79</v>
      </c>
      <c r="D59" s="196">
        <f>D43*$B$42/$P$42</f>
        <v>0</v>
      </c>
      <c r="E59" s="196">
        <f t="shared" ref="E59:O59" si="20">E43*$B$42/$P$42</f>
        <v>2.5000000000000009E-3</v>
      </c>
      <c r="F59" s="196">
        <f t="shared" si="20"/>
        <v>5.0000000000000018E-3</v>
      </c>
      <c r="G59" s="196">
        <f t="shared" si="20"/>
        <v>5.0000000000000018E-3</v>
      </c>
      <c r="H59" s="196">
        <f t="shared" si="20"/>
        <v>5.0000000000000018E-3</v>
      </c>
      <c r="I59" s="196">
        <f t="shared" si="20"/>
        <v>5.0000000000000018E-3</v>
      </c>
      <c r="J59" s="196">
        <f t="shared" si="20"/>
        <v>5.0000000000000018E-3</v>
      </c>
      <c r="K59" s="196">
        <f t="shared" si="20"/>
        <v>5.0000000000000018E-3</v>
      </c>
      <c r="L59" s="196">
        <f t="shared" si="20"/>
        <v>5.0000000000000018E-3</v>
      </c>
      <c r="M59" s="196">
        <f t="shared" si="20"/>
        <v>0</v>
      </c>
      <c r="N59" s="196">
        <f t="shared" si="20"/>
        <v>0</v>
      </c>
      <c r="O59" s="196">
        <f t="shared" si="20"/>
        <v>0</v>
      </c>
      <c r="P59" s="197">
        <f t="shared" si="19"/>
        <v>3.7500000000000012E-2</v>
      </c>
      <c r="Q59" s="194"/>
      <c r="R59" s="194"/>
      <c r="S59" s="194"/>
      <c r="T59" s="194"/>
      <c r="U59" s="194"/>
      <c r="V59" s="194"/>
      <c r="W59" s="194"/>
      <c r="X59" s="194"/>
      <c r="Y59" s="194"/>
      <c r="Z59" s="194"/>
      <c r="AA59" s="194"/>
      <c r="AB59" s="194"/>
      <c r="AC59" s="194"/>
      <c r="AD59" s="194"/>
      <c r="AE59" s="194"/>
      <c r="AF59" s="524"/>
      <c r="AG59" s="524"/>
      <c r="AH59" s="524"/>
      <c r="AI59" s="524"/>
      <c r="AJ59" s="190"/>
      <c r="AK59" s="438"/>
      <c r="AL59" s="540" t="s">
        <v>178</v>
      </c>
      <c r="AM59" s="540" t="s">
        <v>179</v>
      </c>
      <c r="AN59" s="540" t="s">
        <v>180</v>
      </c>
      <c r="AO59" s="540" t="s">
        <v>181</v>
      </c>
      <c r="AP59" s="540" t="s">
        <v>182</v>
      </c>
      <c r="AQ59" s="540" t="s">
        <v>182</v>
      </c>
      <c r="AR59" s="725" t="s">
        <v>184</v>
      </c>
      <c r="AS59" s="194"/>
      <c r="AT59" s="190"/>
      <c r="AU59" s="190"/>
      <c r="AV59" s="190"/>
      <c r="AW59" s="190"/>
      <c r="AX59" s="190"/>
      <c r="AY59" s="190"/>
      <c r="AZ59" s="190"/>
      <c r="BA59" s="190"/>
      <c r="BB59" s="190"/>
    </row>
    <row r="60" spans="1:54" s="191" customFormat="1" ht="101.25">
      <c r="A60" s="992" t="str">
        <f>A44</f>
        <v>11. Diseñar dos (2) programas que promuevan la autonomía económica de mujeres, en especial cuidadoras.</v>
      </c>
      <c r="B60" s="992">
        <f>B44</f>
        <v>0.04</v>
      </c>
      <c r="C60" s="193" t="s">
        <v>70</v>
      </c>
      <c r="D60" s="194">
        <f>D44*$B$44/$P$44</f>
        <v>0</v>
      </c>
      <c r="E60" s="194">
        <f t="shared" ref="E60:O60" si="21">E44*$B$44/$P$44</f>
        <v>0</v>
      </c>
      <c r="F60" s="194">
        <f t="shared" si="21"/>
        <v>4.000000000000001E-3</v>
      </c>
      <c r="G60" s="194">
        <f t="shared" si="21"/>
        <v>4.000000000000001E-3</v>
      </c>
      <c r="H60" s="194">
        <f t="shared" si="21"/>
        <v>4.000000000000001E-3</v>
      </c>
      <c r="I60" s="194">
        <f t="shared" si="21"/>
        <v>4.000000000000001E-3</v>
      </c>
      <c r="J60" s="194">
        <f t="shared" si="21"/>
        <v>4.000000000000001E-3</v>
      </c>
      <c r="K60" s="194">
        <f t="shared" si="21"/>
        <v>4.000000000000001E-3</v>
      </c>
      <c r="L60" s="194">
        <f t="shared" si="21"/>
        <v>4.000000000000001E-3</v>
      </c>
      <c r="M60" s="194">
        <f t="shared" si="21"/>
        <v>4.000000000000001E-3</v>
      </c>
      <c r="N60" s="194">
        <f t="shared" si="21"/>
        <v>4.000000000000001E-3</v>
      </c>
      <c r="O60" s="194">
        <f t="shared" si="21"/>
        <v>4.000000000000001E-3</v>
      </c>
      <c r="P60" s="346">
        <f t="shared" si="19"/>
        <v>4.0000000000000015E-2</v>
      </c>
      <c r="Q60" s="194"/>
      <c r="R60" s="194"/>
      <c r="S60" s="194"/>
      <c r="T60" s="194"/>
      <c r="U60" s="194"/>
      <c r="V60" s="194"/>
      <c r="W60" s="194"/>
      <c r="X60" s="194"/>
      <c r="Y60" s="194"/>
      <c r="Z60" s="194"/>
      <c r="AA60" s="194"/>
      <c r="AB60" s="194"/>
      <c r="AC60" s="194"/>
      <c r="AD60" s="194"/>
      <c r="AE60" s="194"/>
      <c r="AF60" s="524"/>
      <c r="AG60" s="524"/>
      <c r="AH60" s="524"/>
      <c r="AI60" s="524"/>
      <c r="AJ60" s="190"/>
      <c r="AK60" s="438"/>
      <c r="AL60" s="713" t="s">
        <v>205</v>
      </c>
      <c r="AM60" s="713" t="s">
        <v>206</v>
      </c>
      <c r="AN60" s="713" t="s">
        <v>207</v>
      </c>
      <c r="AO60" s="713" t="s">
        <v>208</v>
      </c>
      <c r="AP60" s="531" t="s">
        <v>112</v>
      </c>
      <c r="AQ60" s="531" t="s">
        <v>113</v>
      </c>
      <c r="AR60" s="531"/>
      <c r="AS60" s="194"/>
      <c r="AT60" s="190"/>
      <c r="AU60" s="190"/>
      <c r="AV60" s="190"/>
      <c r="AW60" s="190"/>
      <c r="AX60" s="190"/>
      <c r="AY60" s="190"/>
      <c r="AZ60" s="190"/>
      <c r="BA60" s="190"/>
      <c r="BB60" s="190"/>
    </row>
    <row r="61" spans="1:54" s="191" customFormat="1">
      <c r="A61" s="993"/>
      <c r="B61" s="993"/>
      <c r="C61" s="195" t="s">
        <v>79</v>
      </c>
      <c r="D61" s="196">
        <f>D45*$B$44/$P$44</f>
        <v>0</v>
      </c>
      <c r="E61" s="196">
        <f t="shared" ref="E61:O61" si="22">E45*$B$44/$P$44</f>
        <v>8.0000000000000015E-4</v>
      </c>
      <c r="F61" s="196">
        <f t="shared" si="22"/>
        <v>4.000000000000001E-3</v>
      </c>
      <c r="G61" s="196">
        <f t="shared" si="22"/>
        <v>2.0000000000000005E-3</v>
      </c>
      <c r="H61" s="196">
        <f t="shared" si="22"/>
        <v>4.000000000000001E-3</v>
      </c>
      <c r="I61" s="196">
        <f t="shared" si="22"/>
        <v>6.000000000000001E-3</v>
      </c>
      <c r="J61" s="196">
        <f t="shared" si="22"/>
        <v>4.000000000000001E-3</v>
      </c>
      <c r="K61" s="196">
        <f t="shared" si="22"/>
        <v>4.000000000000001E-3</v>
      </c>
      <c r="L61" s="196">
        <f t="shared" si="22"/>
        <v>4.000000000000001E-3</v>
      </c>
      <c r="M61" s="196">
        <f t="shared" si="22"/>
        <v>0</v>
      </c>
      <c r="N61" s="196">
        <f t="shared" si="22"/>
        <v>0</v>
      </c>
      <c r="O61" s="196">
        <f t="shared" si="22"/>
        <v>0</v>
      </c>
      <c r="P61" s="197">
        <f t="shared" si="19"/>
        <v>2.8800000000000006E-2</v>
      </c>
      <c r="Q61" s="194"/>
      <c r="R61" s="194"/>
      <c r="S61" s="194"/>
      <c r="T61" s="194"/>
      <c r="U61" s="194"/>
      <c r="V61" s="194"/>
      <c r="W61" s="194"/>
      <c r="X61" s="194"/>
      <c r="Y61" s="194"/>
      <c r="Z61" s="194"/>
      <c r="AA61" s="194"/>
      <c r="AB61" s="194"/>
      <c r="AC61" s="194"/>
      <c r="AD61" s="194"/>
      <c r="AE61" s="194"/>
      <c r="AF61" s="524"/>
      <c r="AG61" s="524"/>
      <c r="AH61" s="524"/>
      <c r="AI61" s="524"/>
      <c r="AJ61" s="190"/>
      <c r="AK61" s="438"/>
      <c r="AL61" s="730">
        <f t="shared" ref="AL61:AR61" si="23">LEN(AL60)</f>
        <v>135</v>
      </c>
      <c r="AM61" s="730">
        <f t="shared" si="23"/>
        <v>143</v>
      </c>
      <c r="AN61" s="730">
        <f t="shared" si="23"/>
        <v>67</v>
      </c>
      <c r="AO61" s="730">
        <f t="shared" si="23"/>
        <v>79</v>
      </c>
      <c r="AP61" s="730">
        <f t="shared" si="23"/>
        <v>251</v>
      </c>
      <c r="AQ61" s="730">
        <f t="shared" si="23"/>
        <v>293</v>
      </c>
      <c r="AR61" s="730">
        <f t="shared" si="23"/>
        <v>0</v>
      </c>
      <c r="AS61" s="194"/>
      <c r="AT61" s="190"/>
      <c r="AU61" s="190"/>
      <c r="AV61" s="190"/>
      <c r="AW61" s="190"/>
      <c r="AX61" s="190"/>
      <c r="AY61" s="190"/>
      <c r="AZ61" s="190"/>
      <c r="BA61" s="190"/>
      <c r="BB61" s="190"/>
    </row>
    <row r="62" spans="1:54" s="191" customFormat="1">
      <c r="A62" s="992" t="str">
        <f>+A46</f>
        <v xml:space="preserve">12. Generar y desarrollar alianzas estratégicas que contribuyan a la implementación de la estrategia de emprendimiento y empleabilidad. </v>
      </c>
      <c r="B62" s="992">
        <f>B46</f>
        <v>0.04</v>
      </c>
      <c r="C62" s="193" t="s">
        <v>70</v>
      </c>
      <c r="D62" s="194">
        <f>D46*$B$46/$P$46</f>
        <v>0</v>
      </c>
      <c r="E62" s="194">
        <f t="shared" ref="E62:O62" si="24">E46*$B$46/$P$46</f>
        <v>2.0000000000000005E-3</v>
      </c>
      <c r="F62" s="194">
        <f t="shared" si="24"/>
        <v>4.000000000000001E-3</v>
      </c>
      <c r="G62" s="194">
        <f t="shared" si="24"/>
        <v>4.000000000000001E-3</v>
      </c>
      <c r="H62" s="194">
        <f t="shared" si="24"/>
        <v>4.000000000000001E-3</v>
      </c>
      <c r="I62" s="194">
        <f t="shared" si="24"/>
        <v>4.000000000000001E-3</v>
      </c>
      <c r="J62" s="194">
        <f t="shared" si="24"/>
        <v>4.000000000000001E-3</v>
      </c>
      <c r="K62" s="194">
        <f t="shared" si="24"/>
        <v>4.000000000000001E-3</v>
      </c>
      <c r="L62" s="194">
        <f t="shared" si="24"/>
        <v>4.000000000000001E-3</v>
      </c>
      <c r="M62" s="194">
        <f t="shared" si="24"/>
        <v>4.000000000000001E-3</v>
      </c>
      <c r="N62" s="194">
        <f t="shared" si="24"/>
        <v>4.000000000000001E-3</v>
      </c>
      <c r="O62" s="194">
        <f t="shared" si="24"/>
        <v>2.0000000000000005E-3</v>
      </c>
      <c r="P62" s="346">
        <f t="shared" ref="P62:P63" si="25">SUM(D62:O62)</f>
        <v>4.0000000000000008E-2</v>
      </c>
      <c r="Q62" s="194"/>
      <c r="R62" s="194"/>
      <c r="S62" s="194"/>
      <c r="T62" s="194"/>
      <c r="U62" s="194"/>
      <c r="V62" s="194"/>
      <c r="W62" s="194"/>
      <c r="X62" s="194"/>
      <c r="Y62" s="194"/>
      <c r="Z62" s="194"/>
      <c r="AA62" s="194"/>
      <c r="AB62" s="194"/>
      <c r="AC62" s="194"/>
      <c r="AD62" s="194"/>
      <c r="AE62" s="194"/>
      <c r="AF62" s="525"/>
      <c r="AG62" s="525"/>
      <c r="AH62" s="525"/>
      <c r="AI62" s="525"/>
      <c r="AJ62" s="438"/>
      <c r="AK62" s="438"/>
      <c r="AL62" s="438"/>
      <c r="AM62" s="194"/>
      <c r="AN62" s="194"/>
      <c r="AO62" s="194"/>
      <c r="AP62" s="194"/>
      <c r="AQ62" s="194"/>
      <c r="AR62" s="194"/>
      <c r="AS62" s="194"/>
      <c r="AT62" s="190"/>
      <c r="AU62" s="190"/>
      <c r="AV62" s="190"/>
      <c r="AW62" s="190"/>
      <c r="AX62" s="190"/>
      <c r="AY62" s="190"/>
      <c r="AZ62" s="190"/>
      <c r="BA62" s="190"/>
      <c r="BB62" s="190"/>
    </row>
    <row r="63" spans="1:54" s="191" customFormat="1">
      <c r="A63" s="993"/>
      <c r="B63" s="993"/>
      <c r="C63" s="195" t="s">
        <v>79</v>
      </c>
      <c r="D63" s="196">
        <f>D47*$B$46/$P$46</f>
        <v>0</v>
      </c>
      <c r="E63" s="196">
        <f t="shared" ref="E63:O63" si="26">E47*$B$46/$P$46</f>
        <v>2.0000000000000005E-3</v>
      </c>
      <c r="F63" s="196">
        <f t="shared" si="26"/>
        <v>4.000000000000001E-3</v>
      </c>
      <c r="G63" s="196">
        <f t="shared" si="26"/>
        <v>4.000000000000001E-3</v>
      </c>
      <c r="H63" s="196">
        <f t="shared" si="26"/>
        <v>4.000000000000001E-3</v>
      </c>
      <c r="I63" s="196">
        <f t="shared" si="26"/>
        <v>4.000000000000001E-3</v>
      </c>
      <c r="J63" s="196">
        <f t="shared" si="26"/>
        <v>4.000000000000001E-3</v>
      </c>
      <c r="K63" s="196">
        <f t="shared" si="26"/>
        <v>4.000000000000001E-3</v>
      </c>
      <c r="L63" s="196">
        <f t="shared" si="26"/>
        <v>4.000000000000001E-3</v>
      </c>
      <c r="M63" s="196">
        <f t="shared" si="26"/>
        <v>0</v>
      </c>
      <c r="N63" s="196">
        <f t="shared" si="26"/>
        <v>0</v>
      </c>
      <c r="O63" s="196">
        <f t="shared" si="26"/>
        <v>0</v>
      </c>
      <c r="P63" s="197">
        <f t="shared" si="25"/>
        <v>3.0000000000000002E-2</v>
      </c>
      <c r="Q63" s="194"/>
      <c r="R63" s="194"/>
      <c r="S63" s="194"/>
      <c r="T63" s="194"/>
      <c r="U63" s="194"/>
      <c r="V63" s="194"/>
      <c r="W63" s="194"/>
      <c r="X63" s="194"/>
      <c r="Y63" s="194"/>
      <c r="Z63" s="194"/>
      <c r="AA63" s="194"/>
      <c r="AB63" s="194"/>
      <c r="AC63" s="194"/>
      <c r="AD63" s="194"/>
      <c r="AE63" s="194"/>
      <c r="AF63" s="525"/>
      <c r="AG63" s="525"/>
      <c r="AH63" s="525"/>
      <c r="AI63" s="525"/>
      <c r="AJ63" s="438"/>
      <c r="AK63" s="438"/>
      <c r="AL63" s="438"/>
      <c r="AM63" s="194"/>
      <c r="AN63" s="194"/>
      <c r="AO63" s="194"/>
      <c r="AP63" s="194"/>
      <c r="AQ63" s="194"/>
      <c r="AR63" s="194"/>
      <c r="AS63" s="194"/>
      <c r="AT63" s="190"/>
      <c r="AU63" s="190"/>
      <c r="AV63" s="190"/>
      <c r="AW63" s="190"/>
      <c r="AX63" s="190"/>
      <c r="AY63" s="190"/>
      <c r="AZ63" s="190"/>
      <c r="BA63" s="190"/>
      <c r="BB63" s="190"/>
    </row>
    <row r="64" spans="1:54" s="191" customFormat="1">
      <c r="A64" s="194"/>
      <c r="B64" s="194"/>
      <c r="C64" s="198"/>
      <c r="D64" s="199">
        <f>D55+D57+D59+D61+D63</f>
        <v>0</v>
      </c>
      <c r="E64" s="199">
        <f t="shared" ref="E64:O64" si="27">E55+E57+E59+E61+E63</f>
        <v>1.3100000000000004E-2</v>
      </c>
      <c r="F64" s="199">
        <f t="shared" si="27"/>
        <v>2.4300000000000006E-2</v>
      </c>
      <c r="G64" s="199">
        <f t="shared" si="27"/>
        <v>2.1600000000000008E-2</v>
      </c>
      <c r="H64" s="199">
        <f t="shared" si="27"/>
        <v>2.5000000000000005E-2</v>
      </c>
      <c r="I64" s="199">
        <f t="shared" si="27"/>
        <v>2.7000000000000007E-2</v>
      </c>
      <c r="J64" s="199">
        <f t="shared" si="27"/>
        <v>2.4300000000000006E-2</v>
      </c>
      <c r="K64" s="199">
        <f t="shared" si="27"/>
        <v>2.5000000000000005E-2</v>
      </c>
      <c r="L64" s="199">
        <f t="shared" si="27"/>
        <v>2.6400000000000007E-2</v>
      </c>
      <c r="M64" s="199">
        <f t="shared" si="27"/>
        <v>0</v>
      </c>
      <c r="N64" s="199">
        <f t="shared" si="27"/>
        <v>0</v>
      </c>
      <c r="O64" s="199">
        <f t="shared" si="27"/>
        <v>0</v>
      </c>
      <c r="P64" s="199">
        <f>P55+P57+P59+P61+P63</f>
        <v>0.18670000000000006</v>
      </c>
      <c r="Q64" s="194"/>
      <c r="R64" s="194"/>
      <c r="S64" s="194"/>
      <c r="T64" s="194"/>
      <c r="U64" s="194"/>
      <c r="V64" s="194"/>
      <c r="W64" s="194"/>
      <c r="X64" s="194"/>
      <c r="Y64" s="194"/>
      <c r="Z64" s="194"/>
      <c r="AA64" s="194"/>
      <c r="AB64" s="194"/>
      <c r="AC64" s="194"/>
      <c r="AD64" s="194"/>
      <c r="AE64" s="194"/>
      <c r="AF64" s="525"/>
      <c r="AG64" s="525"/>
      <c r="AH64" s="525"/>
      <c r="AI64" s="525"/>
      <c r="AJ64" s="438"/>
      <c r="AK64" s="438"/>
      <c r="AL64" s="438"/>
      <c r="AM64" s="194"/>
      <c r="AN64" s="194"/>
      <c r="AO64" s="194"/>
      <c r="AP64" s="194"/>
      <c r="AQ64" s="194"/>
      <c r="AR64" s="194"/>
      <c r="AS64" s="194"/>
      <c r="AT64" s="190"/>
      <c r="AU64" s="190"/>
      <c r="AV64" s="190"/>
      <c r="AW64" s="190"/>
      <c r="AX64" s="190"/>
      <c r="AY64" s="190"/>
      <c r="AZ64" s="190"/>
      <c r="BA64" s="190"/>
      <c r="BB64" s="190"/>
    </row>
    <row r="65" spans="1:54" s="375" customFormat="1">
      <c r="A65" s="201"/>
      <c r="B65" s="201"/>
      <c r="C65" s="372" t="s">
        <v>79</v>
      </c>
      <c r="D65" s="373">
        <f>D64*$W$17/$B$34</f>
        <v>0</v>
      </c>
      <c r="E65" s="373">
        <f t="shared" ref="E65:O65" si="28">E64*$W$17/$B$34</f>
        <v>1.0480000000000003E-2</v>
      </c>
      <c r="F65" s="373">
        <f t="shared" si="28"/>
        <v>1.9440000000000006E-2</v>
      </c>
      <c r="G65" s="373">
        <f t="shared" si="28"/>
        <v>1.7280000000000007E-2</v>
      </c>
      <c r="H65" s="373">
        <f t="shared" si="28"/>
        <v>2.0000000000000004E-2</v>
      </c>
      <c r="I65" s="373">
        <f t="shared" si="28"/>
        <v>2.1600000000000008E-2</v>
      </c>
      <c r="J65" s="373">
        <f t="shared" si="28"/>
        <v>1.9440000000000006E-2</v>
      </c>
      <c r="K65" s="373">
        <f t="shared" si="28"/>
        <v>2.0000000000000004E-2</v>
      </c>
      <c r="L65" s="373">
        <f t="shared" si="28"/>
        <v>2.1120000000000007E-2</v>
      </c>
      <c r="M65" s="373">
        <f t="shared" si="28"/>
        <v>0</v>
      </c>
      <c r="N65" s="373">
        <f t="shared" si="28"/>
        <v>0</v>
      </c>
      <c r="O65" s="373">
        <f t="shared" si="28"/>
        <v>0</v>
      </c>
      <c r="P65" s="374">
        <f>SUM(D65:O65)</f>
        <v>0.14936000000000002</v>
      </c>
      <c r="Q65" s="200"/>
      <c r="R65" s="201"/>
      <c r="S65" s="201"/>
      <c r="T65" s="201"/>
      <c r="U65" s="201"/>
      <c r="V65" s="201"/>
      <c r="W65" s="201"/>
      <c r="X65" s="201"/>
      <c r="Y65" s="201"/>
      <c r="Z65" s="201"/>
      <c r="AA65" s="201"/>
      <c r="AB65" s="201"/>
      <c r="AC65" s="201"/>
      <c r="AD65" s="201"/>
      <c r="AE65" s="201"/>
      <c r="AF65" s="526"/>
      <c r="AG65" s="526"/>
      <c r="AH65" s="526"/>
      <c r="AI65" s="526"/>
      <c r="AJ65" s="437"/>
      <c r="AK65" s="437"/>
      <c r="AL65" s="437"/>
      <c r="AM65" s="434"/>
      <c r="AN65" s="434"/>
      <c r="AO65" s="434"/>
      <c r="AP65" s="434"/>
      <c r="AQ65" s="434"/>
      <c r="AR65" s="201"/>
      <c r="AS65" s="201"/>
      <c r="AT65" s="201"/>
      <c r="AU65" s="201"/>
      <c r="AV65" s="201"/>
      <c r="AW65" s="201"/>
      <c r="AX65" s="201"/>
      <c r="AY65" s="201"/>
      <c r="AZ65" s="201"/>
      <c r="BA65" s="201"/>
      <c r="BB65" s="201"/>
    </row>
    <row r="66" spans="1:54" s="375" customFormat="1">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1"/>
      <c r="AE66" s="201"/>
      <c r="AF66" s="526"/>
      <c r="AG66" s="526"/>
      <c r="AH66" s="526"/>
      <c r="AI66" s="526"/>
      <c r="AJ66" s="437"/>
      <c r="AK66" s="437"/>
      <c r="AL66" s="437"/>
      <c r="AM66" s="434"/>
      <c r="AN66" s="434"/>
      <c r="AO66" s="434"/>
      <c r="AP66" s="434"/>
      <c r="AQ66" s="434"/>
      <c r="AR66" s="201"/>
      <c r="AS66" s="201"/>
      <c r="AT66" s="201"/>
      <c r="AU66" s="201"/>
      <c r="AV66" s="201"/>
      <c r="AW66" s="201"/>
      <c r="AX66" s="201"/>
      <c r="AY66" s="201"/>
      <c r="AZ66" s="201"/>
      <c r="BA66" s="201"/>
      <c r="BB66" s="201"/>
    </row>
    <row r="67" spans="1:54" s="108" customFormat="1">
      <c r="D67" s="376">
        <f>D54+D56+D58+D60+D62</f>
        <v>0</v>
      </c>
      <c r="E67" s="376">
        <f t="shared" ref="E67:O67" si="29">E54+E56+E58+E60+E62</f>
        <v>1.3000000000000003E-2</v>
      </c>
      <c r="F67" s="376">
        <f t="shared" si="29"/>
        <v>2.5000000000000005E-2</v>
      </c>
      <c r="G67" s="376">
        <f t="shared" si="29"/>
        <v>2.5000000000000005E-2</v>
      </c>
      <c r="H67" s="376">
        <f t="shared" si="29"/>
        <v>2.5000000000000005E-2</v>
      </c>
      <c r="I67" s="376">
        <f t="shared" si="29"/>
        <v>2.5000000000000005E-2</v>
      </c>
      <c r="J67" s="376">
        <f t="shared" si="29"/>
        <v>2.5000000000000005E-2</v>
      </c>
      <c r="K67" s="376">
        <f t="shared" si="29"/>
        <v>2.5000000000000005E-2</v>
      </c>
      <c r="L67" s="376">
        <f t="shared" si="29"/>
        <v>2.5000000000000005E-2</v>
      </c>
      <c r="M67" s="376">
        <f t="shared" si="29"/>
        <v>2.5000000000000005E-2</v>
      </c>
      <c r="N67" s="376">
        <f t="shared" si="29"/>
        <v>2.5000000000000005E-2</v>
      </c>
      <c r="O67" s="376">
        <f t="shared" si="29"/>
        <v>1.2000000000000002E-2</v>
      </c>
      <c r="P67" s="376">
        <f>SUM(D67:O67)</f>
        <v>0.25</v>
      </c>
      <c r="AF67" s="527"/>
      <c r="AG67" s="527"/>
      <c r="AH67" s="527"/>
      <c r="AI67" s="527"/>
      <c r="AJ67" s="432"/>
      <c r="AK67" s="432"/>
      <c r="AL67" s="432"/>
      <c r="AM67" s="114"/>
      <c r="AN67" s="114"/>
      <c r="AO67" s="114"/>
      <c r="AP67" s="114"/>
      <c r="AQ67" s="114"/>
    </row>
    <row r="68" spans="1:54" s="375" customFormat="1">
      <c r="A68" s="201"/>
      <c r="B68" s="201"/>
      <c r="C68" s="372" t="s">
        <v>70</v>
      </c>
      <c r="D68" s="373">
        <f>D67*$W$17/$B$34</f>
        <v>0</v>
      </c>
      <c r="E68" s="373">
        <f t="shared" ref="E68:O68" si="30">E67*$W$17/$B$34</f>
        <v>1.0400000000000003E-2</v>
      </c>
      <c r="F68" s="373">
        <f t="shared" si="30"/>
        <v>2.0000000000000004E-2</v>
      </c>
      <c r="G68" s="373">
        <f t="shared" si="30"/>
        <v>2.0000000000000004E-2</v>
      </c>
      <c r="H68" s="373">
        <f t="shared" si="30"/>
        <v>2.0000000000000004E-2</v>
      </c>
      <c r="I68" s="373">
        <f t="shared" si="30"/>
        <v>2.0000000000000004E-2</v>
      </c>
      <c r="J68" s="373">
        <f t="shared" si="30"/>
        <v>2.0000000000000004E-2</v>
      </c>
      <c r="K68" s="373">
        <f t="shared" si="30"/>
        <v>2.0000000000000004E-2</v>
      </c>
      <c r="L68" s="373">
        <f t="shared" si="30"/>
        <v>2.0000000000000004E-2</v>
      </c>
      <c r="M68" s="373">
        <f t="shared" si="30"/>
        <v>2.0000000000000004E-2</v>
      </c>
      <c r="N68" s="373">
        <f t="shared" si="30"/>
        <v>2.0000000000000004E-2</v>
      </c>
      <c r="O68" s="373">
        <f t="shared" si="30"/>
        <v>9.6000000000000026E-3</v>
      </c>
      <c r="P68" s="374">
        <f>SUM(D68:O68)</f>
        <v>0.20000000000000007</v>
      </c>
      <c r="Q68" s="200"/>
      <c r="R68" s="201"/>
      <c r="S68" s="201"/>
      <c r="T68" s="201"/>
      <c r="U68" s="201"/>
      <c r="V68" s="201"/>
      <c r="W68" s="201"/>
      <c r="X68" s="201"/>
      <c r="Y68" s="201"/>
      <c r="Z68" s="201"/>
      <c r="AA68" s="201"/>
      <c r="AB68" s="201"/>
      <c r="AC68" s="201"/>
      <c r="AD68" s="201"/>
      <c r="AE68" s="201"/>
      <c r="AF68" s="526"/>
      <c r="AG68" s="526"/>
      <c r="AH68" s="526"/>
      <c r="AI68" s="526"/>
      <c r="AJ68" s="437"/>
      <c r="AK68" s="437"/>
      <c r="AL68" s="437"/>
      <c r="AM68" s="434"/>
      <c r="AN68" s="434"/>
      <c r="AO68" s="434"/>
      <c r="AP68" s="434"/>
      <c r="AQ68" s="434"/>
      <c r="AR68" s="201"/>
      <c r="AS68" s="201"/>
      <c r="AT68" s="201"/>
      <c r="AU68" s="201"/>
      <c r="AV68" s="201"/>
      <c r="AW68" s="201"/>
      <c r="AX68" s="201"/>
      <c r="AY68" s="201"/>
      <c r="AZ68" s="201"/>
      <c r="BA68" s="201"/>
      <c r="BB68" s="201"/>
    </row>
  </sheetData>
  <mergeCells count="113">
    <mergeCell ref="AH38:AH39"/>
    <mergeCell ref="AH40:AH41"/>
    <mergeCell ref="AH42:AH43"/>
    <mergeCell ref="AH44:AH45"/>
    <mergeCell ref="AF34:AF35"/>
    <mergeCell ref="AG34:AG35"/>
    <mergeCell ref="AH34:AH35"/>
    <mergeCell ref="AG38:AG39"/>
    <mergeCell ref="AG40:AG41"/>
    <mergeCell ref="AG42:AG43"/>
    <mergeCell ref="AF38:AF39"/>
    <mergeCell ref="AF40:AF41"/>
    <mergeCell ref="AF42:AF43"/>
    <mergeCell ref="AF44:AF45"/>
    <mergeCell ref="AG44:AG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 ref="AG46:AG47"/>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22:B22"/>
    <mergeCell ref="A23:B23"/>
    <mergeCell ref="A24:B24"/>
    <mergeCell ref="A25:B25"/>
    <mergeCell ref="A27:AD27"/>
    <mergeCell ref="A28:A29"/>
    <mergeCell ref="B28:C2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s>
  <dataValidations count="3">
    <dataValidation type="textLength" operator="lessThanOrEqual" allowBlank="1" showInputMessage="1" showErrorMessage="1" errorTitle="Máximo 2.000 caracteres" error="Máximo 2.000 caracteres" sqref="Q38:AD47 AG44:AI44 Q34 W34 AA34 AJ44:AV45" xr:uid="{00000000-0002-0000-0100-000000000000}">
      <formula1>2000</formula1>
    </dataValidation>
    <dataValidation type="textLength" operator="lessThanOrEqual" allowBlank="1" showInputMessage="1" showErrorMessage="1" errorTitle="Máximo 2.000 caracteres" error="Máximo 2.000 caracteres" promptTitle="2.000 caracteres" sqref="AF30:AS30 Q30:AD30" xr:uid="{D38D317C-C352-42BC-BA6C-7A0245C01227}">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D19E3A7A-625A-4028-A70C-DF4B4E8F8D3F}">
      <formula1>$C$21:$N$21</formula1>
    </dataValidation>
  </dataValidations>
  <printOptions horizontalCentered="1"/>
  <pageMargins left="0.19685039370078741" right="0.19685039370078741" top="0.19685039370078741" bottom="0.19685039370078741" header="0" footer="0"/>
  <pageSetup scale="2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B65"/>
  <sheetViews>
    <sheetView showGridLines="0" view="pageBreakPreview" topLeftCell="T34" zoomScale="60" zoomScaleNormal="75" workbookViewId="0">
      <selection activeCell="AA34" sqref="AA34:AD35"/>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20.5703125" style="50" bestFit="1" customWidth="1"/>
    <col min="30" max="30" width="19.42578125" style="50" customWidth="1"/>
    <col min="31" max="31" width="6.28515625" style="50" bestFit="1" customWidth="1"/>
    <col min="32" max="33" width="25" style="50" customWidth="1"/>
    <col min="34" max="34" width="33.42578125" style="50" customWidth="1"/>
    <col min="35" max="36" width="25" style="50" customWidth="1"/>
    <col min="37" max="41" width="17.7109375" style="531" customWidth="1"/>
    <col min="42" max="45" width="17.7109375" style="716" customWidth="1"/>
    <col min="46" max="46" width="17.7109375" style="50" customWidth="1"/>
    <col min="47" max="16384" width="10.85546875" style="50"/>
  </cols>
  <sheetData>
    <row r="1" spans="1:30" ht="32.25" customHeight="1">
      <c r="A1" s="793"/>
      <c r="B1" s="796" t="s">
        <v>0</v>
      </c>
      <c r="C1" s="797"/>
      <c r="D1" s="797"/>
      <c r="E1" s="797"/>
      <c r="F1" s="797"/>
      <c r="G1" s="797"/>
      <c r="H1" s="797"/>
      <c r="I1" s="797"/>
      <c r="J1" s="797"/>
      <c r="K1" s="797"/>
      <c r="L1" s="797"/>
      <c r="M1" s="797"/>
      <c r="N1" s="797"/>
      <c r="O1" s="797"/>
      <c r="P1" s="797"/>
      <c r="Q1" s="797"/>
      <c r="R1" s="797"/>
      <c r="S1" s="797"/>
      <c r="T1" s="797"/>
      <c r="U1" s="797"/>
      <c r="V1" s="797"/>
      <c r="W1" s="797"/>
      <c r="X1" s="797"/>
      <c r="Y1" s="797"/>
      <c r="Z1" s="797"/>
      <c r="AA1" s="798"/>
      <c r="AB1" s="986" t="s">
        <v>1</v>
      </c>
      <c r="AC1" s="987"/>
      <c r="AD1" s="988"/>
    </row>
    <row r="2" spans="1:30" ht="30.75" customHeight="1">
      <c r="A2" s="794"/>
      <c r="B2" s="802" t="s">
        <v>2</v>
      </c>
      <c r="C2" s="803"/>
      <c r="D2" s="803"/>
      <c r="E2" s="803"/>
      <c r="F2" s="803"/>
      <c r="G2" s="803"/>
      <c r="H2" s="803"/>
      <c r="I2" s="803"/>
      <c r="J2" s="803"/>
      <c r="K2" s="803"/>
      <c r="L2" s="803"/>
      <c r="M2" s="803"/>
      <c r="N2" s="803"/>
      <c r="O2" s="803"/>
      <c r="P2" s="803"/>
      <c r="Q2" s="803"/>
      <c r="R2" s="803"/>
      <c r="S2" s="803"/>
      <c r="T2" s="803"/>
      <c r="U2" s="803"/>
      <c r="V2" s="803"/>
      <c r="W2" s="803"/>
      <c r="X2" s="803"/>
      <c r="Y2" s="803"/>
      <c r="Z2" s="803"/>
      <c r="AA2" s="804"/>
      <c r="AB2" s="989" t="s">
        <v>3</v>
      </c>
      <c r="AC2" s="990"/>
      <c r="AD2" s="991"/>
    </row>
    <row r="3" spans="1:30" ht="24" customHeight="1">
      <c r="A3" s="794"/>
      <c r="B3" s="808" t="s">
        <v>4</v>
      </c>
      <c r="C3" s="809"/>
      <c r="D3" s="809"/>
      <c r="E3" s="809"/>
      <c r="F3" s="809"/>
      <c r="G3" s="809"/>
      <c r="H3" s="809"/>
      <c r="I3" s="809"/>
      <c r="J3" s="809"/>
      <c r="K3" s="809"/>
      <c r="L3" s="809"/>
      <c r="M3" s="809"/>
      <c r="N3" s="809"/>
      <c r="O3" s="809"/>
      <c r="P3" s="809"/>
      <c r="Q3" s="809"/>
      <c r="R3" s="809"/>
      <c r="S3" s="809"/>
      <c r="T3" s="809"/>
      <c r="U3" s="809"/>
      <c r="V3" s="809"/>
      <c r="W3" s="809"/>
      <c r="X3" s="809"/>
      <c r="Y3" s="809"/>
      <c r="Z3" s="809"/>
      <c r="AA3" s="810"/>
      <c r="AB3" s="989" t="s">
        <v>5</v>
      </c>
      <c r="AC3" s="990"/>
      <c r="AD3" s="991"/>
    </row>
    <row r="4" spans="1:30" ht="21.95" customHeight="1" thickBot="1">
      <c r="A4" s="795"/>
      <c r="B4" s="811"/>
      <c r="C4" s="812"/>
      <c r="D4" s="812"/>
      <c r="E4" s="812"/>
      <c r="F4" s="812"/>
      <c r="G4" s="812"/>
      <c r="H4" s="812"/>
      <c r="I4" s="812"/>
      <c r="J4" s="812"/>
      <c r="K4" s="812"/>
      <c r="L4" s="812"/>
      <c r="M4" s="812"/>
      <c r="N4" s="812"/>
      <c r="O4" s="812"/>
      <c r="P4" s="812"/>
      <c r="Q4" s="812"/>
      <c r="R4" s="812"/>
      <c r="S4" s="812"/>
      <c r="T4" s="812"/>
      <c r="U4" s="812"/>
      <c r="V4" s="812"/>
      <c r="W4" s="812"/>
      <c r="X4" s="812"/>
      <c r="Y4" s="812"/>
      <c r="Z4" s="812"/>
      <c r="AA4" s="813"/>
      <c r="AB4" s="983" t="s">
        <v>6</v>
      </c>
      <c r="AC4" s="984"/>
      <c r="AD4" s="985"/>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817" t="s">
        <v>7</v>
      </c>
      <c r="B7" s="818"/>
      <c r="C7" s="826" t="s">
        <v>37</v>
      </c>
      <c r="D7" s="817" t="s">
        <v>9</v>
      </c>
      <c r="E7" s="829"/>
      <c r="F7" s="829"/>
      <c r="G7" s="829"/>
      <c r="H7" s="818"/>
      <c r="I7" s="832">
        <v>44839</v>
      </c>
      <c r="J7" s="833"/>
      <c r="K7" s="817" t="s">
        <v>10</v>
      </c>
      <c r="L7" s="818"/>
      <c r="M7" s="838" t="s">
        <v>11</v>
      </c>
      <c r="N7" s="839"/>
      <c r="O7" s="843"/>
      <c r="P7" s="844"/>
      <c r="Q7" s="54"/>
      <c r="R7" s="54"/>
      <c r="S7" s="54"/>
      <c r="T7" s="54"/>
      <c r="U7" s="54"/>
      <c r="V7" s="54"/>
      <c r="W7" s="54"/>
      <c r="X7" s="54"/>
      <c r="Y7" s="54"/>
      <c r="Z7" s="55"/>
      <c r="AA7" s="54"/>
      <c r="AB7" s="54"/>
      <c r="AC7" s="60"/>
      <c r="AD7" s="61"/>
    </row>
    <row r="8" spans="1:30" ht="15" customHeight="1">
      <c r="A8" s="819"/>
      <c r="B8" s="820"/>
      <c r="C8" s="827"/>
      <c r="D8" s="819"/>
      <c r="E8" s="830"/>
      <c r="F8" s="830"/>
      <c r="G8" s="830"/>
      <c r="H8" s="820"/>
      <c r="I8" s="834"/>
      <c r="J8" s="835"/>
      <c r="K8" s="819"/>
      <c r="L8" s="820"/>
      <c r="M8" s="845" t="s">
        <v>12</v>
      </c>
      <c r="N8" s="846"/>
      <c r="O8" s="847"/>
      <c r="P8" s="848"/>
      <c r="Q8" s="54"/>
      <c r="R8" s="54"/>
      <c r="S8" s="54"/>
      <c r="T8" s="54"/>
      <c r="U8" s="54"/>
      <c r="V8" s="54"/>
      <c r="W8" s="54"/>
      <c r="X8" s="54"/>
      <c r="Y8" s="54"/>
      <c r="Z8" s="55"/>
      <c r="AA8" s="54"/>
      <c r="AB8" s="54"/>
      <c r="AC8" s="60"/>
      <c r="AD8" s="61"/>
    </row>
    <row r="9" spans="1:30" ht="15.75" customHeight="1" thickBot="1">
      <c r="A9" s="821"/>
      <c r="B9" s="822"/>
      <c r="C9" s="828"/>
      <c r="D9" s="821"/>
      <c r="E9" s="831"/>
      <c r="F9" s="831"/>
      <c r="G9" s="831"/>
      <c r="H9" s="822"/>
      <c r="I9" s="836"/>
      <c r="J9" s="837"/>
      <c r="K9" s="821"/>
      <c r="L9" s="822"/>
      <c r="M9" s="849" t="s">
        <v>13</v>
      </c>
      <c r="N9" s="850"/>
      <c r="O9" s="851" t="s">
        <v>14</v>
      </c>
      <c r="P9" s="852"/>
      <c r="Q9" s="54"/>
      <c r="R9" s="54"/>
      <c r="S9" s="54"/>
      <c r="T9" s="54"/>
      <c r="U9" s="54"/>
      <c r="V9" s="54"/>
      <c r="W9" s="54"/>
      <c r="X9" s="54"/>
      <c r="Y9" s="54"/>
      <c r="Z9" s="55"/>
      <c r="AA9" s="54"/>
      <c r="AB9" s="54"/>
      <c r="AC9" s="60"/>
      <c r="AD9" s="61"/>
    </row>
    <row r="10" spans="1:30" ht="15" customHeight="1" thickBot="1">
      <c r="A10" s="158"/>
      <c r="B10" s="382"/>
      <c r="C10" s="382"/>
      <c r="D10" s="65"/>
      <c r="E10" s="65"/>
      <c r="F10" s="65"/>
      <c r="G10" s="65"/>
      <c r="H10" s="65"/>
      <c r="I10" s="383"/>
      <c r="J10" s="383"/>
      <c r="K10" s="65"/>
      <c r="L10" s="65"/>
      <c r="M10" s="156"/>
      <c r="N10" s="156"/>
      <c r="O10" s="157"/>
      <c r="P10" s="157"/>
      <c r="Q10" s="382"/>
      <c r="R10" s="382"/>
      <c r="S10" s="382"/>
      <c r="T10" s="382"/>
      <c r="U10" s="382"/>
      <c r="V10" s="382"/>
      <c r="W10" s="382"/>
      <c r="X10" s="382"/>
      <c r="Y10" s="382"/>
      <c r="Z10" s="384"/>
      <c r="AA10" s="382"/>
      <c r="AB10" s="382"/>
      <c r="AC10" s="385"/>
      <c r="AD10" s="159"/>
    </row>
    <row r="11" spans="1:30" ht="15" customHeight="1">
      <c r="A11" s="817" t="s">
        <v>15</v>
      </c>
      <c r="B11" s="818"/>
      <c r="C11" s="823" t="s">
        <v>16</v>
      </c>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5"/>
    </row>
    <row r="12" spans="1:30" ht="15" customHeight="1">
      <c r="A12" s="819"/>
      <c r="B12" s="820"/>
      <c r="C12" s="808"/>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10"/>
    </row>
    <row r="13" spans="1:30" ht="15" customHeight="1" thickBot="1">
      <c r="A13" s="821"/>
      <c r="B13" s="822"/>
      <c r="C13" s="811"/>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853" t="s">
        <v>17</v>
      </c>
      <c r="B15" s="854"/>
      <c r="C15" s="840" t="s">
        <v>18</v>
      </c>
      <c r="D15" s="841"/>
      <c r="E15" s="841"/>
      <c r="F15" s="841"/>
      <c r="G15" s="841"/>
      <c r="H15" s="841"/>
      <c r="I15" s="841"/>
      <c r="J15" s="841"/>
      <c r="K15" s="842"/>
      <c r="L15" s="855" t="s">
        <v>19</v>
      </c>
      <c r="M15" s="856"/>
      <c r="N15" s="856"/>
      <c r="O15" s="856"/>
      <c r="P15" s="856"/>
      <c r="Q15" s="857"/>
      <c r="R15" s="858" t="s">
        <v>20</v>
      </c>
      <c r="S15" s="859"/>
      <c r="T15" s="859"/>
      <c r="U15" s="859"/>
      <c r="V15" s="859"/>
      <c r="W15" s="859"/>
      <c r="X15" s="860"/>
      <c r="Y15" s="855" t="s">
        <v>21</v>
      </c>
      <c r="Z15" s="857"/>
      <c r="AA15" s="840" t="s">
        <v>22</v>
      </c>
      <c r="AB15" s="841"/>
      <c r="AC15" s="841"/>
      <c r="AD15" s="842"/>
    </row>
    <row r="16" spans="1:30" ht="9" customHeight="1" thickBot="1">
      <c r="A16" s="59"/>
      <c r="B16" s="54"/>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863"/>
      <c r="AC16" s="73"/>
      <c r="AD16" s="74"/>
    </row>
    <row r="17" spans="1:45" s="76" customFormat="1" ht="37.5" customHeight="1" thickBot="1">
      <c r="A17" s="853" t="s">
        <v>23</v>
      </c>
      <c r="B17" s="854"/>
      <c r="C17" s="978" t="s">
        <v>209</v>
      </c>
      <c r="D17" s="979"/>
      <c r="E17" s="979"/>
      <c r="F17" s="979"/>
      <c r="G17" s="979"/>
      <c r="H17" s="979"/>
      <c r="I17" s="979"/>
      <c r="J17" s="979"/>
      <c r="K17" s="979"/>
      <c r="L17" s="979"/>
      <c r="M17" s="979"/>
      <c r="N17" s="979"/>
      <c r="O17" s="979"/>
      <c r="P17" s="979"/>
      <c r="Q17" s="980"/>
      <c r="R17" s="855" t="s">
        <v>25</v>
      </c>
      <c r="S17" s="856"/>
      <c r="T17" s="856"/>
      <c r="U17" s="856"/>
      <c r="V17" s="857"/>
      <c r="W17" s="981">
        <v>1</v>
      </c>
      <c r="X17" s="982"/>
      <c r="Y17" s="856" t="s">
        <v>26</v>
      </c>
      <c r="Z17" s="856"/>
      <c r="AA17" s="856"/>
      <c r="AB17" s="857"/>
      <c r="AC17" s="869">
        <v>0.35</v>
      </c>
      <c r="AD17" s="870"/>
      <c r="AK17" s="532"/>
      <c r="AL17" s="532"/>
      <c r="AM17" s="532"/>
      <c r="AN17" s="532"/>
      <c r="AO17" s="532"/>
      <c r="AP17" s="731"/>
      <c r="AQ17" s="731"/>
      <c r="AR17" s="731"/>
      <c r="AS17" s="731"/>
    </row>
    <row r="18" spans="1:45"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5" ht="32.1" customHeight="1" thickBot="1">
      <c r="A19" s="855" t="s">
        <v>27</v>
      </c>
      <c r="B19" s="856"/>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7"/>
      <c r="AE19" s="83"/>
      <c r="AF19" s="83"/>
    </row>
    <row r="20" spans="1:45" ht="32.1" customHeight="1" thickBot="1">
      <c r="A20" s="82"/>
      <c r="B20" s="60"/>
      <c r="C20" s="855" t="s">
        <v>28</v>
      </c>
      <c r="D20" s="856"/>
      <c r="E20" s="856"/>
      <c r="F20" s="856"/>
      <c r="G20" s="856"/>
      <c r="H20" s="856"/>
      <c r="I20" s="856"/>
      <c r="J20" s="856"/>
      <c r="K20" s="856"/>
      <c r="L20" s="856"/>
      <c r="M20" s="856"/>
      <c r="N20" s="856"/>
      <c r="O20" s="856"/>
      <c r="P20" s="857"/>
      <c r="Q20" s="977" t="s">
        <v>29</v>
      </c>
      <c r="R20" s="975"/>
      <c r="S20" s="975"/>
      <c r="T20" s="975"/>
      <c r="U20" s="975"/>
      <c r="V20" s="975"/>
      <c r="W20" s="975"/>
      <c r="X20" s="975"/>
      <c r="Y20" s="975"/>
      <c r="Z20" s="975"/>
      <c r="AA20" s="975"/>
      <c r="AB20" s="975"/>
      <c r="AC20" s="975"/>
      <c r="AD20" s="976"/>
      <c r="AE20" s="83"/>
      <c r="AF20" s="83"/>
    </row>
    <row r="21" spans="1:45" ht="32.1" customHeight="1" thickBot="1">
      <c r="A21" s="59"/>
      <c r="B21" s="54"/>
      <c r="C21" s="378" t="s">
        <v>30</v>
      </c>
      <c r="D21" s="379" t="s">
        <v>31</v>
      </c>
      <c r="E21" s="379" t="s">
        <v>32</v>
      </c>
      <c r="F21" s="379" t="s">
        <v>33</v>
      </c>
      <c r="G21" s="379" t="s">
        <v>34</v>
      </c>
      <c r="H21" s="379" t="s">
        <v>35</v>
      </c>
      <c r="I21" s="379" t="s">
        <v>36</v>
      </c>
      <c r="J21" s="379" t="s">
        <v>8</v>
      </c>
      <c r="K21" s="379" t="s">
        <v>37</v>
      </c>
      <c r="L21" s="379" t="s">
        <v>38</v>
      </c>
      <c r="M21" s="379" t="s">
        <v>39</v>
      </c>
      <c r="N21" s="379" t="s">
        <v>40</v>
      </c>
      <c r="O21" s="379" t="s">
        <v>41</v>
      </c>
      <c r="P21" s="380" t="s">
        <v>42</v>
      </c>
      <c r="Q21" s="378" t="s">
        <v>30</v>
      </c>
      <c r="R21" s="379" t="s">
        <v>31</v>
      </c>
      <c r="S21" s="379" t="s">
        <v>32</v>
      </c>
      <c r="T21" s="379" t="s">
        <v>33</v>
      </c>
      <c r="U21" s="379" t="s">
        <v>34</v>
      </c>
      <c r="V21" s="379" t="s">
        <v>35</v>
      </c>
      <c r="W21" s="379" t="s">
        <v>36</v>
      </c>
      <c r="X21" s="379" t="s">
        <v>8</v>
      </c>
      <c r="Y21" s="379" t="s">
        <v>37</v>
      </c>
      <c r="Z21" s="379" t="s">
        <v>38</v>
      </c>
      <c r="AA21" s="379" t="s">
        <v>39</v>
      </c>
      <c r="AB21" s="379" t="s">
        <v>40</v>
      </c>
      <c r="AC21" s="379" t="s">
        <v>41</v>
      </c>
      <c r="AD21" s="380" t="s">
        <v>42</v>
      </c>
      <c r="AE21" s="3"/>
      <c r="AF21" s="3"/>
    </row>
    <row r="22" spans="1:45" ht="32.1" customHeight="1">
      <c r="A22" s="874" t="s">
        <v>43</v>
      </c>
      <c r="B22" s="950"/>
      <c r="C22" s="635">
        <v>0</v>
      </c>
      <c r="D22" s="636">
        <v>0</v>
      </c>
      <c r="E22" s="636">
        <v>0</v>
      </c>
      <c r="F22" s="636">
        <v>0</v>
      </c>
      <c r="G22" s="636">
        <v>0</v>
      </c>
      <c r="H22" s="636">
        <v>0</v>
      </c>
      <c r="I22" s="636">
        <v>0</v>
      </c>
      <c r="J22" s="636">
        <v>0</v>
      </c>
      <c r="K22" s="636">
        <v>0</v>
      </c>
      <c r="L22" s="636">
        <v>0</v>
      </c>
      <c r="M22" s="636">
        <v>0</v>
      </c>
      <c r="N22" s="636">
        <v>0</v>
      </c>
      <c r="O22" s="636">
        <f>SUM(C22:N22)</f>
        <v>0</v>
      </c>
      <c r="P22" s="637"/>
      <c r="Q22" s="750">
        <v>1230000000</v>
      </c>
      <c r="R22" s="636">
        <v>0</v>
      </c>
      <c r="S22" s="636">
        <v>0</v>
      </c>
      <c r="T22" s="636">
        <v>0</v>
      </c>
      <c r="U22" s="636">
        <v>0</v>
      </c>
      <c r="V22" s="636">
        <v>0</v>
      </c>
      <c r="W22" s="636">
        <v>0</v>
      </c>
      <c r="X22" s="636">
        <v>0</v>
      </c>
      <c r="Y22" s="636">
        <v>0</v>
      </c>
      <c r="Z22" s="636">
        <v>0</v>
      </c>
      <c r="AA22" s="636">
        <v>0</v>
      </c>
      <c r="AB22" s="636">
        <v>0</v>
      </c>
      <c r="AC22" s="692">
        <f>SUM(Q22:AB22)</f>
        <v>1230000000</v>
      </c>
      <c r="AD22" s="649"/>
      <c r="AE22" s="3"/>
      <c r="AF22" s="3"/>
    </row>
    <row r="23" spans="1:45" ht="32.1" customHeight="1">
      <c r="A23" s="861" t="s">
        <v>44</v>
      </c>
      <c r="B23" s="888"/>
      <c r="C23" s="635">
        <v>0</v>
      </c>
      <c r="D23" s="636">
        <v>0</v>
      </c>
      <c r="E23" s="636">
        <v>0</v>
      </c>
      <c r="F23" s="636">
        <v>0</v>
      </c>
      <c r="G23" s="636">
        <v>0</v>
      </c>
      <c r="H23" s="636">
        <v>0</v>
      </c>
      <c r="I23" s="636">
        <v>0</v>
      </c>
      <c r="J23" s="636">
        <v>0</v>
      </c>
      <c r="K23" s="636">
        <v>0</v>
      </c>
      <c r="L23" s="636">
        <v>0</v>
      </c>
      <c r="M23" s="636">
        <v>0</v>
      </c>
      <c r="N23" s="636">
        <v>0</v>
      </c>
      <c r="O23" s="639">
        <f>SUM(C23:N23)</f>
        <v>0</v>
      </c>
      <c r="P23" s="640" t="str">
        <f>IFERROR(O23/(SUMIF(C23:N23,"&gt;0",C22:N22))," ")</f>
        <v xml:space="preserve"> </v>
      </c>
      <c r="Q23" s="750">
        <v>1230000000</v>
      </c>
      <c r="R23" s="636">
        <v>0</v>
      </c>
      <c r="S23" s="636">
        <v>0</v>
      </c>
      <c r="T23" s="636">
        <v>0</v>
      </c>
      <c r="U23" s="636">
        <v>0</v>
      </c>
      <c r="V23" s="636">
        <v>0</v>
      </c>
      <c r="W23" s="636">
        <v>0</v>
      </c>
      <c r="X23" s="636">
        <v>0</v>
      </c>
      <c r="Y23" s="636">
        <v>0</v>
      </c>
      <c r="Z23" s="636">
        <v>0</v>
      </c>
      <c r="AA23" s="636">
        <v>0</v>
      </c>
      <c r="AB23" s="636">
        <v>0</v>
      </c>
      <c r="AC23" s="692">
        <f>SUM(Q23:AB23)</f>
        <v>1230000000</v>
      </c>
      <c r="AD23" s="640">
        <f>AC23/AC22</f>
        <v>1</v>
      </c>
      <c r="AE23" s="3"/>
      <c r="AF23" s="3"/>
    </row>
    <row r="24" spans="1:45" ht="32.1" customHeight="1">
      <c r="A24" s="861" t="s">
        <v>46</v>
      </c>
      <c r="B24" s="888"/>
      <c r="C24" s="635">
        <v>0</v>
      </c>
      <c r="D24" s="636">
        <v>0</v>
      </c>
      <c r="E24" s="636">
        <v>0</v>
      </c>
      <c r="F24" s="636">
        <v>0</v>
      </c>
      <c r="G24" s="636">
        <v>0</v>
      </c>
      <c r="H24" s="636">
        <v>0</v>
      </c>
      <c r="I24" s="636">
        <v>0</v>
      </c>
      <c r="J24" s="636">
        <v>0</v>
      </c>
      <c r="K24" s="636">
        <v>0</v>
      </c>
      <c r="L24" s="636">
        <v>0</v>
      </c>
      <c r="M24" s="636">
        <v>0</v>
      </c>
      <c r="N24" s="636">
        <v>0</v>
      </c>
      <c r="O24" s="639">
        <f>SUM(C24:N24)</f>
        <v>0</v>
      </c>
      <c r="P24" s="644"/>
      <c r="Q24" s="638">
        <v>0</v>
      </c>
      <c r="R24" s="643">
        <v>4666666.666666667</v>
      </c>
      <c r="S24" s="643">
        <v>14000000</v>
      </c>
      <c r="T24" s="643">
        <v>14000000</v>
      </c>
      <c r="U24" s="643">
        <v>14000000</v>
      </c>
      <c r="V24" s="643">
        <v>14000000</v>
      </c>
      <c r="W24" s="643">
        <v>167714285.7142857</v>
      </c>
      <c r="X24" s="643">
        <v>167714285.7142857</v>
      </c>
      <c r="Y24" s="643">
        <v>167714285.7142857</v>
      </c>
      <c r="Z24" s="643">
        <v>167714285.7142857</v>
      </c>
      <c r="AA24" s="643">
        <v>167714285.7142857</v>
      </c>
      <c r="AB24" s="643">
        <f>167714285.714286+163047619.047619</f>
        <v>330761904.76190495</v>
      </c>
      <c r="AC24" s="692">
        <f>SUM(Q24:AB24)</f>
        <v>1230000000.0000002</v>
      </c>
      <c r="AD24" s="640"/>
      <c r="AE24" s="3"/>
      <c r="AF24" s="3"/>
    </row>
    <row r="25" spans="1:45" ht="32.1" customHeight="1" thickBot="1">
      <c r="A25" s="876" t="s">
        <v>47</v>
      </c>
      <c r="B25" s="1064"/>
      <c r="C25" s="751">
        <v>0</v>
      </c>
      <c r="D25" s="652">
        <v>0</v>
      </c>
      <c r="E25" s="652">
        <v>0</v>
      </c>
      <c r="F25" s="652">
        <v>0</v>
      </c>
      <c r="G25" s="652">
        <v>0</v>
      </c>
      <c r="H25" s="652">
        <v>0</v>
      </c>
      <c r="I25" s="652">
        <v>0</v>
      </c>
      <c r="J25" s="652">
        <v>0</v>
      </c>
      <c r="K25" s="652">
        <v>0</v>
      </c>
      <c r="L25" s="652">
        <v>0</v>
      </c>
      <c r="M25" s="652">
        <v>0</v>
      </c>
      <c r="N25" s="652">
        <v>0</v>
      </c>
      <c r="O25" s="647">
        <f>SUM(C25:N25)</f>
        <v>0</v>
      </c>
      <c r="P25" s="470"/>
      <c r="Q25" s="752">
        <v>0</v>
      </c>
      <c r="R25" s="651">
        <v>0</v>
      </c>
      <c r="S25" s="651">
        <v>14000000</v>
      </c>
      <c r="T25" s="651">
        <v>659600000</v>
      </c>
      <c r="U25" s="651">
        <v>7000000</v>
      </c>
      <c r="V25" s="651">
        <v>21000000</v>
      </c>
      <c r="W25" s="651">
        <v>444400000</v>
      </c>
      <c r="X25" s="651">
        <v>14000000</v>
      </c>
      <c r="Y25" s="651">
        <v>14000000</v>
      </c>
      <c r="Z25" s="652"/>
      <c r="AA25" s="652"/>
      <c r="AB25" s="652"/>
      <c r="AC25" s="775">
        <f>SUM(Q25:AB25)</f>
        <v>1174000000</v>
      </c>
      <c r="AD25" s="470">
        <f>AC25/AC24</f>
        <v>0.95447154471544693</v>
      </c>
      <c r="AE25" s="3"/>
      <c r="AF25" s="3"/>
    </row>
    <row r="26" spans="1:45"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9"/>
      <c r="AF26" s="358"/>
      <c r="AG26" s="358"/>
    </row>
    <row r="27" spans="1:45" ht="33.950000000000003" customHeight="1">
      <c r="A27" s="878" t="s">
        <v>48</v>
      </c>
      <c r="B27" s="879"/>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0"/>
      <c r="AA27" s="880"/>
      <c r="AB27" s="880"/>
      <c r="AC27" s="880"/>
      <c r="AD27" s="881"/>
    </row>
    <row r="28" spans="1:45" ht="15" customHeight="1">
      <c r="A28" s="882" t="s">
        <v>49</v>
      </c>
      <c r="B28" s="884" t="s">
        <v>50</v>
      </c>
      <c r="C28" s="885"/>
      <c r="D28" s="888" t="s">
        <v>51</v>
      </c>
      <c r="E28" s="889"/>
      <c r="F28" s="889"/>
      <c r="G28" s="889"/>
      <c r="H28" s="889"/>
      <c r="I28" s="889"/>
      <c r="J28" s="889"/>
      <c r="K28" s="889"/>
      <c r="L28" s="889"/>
      <c r="M28" s="889"/>
      <c r="N28" s="889"/>
      <c r="O28" s="890"/>
      <c r="P28" s="891" t="s">
        <v>41</v>
      </c>
      <c r="Q28" s="891" t="s">
        <v>52</v>
      </c>
      <c r="R28" s="891"/>
      <c r="S28" s="891"/>
      <c r="T28" s="891"/>
      <c r="U28" s="891"/>
      <c r="V28" s="891"/>
      <c r="W28" s="891"/>
      <c r="X28" s="891"/>
      <c r="Y28" s="891"/>
      <c r="Z28" s="891"/>
      <c r="AA28" s="891"/>
      <c r="AB28" s="891"/>
      <c r="AC28" s="891"/>
      <c r="AD28" s="862"/>
    </row>
    <row r="29" spans="1:45" ht="27" customHeight="1">
      <c r="A29" s="883"/>
      <c r="B29" s="886"/>
      <c r="C29" s="887"/>
      <c r="D29" s="88" t="s">
        <v>30</v>
      </c>
      <c r="E29" s="88" t="s">
        <v>31</v>
      </c>
      <c r="F29" s="88" t="s">
        <v>32</v>
      </c>
      <c r="G29" s="88" t="s">
        <v>33</v>
      </c>
      <c r="H29" s="88" t="s">
        <v>34</v>
      </c>
      <c r="I29" s="88" t="s">
        <v>35</v>
      </c>
      <c r="J29" s="88" t="s">
        <v>36</v>
      </c>
      <c r="K29" s="88" t="s">
        <v>8</v>
      </c>
      <c r="L29" s="88" t="s">
        <v>37</v>
      </c>
      <c r="M29" s="88" t="s">
        <v>38</v>
      </c>
      <c r="N29" s="88" t="s">
        <v>39</v>
      </c>
      <c r="O29" s="88" t="s">
        <v>40</v>
      </c>
      <c r="P29" s="890"/>
      <c r="Q29" s="891"/>
      <c r="R29" s="891"/>
      <c r="S29" s="891"/>
      <c r="T29" s="891"/>
      <c r="U29" s="891"/>
      <c r="V29" s="891"/>
      <c r="W29" s="891"/>
      <c r="X29" s="891"/>
      <c r="Y29" s="891"/>
      <c r="Z29" s="891"/>
      <c r="AA29" s="891"/>
      <c r="AB29" s="891"/>
      <c r="AC29" s="891"/>
      <c r="AD29" s="862"/>
    </row>
    <row r="30" spans="1:45" ht="96" customHeight="1" thickBot="1">
      <c r="A30" s="377" t="str">
        <f>C17</f>
        <v xml:space="preserve">Diseñar e Implementar 1 programa piloto para promover la autonomía económica de las mujeres cuidadoras en el marco de la estrategia de emprendimiento y empleabilidad de la SDMujer </v>
      </c>
      <c r="B30" s="969"/>
      <c r="C30" s="970"/>
      <c r="D30" s="89"/>
      <c r="E30" s="89"/>
      <c r="F30" s="89"/>
      <c r="G30" s="89"/>
      <c r="H30" s="89"/>
      <c r="I30" s="89"/>
      <c r="J30" s="89"/>
      <c r="K30" s="89"/>
      <c r="L30" s="89"/>
      <c r="M30" s="89"/>
      <c r="N30" s="89"/>
      <c r="O30" s="89"/>
      <c r="P30" s="86">
        <f>SUM(D30:O30)</f>
        <v>0</v>
      </c>
      <c r="Q30" s="971" t="s">
        <v>204</v>
      </c>
      <c r="R30" s="971"/>
      <c r="S30" s="971"/>
      <c r="T30" s="971"/>
      <c r="U30" s="971"/>
      <c r="V30" s="971"/>
      <c r="W30" s="971"/>
      <c r="X30" s="971"/>
      <c r="Y30" s="971"/>
      <c r="Z30" s="971"/>
      <c r="AA30" s="971"/>
      <c r="AB30" s="971"/>
      <c r="AC30" s="971"/>
      <c r="AD30" s="972"/>
    </row>
    <row r="31" spans="1:45" ht="45" customHeight="1">
      <c r="A31" s="897" t="s">
        <v>54</v>
      </c>
      <c r="B31" s="898"/>
      <c r="C31" s="898"/>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9"/>
      <c r="AL31" s="531" t="s">
        <v>210</v>
      </c>
    </row>
    <row r="32" spans="1:45" ht="23.1" customHeight="1">
      <c r="A32" s="861" t="s">
        <v>55</v>
      </c>
      <c r="B32" s="891" t="s">
        <v>56</v>
      </c>
      <c r="C32" s="891" t="s">
        <v>50</v>
      </c>
      <c r="D32" s="891" t="s">
        <v>57</v>
      </c>
      <c r="E32" s="891"/>
      <c r="F32" s="891"/>
      <c r="G32" s="891"/>
      <c r="H32" s="891"/>
      <c r="I32" s="891"/>
      <c r="J32" s="891"/>
      <c r="K32" s="891"/>
      <c r="L32" s="891"/>
      <c r="M32" s="891"/>
      <c r="N32" s="891"/>
      <c r="O32" s="891"/>
      <c r="P32" s="891"/>
      <c r="Q32" s="891" t="s">
        <v>58</v>
      </c>
      <c r="R32" s="891"/>
      <c r="S32" s="891"/>
      <c r="T32" s="891"/>
      <c r="U32" s="891"/>
      <c r="V32" s="891"/>
      <c r="W32" s="891"/>
      <c r="X32" s="891"/>
      <c r="Y32" s="891"/>
      <c r="Z32" s="891"/>
      <c r="AA32" s="891"/>
      <c r="AB32" s="891"/>
      <c r="AC32" s="891"/>
      <c r="AD32" s="862"/>
      <c r="AF32" s="512"/>
      <c r="AL32" s="538"/>
      <c r="AM32" s="538"/>
      <c r="AN32" s="538"/>
      <c r="AO32" s="538"/>
      <c r="AP32" s="719"/>
      <c r="AQ32" s="719"/>
      <c r="AR32" s="719"/>
    </row>
    <row r="33" spans="1:44" ht="23.1" customHeight="1">
      <c r="A33" s="861"/>
      <c r="B33" s="891"/>
      <c r="C33" s="900"/>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886" t="s">
        <v>59</v>
      </c>
      <c r="R33" s="901"/>
      <c r="S33" s="901"/>
      <c r="T33" s="901"/>
      <c r="U33" s="901"/>
      <c r="V33" s="887"/>
      <c r="W33" s="886" t="s">
        <v>60</v>
      </c>
      <c r="X33" s="901"/>
      <c r="Y33" s="901"/>
      <c r="Z33" s="887"/>
      <c r="AA33" s="886" t="s">
        <v>61</v>
      </c>
      <c r="AB33" s="901"/>
      <c r="AC33" s="901"/>
      <c r="AD33" s="910"/>
      <c r="AF33" s="98" t="s">
        <v>121</v>
      </c>
      <c r="AG33" s="98" t="s">
        <v>122</v>
      </c>
      <c r="AH33" s="98" t="s">
        <v>123</v>
      </c>
      <c r="AI33" s="98" t="s">
        <v>124</v>
      </c>
      <c r="AJ33" s="98"/>
      <c r="AK33" s="541" t="s">
        <v>62</v>
      </c>
      <c r="AL33" s="541" t="s">
        <v>63</v>
      </c>
      <c r="AM33" s="541" t="s">
        <v>64</v>
      </c>
      <c r="AN33" s="541" t="s">
        <v>65</v>
      </c>
      <c r="AO33" s="541" t="s">
        <v>66</v>
      </c>
      <c r="AP33" s="723" t="s">
        <v>67</v>
      </c>
      <c r="AQ33" s="723" t="s">
        <v>68</v>
      </c>
      <c r="AR33" s="723" t="s">
        <v>211</v>
      </c>
    </row>
    <row r="34" spans="1:44" ht="139.5" customHeight="1">
      <c r="A34" s="954" t="s">
        <v>212</v>
      </c>
      <c r="B34" s="913">
        <f>B38+B40+B42+B44</f>
        <v>0.35000000000000003</v>
      </c>
      <c r="C34" s="90" t="s">
        <v>70</v>
      </c>
      <c r="D34" s="167">
        <f>D65</f>
        <v>0</v>
      </c>
      <c r="E34" s="167">
        <f t="shared" ref="E34:O34" si="0">E65</f>
        <v>0.20476190476190476</v>
      </c>
      <c r="F34" s="167">
        <f t="shared" si="0"/>
        <v>0.24557823129251702</v>
      </c>
      <c r="G34" s="167">
        <f t="shared" si="0"/>
        <v>0.24557823129251702</v>
      </c>
      <c r="H34" s="167">
        <f t="shared" si="0"/>
        <v>5.5102040816326539E-2</v>
      </c>
      <c r="I34" s="167">
        <f t="shared" si="0"/>
        <v>5.5102040816326539E-2</v>
      </c>
      <c r="J34" s="167">
        <f t="shared" si="0"/>
        <v>5.5102040816326539E-2</v>
      </c>
      <c r="K34" s="167">
        <f t="shared" si="0"/>
        <v>5.5102040816326539E-2</v>
      </c>
      <c r="L34" s="167">
        <f t="shared" si="0"/>
        <v>5.5102040816326539E-2</v>
      </c>
      <c r="M34" s="167">
        <f t="shared" si="0"/>
        <v>1.428571428571429E-2</v>
      </c>
      <c r="N34" s="167">
        <f t="shared" si="0"/>
        <v>1.428571428571429E-2</v>
      </c>
      <c r="O34" s="167">
        <f t="shared" si="0"/>
        <v>0</v>
      </c>
      <c r="P34" s="180">
        <f>SUM(D34:O34)</f>
        <v>1</v>
      </c>
      <c r="Q34" s="1047" t="s">
        <v>213</v>
      </c>
      <c r="R34" s="1048"/>
      <c r="S34" s="1048"/>
      <c r="T34" s="1048"/>
      <c r="U34" s="1048"/>
      <c r="V34" s="1049"/>
      <c r="W34" s="1053" t="s">
        <v>1285</v>
      </c>
      <c r="X34" s="1054"/>
      <c r="Y34" s="1054"/>
      <c r="Z34" s="1054"/>
      <c r="AA34" s="1057" t="s">
        <v>214</v>
      </c>
      <c r="AB34" s="1009"/>
      <c r="AC34" s="1009"/>
      <c r="AD34" s="1010"/>
      <c r="AF34" s="1042" t="s">
        <v>215</v>
      </c>
      <c r="AG34" s="1042" t="s">
        <v>216</v>
      </c>
      <c r="AH34" s="1042" t="s">
        <v>217</v>
      </c>
      <c r="AI34" s="1042"/>
      <c r="AK34" s="531" t="s">
        <v>204</v>
      </c>
      <c r="AL34" s="531" t="s">
        <v>132</v>
      </c>
      <c r="AM34" s="531" t="s">
        <v>218</v>
      </c>
      <c r="AN34" s="531" t="s">
        <v>219</v>
      </c>
      <c r="AO34" s="531" t="s">
        <v>220</v>
      </c>
      <c r="AP34" s="732" t="s">
        <v>221</v>
      </c>
      <c r="AQ34" s="732" t="s">
        <v>222</v>
      </c>
      <c r="AR34" s="732" t="s">
        <v>223</v>
      </c>
    </row>
    <row r="35" spans="1:44" ht="139.5" customHeight="1" thickBot="1">
      <c r="A35" s="955"/>
      <c r="B35" s="956"/>
      <c r="C35" s="409" t="s">
        <v>79</v>
      </c>
      <c r="D35" s="410">
        <f>D62</f>
        <v>0</v>
      </c>
      <c r="E35" s="410">
        <f t="shared" ref="E35:O35" si="1">E62</f>
        <v>0.20285714285714285</v>
      </c>
      <c r="F35" s="410">
        <f t="shared" si="1"/>
        <v>0.20380857142857142</v>
      </c>
      <c r="G35" s="410">
        <f t="shared" si="1"/>
        <v>0.15237142857142857</v>
      </c>
      <c r="H35" s="410">
        <f t="shared" si="1"/>
        <v>6.8571428571428575E-2</v>
      </c>
      <c r="I35" s="410">
        <f t="shared" si="1"/>
        <v>5.4285714285714298E-2</v>
      </c>
      <c r="J35" s="410">
        <f t="shared" si="1"/>
        <v>1.428571428571429E-2</v>
      </c>
      <c r="K35" s="410">
        <f t="shared" si="1"/>
        <v>9.5102040816326561E-2</v>
      </c>
      <c r="L35" s="410">
        <f t="shared" si="1"/>
        <v>0.1359183673469388</v>
      </c>
      <c r="M35" s="410">
        <f t="shared" si="1"/>
        <v>0</v>
      </c>
      <c r="N35" s="410">
        <f t="shared" si="1"/>
        <v>0</v>
      </c>
      <c r="O35" s="410">
        <f t="shared" si="1"/>
        <v>0</v>
      </c>
      <c r="P35" s="367">
        <f>SUM(D35:O35)</f>
        <v>0.92720040816326543</v>
      </c>
      <c r="Q35" s="1050"/>
      <c r="R35" s="1051"/>
      <c r="S35" s="1051"/>
      <c r="T35" s="1051"/>
      <c r="U35" s="1051"/>
      <c r="V35" s="1052"/>
      <c r="W35" s="1055"/>
      <c r="X35" s="1056"/>
      <c r="Y35" s="1056"/>
      <c r="Z35" s="1056"/>
      <c r="AA35" s="1011"/>
      <c r="AB35" s="1012"/>
      <c r="AC35" s="1012"/>
      <c r="AD35" s="1013"/>
      <c r="AE35" s="49"/>
      <c r="AF35" s="1042"/>
      <c r="AG35" s="1042"/>
      <c r="AH35" s="1042"/>
      <c r="AI35" s="1042"/>
      <c r="AK35" s="733"/>
      <c r="AL35" s="730">
        <f t="shared" ref="AL35:AQ35" si="2">LEN(AL34)</f>
        <v>288</v>
      </c>
      <c r="AM35" s="730">
        <f t="shared" si="2"/>
        <v>296</v>
      </c>
      <c r="AN35" s="730">
        <f t="shared" si="2"/>
        <v>251</v>
      </c>
      <c r="AO35" s="730">
        <f t="shared" si="2"/>
        <v>299</v>
      </c>
      <c r="AP35" s="730">
        <f t="shared" si="2"/>
        <v>301</v>
      </c>
      <c r="AQ35" s="730">
        <f t="shared" si="2"/>
        <v>223</v>
      </c>
      <c r="AR35" s="730">
        <f t="shared" ref="AR35" si="3">LEN(AR34)</f>
        <v>300</v>
      </c>
    </row>
    <row r="36" spans="1:44" ht="26.1" customHeight="1">
      <c r="A36" s="874" t="s">
        <v>80</v>
      </c>
      <c r="B36" s="947" t="s">
        <v>81</v>
      </c>
      <c r="C36" s="949" t="s">
        <v>82</v>
      </c>
      <c r="D36" s="949"/>
      <c r="E36" s="949"/>
      <c r="F36" s="949"/>
      <c r="G36" s="949"/>
      <c r="H36" s="949"/>
      <c r="I36" s="949"/>
      <c r="J36" s="949"/>
      <c r="K36" s="949"/>
      <c r="L36" s="949"/>
      <c r="M36" s="949"/>
      <c r="N36" s="949"/>
      <c r="O36" s="949"/>
      <c r="P36" s="949"/>
      <c r="Q36" s="950" t="s">
        <v>83</v>
      </c>
      <c r="R36" s="951"/>
      <c r="S36" s="951"/>
      <c r="T36" s="951"/>
      <c r="U36" s="951"/>
      <c r="V36" s="951"/>
      <c r="W36" s="951"/>
      <c r="X36" s="951"/>
      <c r="Y36" s="951"/>
      <c r="Z36" s="951"/>
      <c r="AA36" s="951"/>
      <c r="AB36" s="951"/>
      <c r="AC36" s="951"/>
      <c r="AD36" s="952"/>
      <c r="AF36" s="529"/>
      <c r="AG36" s="87"/>
      <c r="AH36" s="87"/>
      <c r="AI36" s="87"/>
      <c r="AJ36" s="87"/>
      <c r="AK36" s="538"/>
      <c r="AL36" s="538"/>
      <c r="AM36" s="538"/>
      <c r="AN36" s="538"/>
      <c r="AO36" s="538"/>
      <c r="AP36" s="719"/>
      <c r="AQ36" s="719"/>
      <c r="AR36" s="719"/>
    </row>
    <row r="37" spans="1:44" ht="26.1" customHeight="1">
      <c r="A37" s="861"/>
      <c r="B37" s="948"/>
      <c r="C37" s="88" t="s">
        <v>84</v>
      </c>
      <c r="D37" s="88" t="s">
        <v>85</v>
      </c>
      <c r="E37" s="88" t="s">
        <v>86</v>
      </c>
      <c r="F37" s="88" t="s">
        <v>87</v>
      </c>
      <c r="G37" s="88" t="s">
        <v>88</v>
      </c>
      <c r="H37" s="88" t="s">
        <v>89</v>
      </c>
      <c r="I37" s="88" t="s">
        <v>90</v>
      </c>
      <c r="J37" s="88" t="s">
        <v>91</v>
      </c>
      <c r="K37" s="88" t="s">
        <v>92</v>
      </c>
      <c r="L37" s="88" t="s">
        <v>93</v>
      </c>
      <c r="M37" s="88" t="s">
        <v>94</v>
      </c>
      <c r="N37" s="88" t="s">
        <v>95</v>
      </c>
      <c r="O37" s="88" t="s">
        <v>96</v>
      </c>
      <c r="P37" s="88" t="s">
        <v>97</v>
      </c>
      <c r="Q37" s="888" t="s">
        <v>98</v>
      </c>
      <c r="R37" s="889"/>
      <c r="S37" s="889"/>
      <c r="T37" s="889"/>
      <c r="U37" s="889"/>
      <c r="V37" s="889"/>
      <c r="W37" s="889"/>
      <c r="X37" s="889"/>
      <c r="Y37" s="889"/>
      <c r="Z37" s="889"/>
      <c r="AA37" s="889"/>
      <c r="AB37" s="889"/>
      <c r="AC37" s="889"/>
      <c r="AD37" s="953"/>
      <c r="AF37" s="156" t="s">
        <v>139</v>
      </c>
      <c r="AG37" s="780" t="s">
        <v>122</v>
      </c>
      <c r="AH37" s="433" t="s">
        <v>123</v>
      </c>
      <c r="AI37" s="433" t="s">
        <v>124</v>
      </c>
      <c r="AJ37" s="94"/>
      <c r="AK37" s="539"/>
      <c r="AL37" s="539"/>
      <c r="AM37" s="539"/>
      <c r="AN37" s="539"/>
      <c r="AO37" s="539"/>
      <c r="AP37" s="723"/>
      <c r="AQ37" s="723"/>
      <c r="AR37" s="723"/>
    </row>
    <row r="38" spans="1:44" ht="34.5" customHeight="1">
      <c r="A38" s="937" t="s">
        <v>224</v>
      </c>
      <c r="B38" s="939">
        <v>0.1</v>
      </c>
      <c r="C38" s="90" t="s">
        <v>70</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4">SUM(D38:O38)</f>
        <v>1</v>
      </c>
      <c r="Q38" s="1038" t="s">
        <v>225</v>
      </c>
      <c r="R38" s="1039"/>
      <c r="S38" s="1039"/>
      <c r="T38" s="1039"/>
      <c r="U38" s="1039"/>
      <c r="V38" s="1039"/>
      <c r="W38" s="1039"/>
      <c r="X38" s="1039"/>
      <c r="Y38" s="1039"/>
      <c r="Z38" s="1039"/>
      <c r="AA38" s="1039"/>
      <c r="AB38" s="1039"/>
      <c r="AC38" s="1039"/>
      <c r="AD38" s="1040"/>
      <c r="AE38" s="97"/>
      <c r="AF38" s="1021" t="s">
        <v>226</v>
      </c>
      <c r="AG38" s="779" t="s">
        <v>227</v>
      </c>
      <c r="AH38" s="779"/>
      <c r="AI38" s="779"/>
      <c r="AJ38" s="616"/>
      <c r="AK38" s="734"/>
      <c r="AL38" s="734"/>
      <c r="AM38" s="734"/>
      <c r="AN38" s="734"/>
      <c r="AO38" s="734"/>
      <c r="AP38" s="726"/>
      <c r="AQ38" s="726"/>
      <c r="AR38" s="726"/>
    </row>
    <row r="39" spans="1:44" ht="34.5" customHeight="1">
      <c r="A39" s="995"/>
      <c r="B39" s="1037"/>
      <c r="C39" s="99" t="s">
        <v>79</v>
      </c>
      <c r="D39" s="100">
        <v>0</v>
      </c>
      <c r="E39" s="100">
        <v>0.33</v>
      </c>
      <c r="F39" s="100">
        <v>0.33333000000000002</v>
      </c>
      <c r="G39" s="100">
        <v>0.33329999999999999</v>
      </c>
      <c r="H39" s="100">
        <v>0</v>
      </c>
      <c r="I39" s="100">
        <v>0</v>
      </c>
      <c r="J39" s="100">
        <v>0</v>
      </c>
      <c r="K39" s="100">
        <v>0</v>
      </c>
      <c r="L39" s="100">
        <v>0</v>
      </c>
      <c r="M39" s="100"/>
      <c r="N39" s="100"/>
      <c r="O39" s="100"/>
      <c r="P39" s="101">
        <f t="shared" si="4"/>
        <v>0.9966299999999999</v>
      </c>
      <c r="Q39" s="1041"/>
      <c r="R39" s="1042"/>
      <c r="S39" s="1042"/>
      <c r="T39" s="1042"/>
      <c r="U39" s="1042"/>
      <c r="V39" s="1042"/>
      <c r="W39" s="1042"/>
      <c r="X39" s="1042"/>
      <c r="Y39" s="1042"/>
      <c r="Z39" s="1042"/>
      <c r="AA39" s="1042"/>
      <c r="AB39" s="1042"/>
      <c r="AC39" s="1042"/>
      <c r="AD39" s="1043"/>
      <c r="AE39" s="97"/>
      <c r="AF39" s="1021"/>
      <c r="AG39" s="666"/>
      <c r="AH39" s="666"/>
      <c r="AI39" s="666"/>
      <c r="AK39" s="541"/>
      <c r="AL39" s="541"/>
      <c r="AM39" s="541"/>
      <c r="AN39" s="541"/>
    </row>
    <row r="40" spans="1:44" ht="53.25" customHeight="1">
      <c r="A40" s="937" t="s">
        <v>228</v>
      </c>
      <c r="B40" s="939">
        <v>0.1</v>
      </c>
      <c r="C40" s="90" t="s">
        <v>70</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4"/>
        <v>1</v>
      </c>
      <c r="Q40" s="1058" t="s">
        <v>229</v>
      </c>
      <c r="R40" s="1059"/>
      <c r="S40" s="1059"/>
      <c r="T40" s="1059"/>
      <c r="U40" s="1059"/>
      <c r="V40" s="1059"/>
      <c r="W40" s="1059"/>
      <c r="X40" s="1059"/>
      <c r="Y40" s="1059"/>
      <c r="Z40" s="1059"/>
      <c r="AA40" s="1059"/>
      <c r="AB40" s="1059"/>
      <c r="AC40" s="1059"/>
      <c r="AD40" s="1060"/>
      <c r="AE40" s="97"/>
      <c r="AF40" s="1021" t="s">
        <v>230</v>
      </c>
      <c r="AG40" s="779" t="s">
        <v>231</v>
      </c>
      <c r="AH40" s="779"/>
      <c r="AI40" s="779"/>
      <c r="AJ40" s="616"/>
      <c r="AK40" s="713" t="s">
        <v>204</v>
      </c>
      <c r="AO40" s="734"/>
      <c r="AP40" s="726"/>
      <c r="AQ40" s="726"/>
      <c r="AR40" s="726"/>
    </row>
    <row r="41" spans="1:44" ht="53.25" customHeight="1">
      <c r="A41" s="995"/>
      <c r="B41" s="1037"/>
      <c r="C41" s="99" t="s">
        <v>79</v>
      </c>
      <c r="D41" s="100">
        <v>0</v>
      </c>
      <c r="E41" s="100">
        <v>0.33</v>
      </c>
      <c r="F41" s="100">
        <v>0.33</v>
      </c>
      <c r="G41" s="100">
        <v>0.15</v>
      </c>
      <c r="H41" s="100">
        <v>0.19</v>
      </c>
      <c r="I41" s="100">
        <v>0</v>
      </c>
      <c r="J41" s="100">
        <v>0</v>
      </c>
      <c r="K41" s="100">
        <v>0</v>
      </c>
      <c r="L41" s="100">
        <v>0</v>
      </c>
      <c r="M41" s="100"/>
      <c r="N41" s="100"/>
      <c r="O41" s="100"/>
      <c r="P41" s="101">
        <f t="shared" si="4"/>
        <v>1</v>
      </c>
      <c r="Q41" s="1061"/>
      <c r="R41" s="1062"/>
      <c r="S41" s="1062"/>
      <c r="T41" s="1062"/>
      <c r="U41" s="1062"/>
      <c r="V41" s="1062"/>
      <c r="W41" s="1062"/>
      <c r="X41" s="1062"/>
      <c r="Y41" s="1062"/>
      <c r="Z41" s="1062"/>
      <c r="AA41" s="1062"/>
      <c r="AB41" s="1062"/>
      <c r="AC41" s="1062"/>
      <c r="AD41" s="1063"/>
      <c r="AE41" s="97"/>
      <c r="AF41" s="1021"/>
      <c r="AG41" s="666"/>
      <c r="AH41" s="666"/>
      <c r="AI41" s="666"/>
      <c r="AK41" s="733"/>
      <c r="AL41" s="730"/>
      <c r="AM41" s="730"/>
      <c r="AN41" s="730"/>
    </row>
    <row r="42" spans="1:44" ht="69" customHeight="1">
      <c r="A42" s="937" t="s">
        <v>232</v>
      </c>
      <c r="B42" s="1036">
        <v>0.1</v>
      </c>
      <c r="C42" s="102" t="s">
        <v>70</v>
      </c>
      <c r="D42" s="103">
        <v>0</v>
      </c>
      <c r="E42" s="103">
        <v>0</v>
      </c>
      <c r="F42" s="103">
        <f t="shared" ref="F42:L42" si="5">1/7</f>
        <v>0.14285714285714285</v>
      </c>
      <c r="G42" s="103">
        <f t="shared" si="5"/>
        <v>0.14285714285714285</v>
      </c>
      <c r="H42" s="103">
        <f t="shared" si="5"/>
        <v>0.14285714285714285</v>
      </c>
      <c r="I42" s="103">
        <f t="shared" si="5"/>
        <v>0.14285714285714285</v>
      </c>
      <c r="J42" s="103">
        <f t="shared" si="5"/>
        <v>0.14285714285714285</v>
      </c>
      <c r="K42" s="103">
        <f t="shared" si="5"/>
        <v>0.14285714285714285</v>
      </c>
      <c r="L42" s="103">
        <f t="shared" si="5"/>
        <v>0.14285714285714285</v>
      </c>
      <c r="M42" s="103">
        <v>0</v>
      </c>
      <c r="N42" s="103">
        <v>0</v>
      </c>
      <c r="O42" s="103">
        <v>0</v>
      </c>
      <c r="P42" s="101">
        <f t="shared" si="4"/>
        <v>0.99999999999999978</v>
      </c>
      <c r="Q42" s="1038" t="s">
        <v>233</v>
      </c>
      <c r="R42" s="1039"/>
      <c r="S42" s="1039"/>
      <c r="T42" s="1039"/>
      <c r="U42" s="1039"/>
      <c r="V42" s="1039"/>
      <c r="W42" s="1039"/>
      <c r="X42" s="1039"/>
      <c r="Y42" s="1039"/>
      <c r="Z42" s="1039"/>
      <c r="AA42" s="1039"/>
      <c r="AB42" s="1039"/>
      <c r="AC42" s="1039"/>
      <c r="AD42" s="1040"/>
      <c r="AE42" s="97"/>
      <c r="AF42" s="1021" t="s">
        <v>234</v>
      </c>
      <c r="AG42" s="779" t="s">
        <v>235</v>
      </c>
      <c r="AH42" s="1032" t="s">
        <v>236</v>
      </c>
      <c r="AI42" s="779"/>
      <c r="AJ42" s="616"/>
    </row>
    <row r="43" spans="1:44" ht="69" customHeight="1">
      <c r="A43" s="995"/>
      <c r="B43" s="1037"/>
      <c r="C43" s="99" t="s">
        <v>79</v>
      </c>
      <c r="D43" s="100">
        <v>0</v>
      </c>
      <c r="E43" s="100">
        <v>0</v>
      </c>
      <c r="F43" s="100">
        <v>0</v>
      </c>
      <c r="G43" s="100">
        <v>0</v>
      </c>
      <c r="H43" s="100">
        <v>0</v>
      </c>
      <c r="I43" s="100">
        <v>0.14000000000000001</v>
      </c>
      <c r="J43" s="100">
        <v>0</v>
      </c>
      <c r="K43" s="100">
        <f>14%+J42</f>
        <v>0.28285714285714286</v>
      </c>
      <c r="L43" s="104">
        <f>K43+L42</f>
        <v>0.42571428571428571</v>
      </c>
      <c r="M43" s="104"/>
      <c r="N43" s="104"/>
      <c r="O43" s="104"/>
      <c r="P43" s="101">
        <f>SUM(D43:O43)</f>
        <v>0.84857142857142853</v>
      </c>
      <c r="Q43" s="1041"/>
      <c r="R43" s="1042"/>
      <c r="S43" s="1042"/>
      <c r="T43" s="1042"/>
      <c r="U43" s="1042"/>
      <c r="V43" s="1042"/>
      <c r="W43" s="1042"/>
      <c r="X43" s="1042"/>
      <c r="Y43" s="1042"/>
      <c r="Z43" s="1042"/>
      <c r="AA43" s="1042"/>
      <c r="AB43" s="1042"/>
      <c r="AC43" s="1042"/>
      <c r="AD43" s="1043"/>
      <c r="AE43" s="97"/>
      <c r="AF43" s="1021"/>
      <c r="AG43" s="666"/>
      <c r="AH43" s="1032"/>
      <c r="AI43" s="666"/>
    </row>
    <row r="44" spans="1:44" ht="51.75" customHeight="1">
      <c r="A44" s="937" t="s">
        <v>237</v>
      </c>
      <c r="B44" s="1036">
        <v>0.05</v>
      </c>
      <c r="C44" s="102" t="s">
        <v>70</v>
      </c>
      <c r="D44" s="103">
        <v>0</v>
      </c>
      <c r="E44" s="103">
        <v>0.1</v>
      </c>
      <c r="F44" s="103">
        <f t="shared" ref="F44:N44" si="6">1/10</f>
        <v>0.1</v>
      </c>
      <c r="G44" s="103">
        <f t="shared" si="6"/>
        <v>0.1</v>
      </c>
      <c r="H44" s="103">
        <f t="shared" si="6"/>
        <v>0.1</v>
      </c>
      <c r="I44" s="103">
        <f t="shared" si="6"/>
        <v>0.1</v>
      </c>
      <c r="J44" s="103">
        <f t="shared" si="6"/>
        <v>0.1</v>
      </c>
      <c r="K44" s="103">
        <f t="shared" si="6"/>
        <v>0.1</v>
      </c>
      <c r="L44" s="103">
        <f t="shared" si="6"/>
        <v>0.1</v>
      </c>
      <c r="M44" s="103">
        <f t="shared" si="6"/>
        <v>0.1</v>
      </c>
      <c r="N44" s="103">
        <f t="shared" si="6"/>
        <v>0.1</v>
      </c>
      <c r="O44" s="103">
        <v>0</v>
      </c>
      <c r="P44" s="101">
        <f t="shared" si="4"/>
        <v>0.99999999999999989</v>
      </c>
      <c r="Q44" s="1038" t="s">
        <v>238</v>
      </c>
      <c r="R44" s="1039"/>
      <c r="S44" s="1039"/>
      <c r="T44" s="1039"/>
      <c r="U44" s="1039"/>
      <c r="V44" s="1039"/>
      <c r="W44" s="1039"/>
      <c r="X44" s="1039"/>
      <c r="Y44" s="1039"/>
      <c r="Z44" s="1039"/>
      <c r="AA44" s="1039"/>
      <c r="AB44" s="1039"/>
      <c r="AC44" s="1039"/>
      <c r="AD44" s="1040"/>
      <c r="AE44" s="97"/>
      <c r="AF44" s="1021" t="s">
        <v>239</v>
      </c>
      <c r="AG44" s="779" t="s">
        <v>240</v>
      </c>
      <c r="AH44" s="1032" t="s">
        <v>241</v>
      </c>
      <c r="AI44" s="779"/>
      <c r="AJ44" s="616"/>
    </row>
    <row r="45" spans="1:44" ht="51.75" customHeight="1" thickBot="1">
      <c r="A45" s="938"/>
      <c r="B45" s="940"/>
      <c r="C45" s="91" t="s">
        <v>79</v>
      </c>
      <c r="D45" s="105">
        <v>0</v>
      </c>
      <c r="E45" s="105">
        <v>0.1</v>
      </c>
      <c r="F45" s="105">
        <v>0.1</v>
      </c>
      <c r="G45" s="105">
        <v>0.1</v>
      </c>
      <c r="H45" s="105">
        <v>0.1</v>
      </c>
      <c r="I45" s="105">
        <v>0.1</v>
      </c>
      <c r="J45" s="105">
        <v>0.1</v>
      </c>
      <c r="K45" s="105">
        <v>0.1</v>
      </c>
      <c r="L45" s="106">
        <v>0.1</v>
      </c>
      <c r="M45" s="106"/>
      <c r="N45" s="106"/>
      <c r="O45" s="106"/>
      <c r="P45" s="107">
        <f t="shared" si="4"/>
        <v>0.79999999999999993</v>
      </c>
      <c r="Q45" s="1044"/>
      <c r="R45" s="1045"/>
      <c r="S45" s="1045"/>
      <c r="T45" s="1045"/>
      <c r="U45" s="1045"/>
      <c r="V45" s="1045"/>
      <c r="W45" s="1045"/>
      <c r="X45" s="1045"/>
      <c r="Y45" s="1045"/>
      <c r="Z45" s="1045"/>
      <c r="AA45" s="1045"/>
      <c r="AB45" s="1045"/>
      <c r="AC45" s="1045"/>
      <c r="AD45" s="1046"/>
      <c r="AE45" s="97"/>
      <c r="AF45" s="1021"/>
      <c r="AG45" s="666"/>
      <c r="AH45" s="1032"/>
      <c r="AI45" s="666"/>
    </row>
    <row r="46" spans="1:44">
      <c r="A46" s="50" t="s">
        <v>105</v>
      </c>
    </row>
    <row r="51" spans="1:54" s="191" customFormat="1" ht="21.75" customHeight="1">
      <c r="A51" s="1024" t="s">
        <v>196</v>
      </c>
      <c r="B51" s="1024" t="s">
        <v>81</v>
      </c>
      <c r="C51" s="1000" t="s">
        <v>82</v>
      </c>
      <c r="D51" s="1001"/>
      <c r="E51" s="1001"/>
      <c r="F51" s="1001"/>
      <c r="G51" s="1001"/>
      <c r="H51" s="1001"/>
      <c r="I51" s="1001"/>
      <c r="J51" s="1001"/>
      <c r="K51" s="1001"/>
      <c r="L51" s="1001"/>
      <c r="M51" s="1001"/>
      <c r="N51" s="1001"/>
      <c r="O51" s="1001"/>
      <c r="P51" s="1002"/>
      <c r="Q51" s="189"/>
      <c r="R51" s="189"/>
      <c r="S51" s="189"/>
      <c r="T51" s="189"/>
      <c r="U51" s="189"/>
      <c r="V51" s="189"/>
      <c r="W51" s="189"/>
      <c r="X51" s="189"/>
      <c r="Y51" s="189"/>
      <c r="Z51" s="189"/>
      <c r="AA51" s="189"/>
      <c r="AB51" s="189"/>
      <c r="AC51" s="189"/>
      <c r="AD51" s="189"/>
      <c r="AE51" s="189"/>
      <c r="AF51" s="189"/>
      <c r="AG51" s="189"/>
      <c r="AH51" s="189"/>
      <c r="AI51" s="189"/>
      <c r="AJ51" s="189"/>
      <c r="AK51" s="526"/>
      <c r="AL51" s="526"/>
      <c r="AM51" s="526"/>
      <c r="AN51" s="526"/>
      <c r="AO51" s="526"/>
      <c r="AP51" s="189"/>
      <c r="AQ51" s="189"/>
      <c r="AR51" s="189"/>
      <c r="AS51" s="189"/>
      <c r="AT51" s="190"/>
      <c r="AU51" s="190"/>
      <c r="AV51" s="190"/>
      <c r="AW51" s="190"/>
      <c r="AX51" s="190"/>
      <c r="AY51" s="190"/>
      <c r="AZ51" s="190"/>
      <c r="BA51" s="190"/>
      <c r="BB51" s="190"/>
    </row>
    <row r="52" spans="1:54" s="191" customFormat="1" ht="21.75" customHeight="1">
      <c r="A52" s="993"/>
      <c r="B52" s="993"/>
      <c r="C52" s="192" t="s">
        <v>84</v>
      </c>
      <c r="D52" s="192" t="s">
        <v>85</v>
      </c>
      <c r="E52" s="192" t="s">
        <v>86</v>
      </c>
      <c r="F52" s="192" t="s">
        <v>87</v>
      </c>
      <c r="G52" s="192" t="s">
        <v>88</v>
      </c>
      <c r="H52" s="192" t="s">
        <v>89</v>
      </c>
      <c r="I52" s="192" t="s">
        <v>90</v>
      </c>
      <c r="J52" s="192" t="s">
        <v>91</v>
      </c>
      <c r="K52" s="192" t="s">
        <v>92</v>
      </c>
      <c r="L52" s="192" t="s">
        <v>93</v>
      </c>
      <c r="M52" s="192" t="s">
        <v>94</v>
      </c>
      <c r="N52" s="192" t="s">
        <v>95</v>
      </c>
      <c r="O52" s="192" t="s">
        <v>96</v>
      </c>
      <c r="P52" s="192" t="s">
        <v>97</v>
      </c>
      <c r="Q52" s="189"/>
      <c r="R52" s="189"/>
      <c r="S52" s="189"/>
      <c r="T52" s="189"/>
      <c r="U52" s="189"/>
      <c r="V52" s="189"/>
      <c r="W52" s="189"/>
      <c r="X52" s="189"/>
      <c r="Y52" s="189"/>
      <c r="Z52" s="189"/>
      <c r="AA52" s="189"/>
      <c r="AB52" s="189"/>
      <c r="AC52" s="189"/>
      <c r="AD52" s="189"/>
      <c r="AE52" s="189"/>
      <c r="AF52" s="189"/>
      <c r="AG52" s="189"/>
      <c r="AH52" s="189"/>
      <c r="AI52" s="189"/>
      <c r="AJ52" s="189"/>
      <c r="AK52" s="526"/>
      <c r="AL52" s="526"/>
      <c r="AM52" s="526"/>
      <c r="AN52" s="526"/>
      <c r="AO52" s="526"/>
      <c r="AP52" s="189"/>
      <c r="AQ52" s="189"/>
      <c r="AR52" s="189"/>
      <c r="AS52" s="189"/>
      <c r="AT52" s="190"/>
      <c r="AU52" s="190"/>
      <c r="AV52" s="190"/>
      <c r="AW52" s="190"/>
      <c r="AX52" s="190"/>
      <c r="AY52" s="190"/>
      <c r="AZ52" s="190"/>
      <c r="BA52" s="190"/>
      <c r="BB52" s="190"/>
    </row>
    <row r="53" spans="1:54" s="191" customFormat="1" ht="12.75" customHeight="1">
      <c r="A53" s="992" t="str">
        <f>A38</f>
        <v xml:space="preserve">13. Estructurar los insumos técnicos del programa para el componente de seguimiento y monitoreo </v>
      </c>
      <c r="B53" s="992">
        <f>B38</f>
        <v>0.1</v>
      </c>
      <c r="C53" s="193" t="s">
        <v>70</v>
      </c>
      <c r="D53" s="350">
        <f>D38*$B$38/$P$38</f>
        <v>0</v>
      </c>
      <c r="E53" s="350">
        <f t="shared" ref="E53:O54" si="7">E38*$B$38/$P$38</f>
        <v>3.3333333333333333E-2</v>
      </c>
      <c r="F53" s="350">
        <f t="shared" si="7"/>
        <v>3.3333333333333333E-2</v>
      </c>
      <c r="G53" s="350">
        <f t="shared" si="7"/>
        <v>3.3333333333333333E-2</v>
      </c>
      <c r="H53" s="350">
        <f t="shared" si="7"/>
        <v>0</v>
      </c>
      <c r="I53" s="350">
        <f t="shared" si="7"/>
        <v>0</v>
      </c>
      <c r="J53" s="350">
        <f t="shared" si="7"/>
        <v>0</v>
      </c>
      <c r="K53" s="350">
        <f t="shared" si="7"/>
        <v>0</v>
      </c>
      <c r="L53" s="350">
        <f t="shared" si="7"/>
        <v>0</v>
      </c>
      <c r="M53" s="350">
        <f t="shared" si="7"/>
        <v>0</v>
      </c>
      <c r="N53" s="350">
        <f t="shared" si="7"/>
        <v>0</v>
      </c>
      <c r="O53" s="350">
        <f t="shared" si="7"/>
        <v>0</v>
      </c>
      <c r="P53" s="346">
        <f t="shared" ref="P53:P56" si="8">SUM(D53:O53)</f>
        <v>0.1</v>
      </c>
      <c r="Q53" s="194"/>
      <c r="R53" s="194"/>
      <c r="S53" s="194"/>
      <c r="T53" s="194"/>
      <c r="U53" s="194"/>
      <c r="V53" s="194"/>
      <c r="W53" s="194"/>
      <c r="X53" s="194"/>
      <c r="Y53" s="194"/>
      <c r="Z53" s="194"/>
      <c r="AA53" s="194"/>
      <c r="AB53" s="194"/>
      <c r="AC53" s="194"/>
      <c r="AD53" s="194"/>
      <c r="AE53" s="194"/>
      <c r="AF53" s="194"/>
      <c r="AG53" s="194"/>
      <c r="AH53" s="194"/>
      <c r="AI53" s="194"/>
      <c r="AJ53" s="194"/>
      <c r="AK53" s="525"/>
      <c r="AL53" s="525"/>
      <c r="AM53" s="525"/>
      <c r="AN53" s="525"/>
      <c r="AO53" s="525"/>
      <c r="AP53" s="194"/>
      <c r="AQ53" s="194"/>
      <c r="AR53" s="194"/>
      <c r="AS53" s="194"/>
      <c r="AT53" s="190"/>
      <c r="AU53" s="190"/>
      <c r="AV53" s="190"/>
      <c r="AW53" s="190"/>
      <c r="AX53" s="190"/>
      <c r="AY53" s="190"/>
      <c r="AZ53" s="190"/>
      <c r="BA53" s="190"/>
      <c r="BB53" s="190"/>
    </row>
    <row r="54" spans="1:54" s="191" customFormat="1" ht="12.75" customHeight="1">
      <c r="A54" s="993"/>
      <c r="B54" s="993"/>
      <c r="C54" s="195" t="s">
        <v>79</v>
      </c>
      <c r="D54" s="351">
        <f>D39*$B$38/$P$38</f>
        <v>0</v>
      </c>
      <c r="E54" s="351">
        <f t="shared" si="7"/>
        <v>3.3000000000000002E-2</v>
      </c>
      <c r="F54" s="351">
        <f t="shared" si="7"/>
        <v>3.3333000000000002E-2</v>
      </c>
      <c r="G54" s="351">
        <f t="shared" si="7"/>
        <v>3.3329999999999999E-2</v>
      </c>
      <c r="H54" s="351">
        <f t="shared" si="7"/>
        <v>0</v>
      </c>
      <c r="I54" s="351">
        <f t="shared" si="7"/>
        <v>0</v>
      </c>
      <c r="J54" s="351">
        <f t="shared" si="7"/>
        <v>0</v>
      </c>
      <c r="K54" s="351">
        <f t="shared" si="7"/>
        <v>0</v>
      </c>
      <c r="L54" s="351">
        <f t="shared" si="7"/>
        <v>0</v>
      </c>
      <c r="M54" s="351">
        <f t="shared" si="7"/>
        <v>0</v>
      </c>
      <c r="N54" s="351">
        <f t="shared" si="7"/>
        <v>0</v>
      </c>
      <c r="O54" s="351">
        <f t="shared" si="7"/>
        <v>0</v>
      </c>
      <c r="P54" s="197">
        <f t="shared" si="8"/>
        <v>9.9663000000000002E-2</v>
      </c>
      <c r="Q54" s="194"/>
      <c r="R54" s="194"/>
      <c r="S54" s="194"/>
      <c r="T54" s="194"/>
      <c r="U54" s="194"/>
      <c r="V54" s="194"/>
      <c r="W54" s="194"/>
      <c r="X54" s="194"/>
      <c r="Y54" s="194"/>
      <c r="Z54" s="194"/>
      <c r="AA54" s="194"/>
      <c r="AB54" s="194"/>
      <c r="AC54" s="194"/>
      <c r="AD54" s="194"/>
      <c r="AE54" s="194"/>
      <c r="AF54" s="194"/>
      <c r="AG54" s="194"/>
      <c r="AH54" s="194"/>
      <c r="AI54" s="194"/>
      <c r="AJ54" s="194"/>
      <c r="AK54" s="525"/>
      <c r="AL54" s="525"/>
      <c r="AM54" s="525"/>
      <c r="AN54" s="525"/>
      <c r="AO54" s="525"/>
      <c r="AP54" s="194"/>
      <c r="AQ54" s="194"/>
      <c r="AR54" s="194"/>
      <c r="AS54" s="194"/>
      <c r="AT54" s="190"/>
      <c r="AU54" s="190"/>
      <c r="AV54" s="190"/>
      <c r="AW54" s="190"/>
      <c r="AX54" s="190"/>
      <c r="AY54" s="190"/>
      <c r="AZ54" s="190"/>
      <c r="BA54" s="190"/>
      <c r="BB54" s="190"/>
    </row>
    <row r="55" spans="1:54" s="191" customFormat="1" ht="12.75" customHeight="1">
      <c r="A55" s="992" t="str">
        <f>+A40</f>
        <v>14. Diseñar e implementar el proceso de convocatoria con el fin de alcanzar la meta poblacional propuesta en el piloto y levantar una línea base de organizaciones productiva de mujeres cuidadoras asociadas</v>
      </c>
      <c r="B55" s="992">
        <f>B40</f>
        <v>0.1</v>
      </c>
      <c r="C55" s="193" t="s">
        <v>70</v>
      </c>
      <c r="D55" s="350">
        <f>D40*$B$40/$P$40</f>
        <v>0</v>
      </c>
      <c r="E55" s="350">
        <f t="shared" ref="E55:O55" si="9">E40*$B$40/$P$40</f>
        <v>3.3333333333333333E-2</v>
      </c>
      <c r="F55" s="350">
        <f t="shared" si="9"/>
        <v>3.3333333333333333E-2</v>
      </c>
      <c r="G55" s="350">
        <f t="shared" si="9"/>
        <v>3.3333333333333333E-2</v>
      </c>
      <c r="H55" s="350">
        <f t="shared" si="9"/>
        <v>0</v>
      </c>
      <c r="I55" s="350">
        <f t="shared" si="9"/>
        <v>0</v>
      </c>
      <c r="J55" s="350">
        <f t="shared" si="9"/>
        <v>0</v>
      </c>
      <c r="K55" s="350">
        <f t="shared" si="9"/>
        <v>0</v>
      </c>
      <c r="L55" s="350">
        <f t="shared" si="9"/>
        <v>0</v>
      </c>
      <c r="M55" s="350">
        <f t="shared" si="9"/>
        <v>0</v>
      </c>
      <c r="N55" s="350">
        <f t="shared" si="9"/>
        <v>0</v>
      </c>
      <c r="O55" s="350">
        <f t="shared" si="9"/>
        <v>0</v>
      </c>
      <c r="P55" s="346">
        <f t="shared" si="8"/>
        <v>0.1</v>
      </c>
      <c r="Q55" s="194"/>
      <c r="R55" s="194"/>
      <c r="S55" s="194"/>
      <c r="T55" s="194"/>
      <c r="U55" s="194"/>
      <c r="V55" s="194"/>
      <c r="W55" s="194"/>
      <c r="X55" s="194"/>
      <c r="Y55" s="194"/>
      <c r="Z55" s="194"/>
      <c r="AA55" s="194"/>
      <c r="AB55" s="194"/>
      <c r="AC55" s="194"/>
      <c r="AD55" s="194"/>
      <c r="AE55" s="194"/>
      <c r="AF55" s="194"/>
      <c r="AG55" s="194"/>
      <c r="AH55" s="194"/>
      <c r="AI55" s="194"/>
      <c r="AJ55" s="194"/>
      <c r="AK55" s="525"/>
      <c r="AL55" s="525"/>
      <c r="AM55" s="525"/>
      <c r="AN55" s="525"/>
      <c r="AO55" s="525"/>
      <c r="AP55" s="194"/>
      <c r="AQ55" s="194"/>
      <c r="AR55" s="194"/>
      <c r="AS55" s="194"/>
      <c r="AT55" s="190"/>
      <c r="AU55" s="190"/>
      <c r="AV55" s="190"/>
      <c r="AW55" s="190"/>
      <c r="AX55" s="190"/>
      <c r="AY55" s="190"/>
      <c r="AZ55" s="190"/>
      <c r="BA55" s="190"/>
      <c r="BB55" s="190"/>
    </row>
    <row r="56" spans="1:54" s="191" customFormat="1" ht="12.75" customHeight="1">
      <c r="A56" s="993"/>
      <c r="B56" s="993"/>
      <c r="C56" s="195" t="s">
        <v>79</v>
      </c>
      <c r="D56" s="351">
        <f t="shared" ref="D56:O56" si="10">D41*$B$40/$P$40</f>
        <v>0</v>
      </c>
      <c r="E56" s="351">
        <f t="shared" si="10"/>
        <v>3.3000000000000002E-2</v>
      </c>
      <c r="F56" s="351">
        <f t="shared" si="10"/>
        <v>3.3000000000000002E-2</v>
      </c>
      <c r="G56" s="351">
        <f t="shared" si="10"/>
        <v>1.4999999999999999E-2</v>
      </c>
      <c r="H56" s="351">
        <f t="shared" si="10"/>
        <v>1.9000000000000003E-2</v>
      </c>
      <c r="I56" s="351">
        <f t="shared" si="10"/>
        <v>0</v>
      </c>
      <c r="J56" s="351">
        <f t="shared" si="10"/>
        <v>0</v>
      </c>
      <c r="K56" s="351">
        <f t="shared" si="10"/>
        <v>0</v>
      </c>
      <c r="L56" s="351">
        <f t="shared" si="10"/>
        <v>0</v>
      </c>
      <c r="M56" s="351">
        <f t="shared" si="10"/>
        <v>0</v>
      </c>
      <c r="N56" s="351">
        <f t="shared" si="10"/>
        <v>0</v>
      </c>
      <c r="O56" s="351">
        <f t="shared" si="10"/>
        <v>0</v>
      </c>
      <c r="P56" s="197">
        <f t="shared" si="8"/>
        <v>0.1</v>
      </c>
      <c r="Q56" s="194"/>
      <c r="R56" s="194"/>
      <c r="S56" s="194"/>
      <c r="T56" s="194"/>
      <c r="U56" s="194"/>
      <c r="V56" s="194"/>
      <c r="W56" s="194"/>
      <c r="X56" s="194"/>
      <c r="Y56" s="194"/>
      <c r="Z56" s="194"/>
      <c r="AA56" s="194"/>
      <c r="AB56" s="194"/>
      <c r="AC56" s="194"/>
      <c r="AD56" s="194"/>
      <c r="AE56" s="194"/>
      <c r="AF56" s="194"/>
      <c r="AG56" s="194"/>
      <c r="AH56" s="194"/>
      <c r="AI56" s="194"/>
      <c r="AJ56" s="194"/>
      <c r="AK56" s="525"/>
      <c r="AL56" s="525"/>
      <c r="AM56" s="525"/>
      <c r="AN56" s="525"/>
      <c r="AO56" s="525"/>
      <c r="AP56" s="194"/>
      <c r="AQ56" s="194"/>
      <c r="AR56" s="194"/>
      <c r="AS56" s="194"/>
      <c r="AT56" s="190"/>
      <c r="AU56" s="190"/>
      <c r="AV56" s="190"/>
      <c r="AW56" s="190"/>
      <c r="AX56" s="190"/>
      <c r="AY56" s="190"/>
      <c r="AZ56" s="190"/>
      <c r="BA56" s="190"/>
      <c r="BB56" s="190"/>
    </row>
    <row r="57" spans="1:54" s="191" customFormat="1" ht="12.75" customHeight="1">
      <c r="A57" s="992" t="str">
        <f>A42</f>
        <v>15. Realizar seguimiento al cumplimiento de las horas de formación y mentoría personalizada y las acciones definidas en los planes de fortalecimiento organizativo de las organizaciones productivas de mujeres cuidadoras asociadas beneficiarias del piloto.</v>
      </c>
      <c r="B57" s="992">
        <f>B42</f>
        <v>0.1</v>
      </c>
      <c r="C57" s="193" t="s">
        <v>70</v>
      </c>
      <c r="D57" s="350">
        <f>D42*$B$42/$P$42</f>
        <v>0</v>
      </c>
      <c r="E57" s="350">
        <f t="shared" ref="E57:O58" si="11">E42*$B$42/$P$42</f>
        <v>0</v>
      </c>
      <c r="F57" s="350">
        <f t="shared" si="11"/>
        <v>1.4285714285714289E-2</v>
      </c>
      <c r="G57" s="350">
        <f t="shared" si="11"/>
        <v>1.4285714285714289E-2</v>
      </c>
      <c r="H57" s="350">
        <f t="shared" si="11"/>
        <v>1.4285714285714289E-2</v>
      </c>
      <c r="I57" s="350">
        <f t="shared" si="11"/>
        <v>1.4285714285714289E-2</v>
      </c>
      <c r="J57" s="350">
        <f t="shared" si="11"/>
        <v>1.4285714285714289E-2</v>
      </c>
      <c r="K57" s="350">
        <f t="shared" si="11"/>
        <v>1.4285714285714289E-2</v>
      </c>
      <c r="L57" s="350">
        <f t="shared" si="11"/>
        <v>1.4285714285714289E-2</v>
      </c>
      <c r="M57" s="350">
        <f t="shared" si="11"/>
        <v>0</v>
      </c>
      <c r="N57" s="350">
        <f t="shared" si="11"/>
        <v>0</v>
      </c>
      <c r="O57" s="350">
        <f t="shared" si="11"/>
        <v>0</v>
      </c>
      <c r="P57" s="346">
        <f t="shared" ref="P57:P60" si="12">SUM(D57:O57)</f>
        <v>0.10000000000000002</v>
      </c>
      <c r="Q57" s="194"/>
      <c r="R57" s="194"/>
      <c r="S57" s="194"/>
      <c r="T57" s="194"/>
      <c r="U57" s="194"/>
      <c r="V57" s="194"/>
      <c r="W57" s="194"/>
      <c r="X57" s="194"/>
      <c r="Y57" s="194"/>
      <c r="Z57" s="194"/>
      <c r="AA57" s="194"/>
      <c r="AB57" s="194"/>
      <c r="AC57" s="194"/>
      <c r="AD57" s="194"/>
      <c r="AE57" s="194"/>
      <c r="AF57" s="194"/>
      <c r="AG57" s="194"/>
      <c r="AH57" s="194"/>
      <c r="AI57" s="194"/>
      <c r="AJ57" s="194"/>
      <c r="AK57" s="525"/>
      <c r="AL57" s="525"/>
      <c r="AM57" s="525"/>
      <c r="AN57" s="525"/>
      <c r="AO57" s="525"/>
      <c r="AP57" s="194"/>
      <c r="AQ57" s="194"/>
      <c r="AR57" s="194"/>
      <c r="AS57" s="194"/>
      <c r="AT57" s="190"/>
      <c r="AU57" s="190"/>
      <c r="AV57" s="190"/>
      <c r="AW57" s="190"/>
      <c r="AX57" s="190"/>
      <c r="AY57" s="190"/>
      <c r="AZ57" s="190"/>
      <c r="BA57" s="190"/>
      <c r="BB57" s="190"/>
    </row>
    <row r="58" spans="1:54" s="191" customFormat="1" ht="12.75" customHeight="1">
      <c r="A58" s="993"/>
      <c r="B58" s="993"/>
      <c r="C58" s="195" t="s">
        <v>79</v>
      </c>
      <c r="D58" s="351">
        <f>D43*$B$42/$P$42</f>
        <v>0</v>
      </c>
      <c r="E58" s="351">
        <f t="shared" si="11"/>
        <v>0</v>
      </c>
      <c r="F58" s="351">
        <f t="shared" si="11"/>
        <v>0</v>
      </c>
      <c r="G58" s="351">
        <f t="shared" si="11"/>
        <v>0</v>
      </c>
      <c r="H58" s="351">
        <f t="shared" si="11"/>
        <v>0</v>
      </c>
      <c r="I58" s="351">
        <f t="shared" si="11"/>
        <v>1.4000000000000005E-2</v>
      </c>
      <c r="J58" s="351">
        <f t="shared" si="11"/>
        <v>0</v>
      </c>
      <c r="K58" s="351">
        <f t="shared" si="11"/>
        <v>2.8285714285714296E-2</v>
      </c>
      <c r="L58" s="351">
        <f t="shared" si="11"/>
        <v>4.257142857142858E-2</v>
      </c>
      <c r="M58" s="351">
        <f t="shared" si="11"/>
        <v>0</v>
      </c>
      <c r="N58" s="351">
        <f t="shared" si="11"/>
        <v>0</v>
      </c>
      <c r="O58" s="351">
        <f t="shared" si="11"/>
        <v>0</v>
      </c>
      <c r="P58" s="197">
        <f t="shared" si="12"/>
        <v>8.4857142857142881E-2</v>
      </c>
      <c r="Q58" s="194"/>
      <c r="R58" s="194"/>
      <c r="S58" s="194"/>
      <c r="T58" s="194"/>
      <c r="U58" s="194"/>
      <c r="V58" s="194"/>
      <c r="W58" s="194"/>
      <c r="X58" s="194"/>
      <c r="Y58" s="194"/>
      <c r="Z58" s="194"/>
      <c r="AA58" s="194"/>
      <c r="AB58" s="194"/>
      <c r="AC58" s="194"/>
      <c r="AD58" s="194"/>
      <c r="AE58" s="194"/>
      <c r="AF58" s="194"/>
      <c r="AG58" s="194"/>
      <c r="AH58" s="194"/>
      <c r="AI58" s="194"/>
      <c r="AJ58" s="194"/>
      <c r="AK58" s="525"/>
      <c r="AL58" s="525"/>
      <c r="AM58" s="525"/>
      <c r="AN58" s="525"/>
      <c r="AO58" s="525"/>
      <c r="AP58" s="194"/>
      <c r="AQ58" s="194"/>
      <c r="AR58" s="194"/>
      <c r="AS58" s="194"/>
      <c r="AT58" s="190"/>
      <c r="AU58" s="190"/>
      <c r="AV58" s="190"/>
      <c r="AW58" s="190"/>
      <c r="AX58" s="190"/>
      <c r="AY58" s="190"/>
      <c r="AZ58" s="190"/>
      <c r="BA58" s="190"/>
      <c r="BB58" s="190"/>
    </row>
    <row r="59" spans="1:54" s="191" customFormat="1" ht="12.75" customHeight="1">
      <c r="A59" s="992" t="str">
        <f>A44</f>
        <v>16. Supervisar el cumplimiento de los objetivos propuestos en el piloto.</v>
      </c>
      <c r="B59" s="992">
        <f>B44</f>
        <v>0.05</v>
      </c>
      <c r="C59" s="193" t="s">
        <v>70</v>
      </c>
      <c r="D59" s="350">
        <f>D44*$B$44/$P$44</f>
        <v>0</v>
      </c>
      <c r="E59" s="350">
        <f t="shared" ref="E59:O60" si="13">E44*$B$44/$P$44</f>
        <v>5.0000000000000018E-3</v>
      </c>
      <c r="F59" s="350">
        <f t="shared" si="13"/>
        <v>5.0000000000000018E-3</v>
      </c>
      <c r="G59" s="350">
        <f t="shared" si="13"/>
        <v>5.0000000000000018E-3</v>
      </c>
      <c r="H59" s="350">
        <f t="shared" si="13"/>
        <v>5.0000000000000018E-3</v>
      </c>
      <c r="I59" s="350">
        <f t="shared" si="13"/>
        <v>5.0000000000000018E-3</v>
      </c>
      <c r="J59" s="350">
        <f t="shared" si="13"/>
        <v>5.0000000000000018E-3</v>
      </c>
      <c r="K59" s="350">
        <f t="shared" si="13"/>
        <v>5.0000000000000018E-3</v>
      </c>
      <c r="L59" s="350">
        <f t="shared" si="13"/>
        <v>5.0000000000000018E-3</v>
      </c>
      <c r="M59" s="350">
        <f t="shared" si="13"/>
        <v>5.0000000000000018E-3</v>
      </c>
      <c r="N59" s="350">
        <f t="shared" si="13"/>
        <v>5.0000000000000018E-3</v>
      </c>
      <c r="O59" s="350">
        <f t="shared" si="13"/>
        <v>0</v>
      </c>
      <c r="P59" s="346">
        <f t="shared" si="12"/>
        <v>5.0000000000000024E-2</v>
      </c>
      <c r="Q59" s="194"/>
      <c r="R59" s="194"/>
      <c r="S59" s="194"/>
      <c r="T59" s="194"/>
      <c r="U59" s="194"/>
      <c r="V59" s="194"/>
      <c r="W59" s="194"/>
      <c r="X59" s="194"/>
      <c r="Y59" s="194"/>
      <c r="Z59" s="194"/>
      <c r="AA59" s="194"/>
      <c r="AB59" s="194"/>
      <c r="AC59" s="194"/>
      <c r="AD59" s="194"/>
      <c r="AE59" s="194"/>
      <c r="AF59" s="194"/>
      <c r="AG59" s="194"/>
      <c r="AH59" s="194"/>
      <c r="AI59" s="194"/>
      <c r="AJ59" s="194"/>
      <c r="AK59" s="525"/>
      <c r="AL59" s="525"/>
      <c r="AM59" s="525"/>
      <c r="AN59" s="525"/>
      <c r="AO59" s="525"/>
      <c r="AP59" s="194"/>
      <c r="AQ59" s="194"/>
      <c r="AR59" s="194"/>
      <c r="AS59" s="194"/>
      <c r="AT59" s="190"/>
      <c r="AU59" s="190"/>
      <c r="AV59" s="190"/>
      <c r="AW59" s="190"/>
      <c r="AX59" s="190"/>
      <c r="AY59" s="190"/>
      <c r="AZ59" s="190"/>
      <c r="BA59" s="190"/>
      <c r="BB59" s="190"/>
    </row>
    <row r="60" spans="1:54" s="191" customFormat="1" ht="12.75" customHeight="1">
      <c r="A60" s="993"/>
      <c r="B60" s="993"/>
      <c r="C60" s="195" t="s">
        <v>79</v>
      </c>
      <c r="D60" s="351">
        <f>D45*$B$44/$P$44</f>
        <v>0</v>
      </c>
      <c r="E60" s="351">
        <f t="shared" si="13"/>
        <v>5.0000000000000018E-3</v>
      </c>
      <c r="F60" s="351">
        <f t="shared" si="13"/>
        <v>5.0000000000000018E-3</v>
      </c>
      <c r="G60" s="351">
        <f t="shared" si="13"/>
        <v>5.0000000000000018E-3</v>
      </c>
      <c r="H60" s="351">
        <f t="shared" si="13"/>
        <v>5.0000000000000018E-3</v>
      </c>
      <c r="I60" s="351">
        <f t="shared" si="13"/>
        <v>5.0000000000000018E-3</v>
      </c>
      <c r="J60" s="351">
        <f t="shared" si="13"/>
        <v>5.0000000000000018E-3</v>
      </c>
      <c r="K60" s="351">
        <f t="shared" si="13"/>
        <v>5.0000000000000018E-3</v>
      </c>
      <c r="L60" s="351">
        <f t="shared" si="13"/>
        <v>5.0000000000000018E-3</v>
      </c>
      <c r="M60" s="351">
        <f t="shared" si="13"/>
        <v>0</v>
      </c>
      <c r="N60" s="351">
        <f t="shared" si="13"/>
        <v>0</v>
      </c>
      <c r="O60" s="351">
        <f t="shared" si="13"/>
        <v>0</v>
      </c>
      <c r="P60" s="197">
        <f t="shared" si="12"/>
        <v>4.0000000000000015E-2</v>
      </c>
      <c r="Q60" s="194"/>
      <c r="R60" s="194"/>
      <c r="S60" s="194"/>
      <c r="T60" s="194"/>
      <c r="U60" s="194"/>
      <c r="V60" s="194"/>
      <c r="W60" s="194"/>
      <c r="X60" s="194"/>
      <c r="Y60" s="194"/>
      <c r="Z60" s="194"/>
      <c r="AA60" s="194"/>
      <c r="AB60" s="194"/>
      <c r="AC60" s="194"/>
      <c r="AD60" s="194"/>
      <c r="AE60" s="194"/>
      <c r="AF60" s="194"/>
      <c r="AG60" s="194"/>
      <c r="AH60" s="194"/>
      <c r="AI60" s="194"/>
      <c r="AJ60" s="194"/>
      <c r="AK60" s="525"/>
      <c r="AL60" s="525"/>
      <c r="AM60" s="525"/>
      <c r="AN60" s="525"/>
      <c r="AO60" s="525"/>
      <c r="AP60" s="194"/>
      <c r="AQ60" s="194"/>
      <c r="AR60" s="194"/>
      <c r="AS60" s="194"/>
      <c r="AT60" s="190"/>
      <c r="AU60" s="190"/>
      <c r="AV60" s="190"/>
      <c r="AW60" s="190"/>
      <c r="AX60" s="190"/>
      <c r="AY60" s="190"/>
      <c r="AZ60" s="190"/>
      <c r="BA60" s="190"/>
      <c r="BB60" s="190"/>
    </row>
    <row r="61" spans="1:54" s="191" customFormat="1" ht="15.75" customHeight="1">
      <c r="A61" s="194"/>
      <c r="B61" s="194"/>
      <c r="C61" s="198"/>
      <c r="D61" s="199">
        <f>D54+D56+D58+D60</f>
        <v>0</v>
      </c>
      <c r="E61" s="199">
        <f t="shared" ref="E61:O61" si="14">E54+E56+E58+E60</f>
        <v>7.1000000000000008E-2</v>
      </c>
      <c r="F61" s="199">
        <f t="shared" si="14"/>
        <v>7.1333000000000008E-2</v>
      </c>
      <c r="G61" s="199">
        <f t="shared" si="14"/>
        <v>5.3330000000000002E-2</v>
      </c>
      <c r="H61" s="199">
        <f t="shared" si="14"/>
        <v>2.4000000000000004E-2</v>
      </c>
      <c r="I61" s="199">
        <f t="shared" si="14"/>
        <v>1.9000000000000006E-2</v>
      </c>
      <c r="J61" s="199">
        <f t="shared" si="14"/>
        <v>5.0000000000000018E-3</v>
      </c>
      <c r="K61" s="199">
        <f t="shared" si="14"/>
        <v>3.32857142857143E-2</v>
      </c>
      <c r="L61" s="199">
        <f t="shared" si="14"/>
        <v>4.7571428571428584E-2</v>
      </c>
      <c r="M61" s="199">
        <f t="shared" si="14"/>
        <v>0</v>
      </c>
      <c r="N61" s="199">
        <f t="shared" si="14"/>
        <v>0</v>
      </c>
      <c r="O61" s="199">
        <f t="shared" si="14"/>
        <v>0</v>
      </c>
      <c r="P61" s="199">
        <f t="shared" ref="P61" si="15">P53+P55+P57+P59</f>
        <v>0.35000000000000009</v>
      </c>
      <c r="Q61" s="194"/>
      <c r="R61" s="194"/>
      <c r="S61" s="194"/>
      <c r="T61" s="194"/>
      <c r="U61" s="194"/>
      <c r="V61" s="194"/>
      <c r="W61" s="194"/>
      <c r="X61" s="194"/>
      <c r="Y61" s="194"/>
      <c r="Z61" s="194"/>
      <c r="AA61" s="194"/>
      <c r="AB61" s="194"/>
      <c r="AC61" s="194"/>
      <c r="AD61" s="194"/>
      <c r="AE61" s="194"/>
      <c r="AF61" s="194"/>
      <c r="AG61" s="194"/>
      <c r="AH61" s="194"/>
      <c r="AI61" s="194"/>
      <c r="AJ61" s="194"/>
      <c r="AK61" s="525"/>
      <c r="AL61" s="525"/>
      <c r="AM61" s="525"/>
      <c r="AN61" s="525"/>
      <c r="AO61" s="525"/>
      <c r="AP61" s="194"/>
      <c r="AQ61" s="194"/>
      <c r="AR61" s="194"/>
      <c r="AS61" s="194"/>
      <c r="AT61" s="190"/>
      <c r="AU61" s="190"/>
      <c r="AV61" s="190"/>
      <c r="AW61" s="190"/>
      <c r="AX61" s="190"/>
      <c r="AY61" s="190"/>
      <c r="AZ61" s="190"/>
      <c r="BA61" s="190"/>
      <c r="BB61" s="190"/>
    </row>
    <row r="62" spans="1:54" s="375" customFormat="1" ht="15.75" customHeight="1">
      <c r="A62" s="201"/>
      <c r="B62" s="201"/>
      <c r="C62" s="372" t="s">
        <v>79</v>
      </c>
      <c r="D62" s="373">
        <f>D61*$W$17/$B$34</f>
        <v>0</v>
      </c>
      <c r="E62" s="373">
        <f t="shared" ref="E62:O62" si="16">E61*$W$17/$B$34</f>
        <v>0.20285714285714285</v>
      </c>
      <c r="F62" s="373">
        <f t="shared" si="16"/>
        <v>0.20380857142857142</v>
      </c>
      <c r="G62" s="373">
        <f t="shared" si="16"/>
        <v>0.15237142857142857</v>
      </c>
      <c r="H62" s="373">
        <f t="shared" si="16"/>
        <v>6.8571428571428575E-2</v>
      </c>
      <c r="I62" s="373">
        <f t="shared" si="16"/>
        <v>5.4285714285714298E-2</v>
      </c>
      <c r="J62" s="373">
        <f t="shared" si="16"/>
        <v>1.428571428571429E-2</v>
      </c>
      <c r="K62" s="373">
        <f t="shared" si="16"/>
        <v>9.5102040816326561E-2</v>
      </c>
      <c r="L62" s="373">
        <f t="shared" si="16"/>
        <v>0.1359183673469388</v>
      </c>
      <c r="M62" s="373">
        <f t="shared" si="16"/>
        <v>0</v>
      </c>
      <c r="N62" s="373">
        <f t="shared" si="16"/>
        <v>0</v>
      </c>
      <c r="O62" s="373">
        <f t="shared" si="16"/>
        <v>0</v>
      </c>
      <c r="P62" s="374">
        <f>SUM(D62:O62)</f>
        <v>0.92720040816326543</v>
      </c>
      <c r="Q62" s="200"/>
      <c r="R62" s="201"/>
      <c r="S62" s="201"/>
      <c r="T62" s="201"/>
      <c r="U62" s="201"/>
      <c r="V62" s="201"/>
      <c r="W62" s="201"/>
      <c r="X62" s="201"/>
      <c r="Y62" s="201"/>
      <c r="Z62" s="201"/>
      <c r="AA62" s="201"/>
      <c r="AB62" s="201"/>
      <c r="AC62" s="201"/>
      <c r="AD62" s="201"/>
      <c r="AE62" s="201"/>
      <c r="AF62" s="201"/>
      <c r="AG62" s="201"/>
      <c r="AH62" s="201"/>
      <c r="AI62" s="201"/>
      <c r="AJ62" s="201"/>
      <c r="AK62" s="526"/>
      <c r="AL62" s="526"/>
      <c r="AM62" s="526"/>
      <c r="AN62" s="526"/>
      <c r="AO62" s="526"/>
      <c r="AP62" s="201"/>
      <c r="AQ62" s="201"/>
      <c r="AR62" s="201"/>
      <c r="AS62" s="201"/>
      <c r="AT62" s="201"/>
      <c r="AU62" s="201"/>
      <c r="AV62" s="201"/>
      <c r="AW62" s="201"/>
      <c r="AX62" s="201"/>
      <c r="AY62" s="201"/>
      <c r="AZ62" s="201"/>
      <c r="BA62" s="201"/>
      <c r="BB62" s="201"/>
    </row>
    <row r="63" spans="1:54" s="375" customFormat="1" ht="13.5" customHeight="1">
      <c r="A63" s="200"/>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1"/>
      <c r="AE63" s="201"/>
      <c r="AF63" s="201"/>
      <c r="AG63" s="201"/>
      <c r="AH63" s="201"/>
      <c r="AI63" s="201"/>
      <c r="AJ63" s="201"/>
      <c r="AK63" s="526"/>
      <c r="AL63" s="526"/>
      <c r="AM63" s="526"/>
      <c r="AN63" s="526"/>
      <c r="AO63" s="526"/>
      <c r="AP63" s="201"/>
      <c r="AQ63" s="201"/>
      <c r="AR63" s="201"/>
      <c r="AS63" s="201"/>
      <c r="AT63" s="201"/>
      <c r="AU63" s="201"/>
      <c r="AV63" s="201"/>
      <c r="AW63" s="201"/>
      <c r="AX63" s="201"/>
      <c r="AY63" s="201"/>
      <c r="AZ63" s="201"/>
      <c r="BA63" s="201"/>
      <c r="BB63" s="201"/>
    </row>
    <row r="64" spans="1:54" s="108" customFormat="1">
      <c r="D64" s="376">
        <f>+D53+D55+D57+D59</f>
        <v>0</v>
      </c>
      <c r="E64" s="376">
        <f t="shared" ref="E64:O64" si="17">+E53+E55+E57+E59</f>
        <v>7.166666666666667E-2</v>
      </c>
      <c r="F64" s="376">
        <f t="shared" si="17"/>
        <v>8.5952380952380961E-2</v>
      </c>
      <c r="G64" s="376">
        <f t="shared" si="17"/>
        <v>8.5952380952380961E-2</v>
      </c>
      <c r="H64" s="376">
        <f t="shared" si="17"/>
        <v>1.9285714285714291E-2</v>
      </c>
      <c r="I64" s="376">
        <f t="shared" si="17"/>
        <v>1.9285714285714291E-2</v>
      </c>
      <c r="J64" s="376">
        <f t="shared" si="17"/>
        <v>1.9285714285714291E-2</v>
      </c>
      <c r="K64" s="376">
        <f t="shared" si="17"/>
        <v>1.9285714285714291E-2</v>
      </c>
      <c r="L64" s="376">
        <f t="shared" si="17"/>
        <v>1.9285714285714291E-2</v>
      </c>
      <c r="M64" s="376">
        <f t="shared" si="17"/>
        <v>5.0000000000000018E-3</v>
      </c>
      <c r="N64" s="376">
        <f t="shared" si="17"/>
        <v>5.0000000000000018E-3</v>
      </c>
      <c r="O64" s="376">
        <f t="shared" si="17"/>
        <v>0</v>
      </c>
      <c r="P64" s="376">
        <f>SUM(D64:O64)</f>
        <v>0.35000000000000009</v>
      </c>
      <c r="AK64" s="735"/>
      <c r="AL64" s="735"/>
      <c r="AM64" s="735"/>
      <c r="AN64" s="735"/>
      <c r="AO64" s="735"/>
      <c r="AP64" s="736"/>
      <c r="AQ64" s="736"/>
      <c r="AR64" s="736"/>
      <c r="AS64" s="736"/>
    </row>
    <row r="65" spans="1:54" s="375" customFormat="1" ht="15.75" customHeight="1">
      <c r="A65" s="201"/>
      <c r="B65" s="201"/>
      <c r="C65" s="372" t="s">
        <v>70</v>
      </c>
      <c r="D65" s="373">
        <f>D64*$W$17/$B$34</f>
        <v>0</v>
      </c>
      <c r="E65" s="373">
        <f t="shared" ref="E65:O65" si="18">E64*$W$17/$B$34</f>
        <v>0.20476190476190476</v>
      </c>
      <c r="F65" s="373">
        <f t="shared" si="18"/>
        <v>0.24557823129251702</v>
      </c>
      <c r="G65" s="373">
        <f t="shared" si="18"/>
        <v>0.24557823129251702</v>
      </c>
      <c r="H65" s="373">
        <f t="shared" si="18"/>
        <v>5.5102040816326539E-2</v>
      </c>
      <c r="I65" s="373">
        <f t="shared" si="18"/>
        <v>5.5102040816326539E-2</v>
      </c>
      <c r="J65" s="373">
        <f t="shared" si="18"/>
        <v>5.5102040816326539E-2</v>
      </c>
      <c r="K65" s="373">
        <f t="shared" si="18"/>
        <v>5.5102040816326539E-2</v>
      </c>
      <c r="L65" s="373">
        <f t="shared" si="18"/>
        <v>5.5102040816326539E-2</v>
      </c>
      <c r="M65" s="373">
        <f t="shared" si="18"/>
        <v>1.428571428571429E-2</v>
      </c>
      <c r="N65" s="373">
        <f t="shared" si="18"/>
        <v>1.428571428571429E-2</v>
      </c>
      <c r="O65" s="373">
        <f t="shared" si="18"/>
        <v>0</v>
      </c>
      <c r="P65" s="374">
        <f>SUM(D65:O65)</f>
        <v>1</v>
      </c>
      <c r="Q65" s="200"/>
      <c r="R65" s="201"/>
      <c r="S65" s="201"/>
      <c r="T65" s="201"/>
      <c r="U65" s="201"/>
      <c r="V65" s="201"/>
      <c r="W65" s="201"/>
      <c r="X65" s="201"/>
      <c r="Y65" s="201"/>
      <c r="Z65" s="201"/>
      <c r="AA65" s="201"/>
      <c r="AB65" s="201"/>
      <c r="AC65" s="201"/>
      <c r="AD65" s="201"/>
      <c r="AE65" s="201"/>
      <c r="AF65" s="201"/>
      <c r="AG65" s="201"/>
      <c r="AH65" s="201"/>
      <c r="AI65" s="201"/>
      <c r="AJ65" s="201"/>
      <c r="AK65" s="526"/>
      <c r="AL65" s="526"/>
      <c r="AM65" s="526"/>
      <c r="AN65" s="526"/>
      <c r="AO65" s="526"/>
      <c r="AP65" s="201"/>
      <c r="AQ65" s="201"/>
      <c r="AR65" s="201"/>
      <c r="AS65" s="201"/>
      <c r="AT65" s="201"/>
      <c r="AU65" s="201"/>
      <c r="AV65" s="201"/>
      <c r="AW65" s="201"/>
      <c r="AX65" s="201"/>
      <c r="AY65" s="201"/>
      <c r="AZ65" s="201"/>
      <c r="BA65" s="201"/>
      <c r="BB65" s="201"/>
    </row>
  </sheetData>
  <mergeCells count="101">
    <mergeCell ref="AG34:AG35"/>
    <mergeCell ref="AH34:AH35"/>
    <mergeCell ref="AI34:AI35"/>
    <mergeCell ref="AF44:AF45"/>
    <mergeCell ref="AF34:AF35"/>
    <mergeCell ref="AF38:AF39"/>
    <mergeCell ref="AF40:AF41"/>
    <mergeCell ref="AF42:AF43"/>
    <mergeCell ref="AH42:AH43"/>
    <mergeCell ref="AH44:AH45"/>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42:AD43"/>
    <mergeCell ref="A44:A45"/>
    <mergeCell ref="B44:B45"/>
    <mergeCell ref="Q44:AD45"/>
    <mergeCell ref="C51:P51"/>
    <mergeCell ref="A53:A54"/>
    <mergeCell ref="B53:B54"/>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0:A41"/>
    <mergeCell ref="B40:B41"/>
    <mergeCell ref="Q40:AD41"/>
    <mergeCell ref="A59:A60"/>
    <mergeCell ref="B59:B60"/>
    <mergeCell ref="A55:A56"/>
    <mergeCell ref="B55:B56"/>
    <mergeCell ref="A57:A58"/>
    <mergeCell ref="B57:B58"/>
    <mergeCell ref="A51:A52"/>
    <mergeCell ref="B51:B52"/>
    <mergeCell ref="A42:A43"/>
    <mergeCell ref="B42:B43"/>
  </mergeCells>
  <dataValidations count="3">
    <dataValidation type="textLength" operator="lessThanOrEqual" allowBlank="1" showInputMessage="1" showErrorMessage="1" errorTitle="Máximo 2.000 caracteres" error="Máximo 2.000 caracteres" sqref="W34 AA34 Q34 Q38:AD45" xr:uid="{F3A7CF25-473F-4BE5-93BF-D44119DDC182}">
      <formula1>2000</formula1>
    </dataValidation>
    <dataValidation type="textLength" operator="lessThanOrEqual" allowBlank="1" showInputMessage="1" showErrorMessage="1" errorTitle="Máximo 2.000 caracteres" error="Máximo 2.000 caracteres" promptTitle="2.000 caracteres" sqref="Q30:AD30" xr:uid="{E68A7476-3AA3-4A4C-8D29-49A4B5416C3E}">
      <formula1>2000</formula1>
    </dataValidation>
    <dataValidation type="list" allowBlank="1" showInputMessage="1" showErrorMessage="1" sqref="WVN7:WVN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C7:C9" xr:uid="{4D47CF0E-ECE8-4752-9AB0-5054A64F7332}">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793"/>
      <c r="B1" s="796" t="s">
        <v>0</v>
      </c>
      <c r="C1" s="797"/>
      <c r="D1" s="797"/>
      <c r="E1" s="797"/>
      <c r="F1" s="797"/>
      <c r="G1" s="797"/>
      <c r="H1" s="797"/>
      <c r="I1" s="797"/>
      <c r="J1" s="797"/>
      <c r="K1" s="797"/>
      <c r="L1" s="797"/>
      <c r="M1" s="797"/>
      <c r="N1" s="797"/>
      <c r="O1" s="797"/>
      <c r="P1" s="797"/>
      <c r="Q1" s="797"/>
      <c r="R1" s="797"/>
      <c r="S1" s="797"/>
      <c r="T1" s="797"/>
      <c r="U1" s="797"/>
      <c r="V1" s="797"/>
      <c r="W1" s="797"/>
      <c r="X1" s="797"/>
      <c r="Y1" s="798"/>
      <c r="Z1" s="799" t="s">
        <v>1</v>
      </c>
      <c r="AA1" s="800"/>
      <c r="AB1" s="801"/>
    </row>
    <row r="2" spans="1:28" ht="30.75" customHeight="1">
      <c r="A2" s="794"/>
      <c r="B2" s="802" t="s">
        <v>2</v>
      </c>
      <c r="C2" s="803"/>
      <c r="D2" s="803"/>
      <c r="E2" s="803"/>
      <c r="F2" s="803"/>
      <c r="G2" s="803"/>
      <c r="H2" s="803"/>
      <c r="I2" s="803"/>
      <c r="J2" s="803"/>
      <c r="K2" s="803"/>
      <c r="L2" s="803"/>
      <c r="M2" s="803"/>
      <c r="N2" s="803"/>
      <c r="O2" s="803"/>
      <c r="P2" s="803"/>
      <c r="Q2" s="803"/>
      <c r="R2" s="803"/>
      <c r="S2" s="803"/>
      <c r="T2" s="803"/>
      <c r="U2" s="803"/>
      <c r="V2" s="803"/>
      <c r="W2" s="803"/>
      <c r="X2" s="803"/>
      <c r="Y2" s="804"/>
      <c r="Z2" s="1119" t="s">
        <v>242</v>
      </c>
      <c r="AA2" s="1120"/>
      <c r="AB2" s="1121"/>
    </row>
    <row r="3" spans="1:28" ht="24" customHeight="1">
      <c r="A3" s="794"/>
      <c r="B3" s="808" t="s">
        <v>4</v>
      </c>
      <c r="C3" s="809"/>
      <c r="D3" s="809"/>
      <c r="E3" s="809"/>
      <c r="F3" s="809"/>
      <c r="G3" s="809"/>
      <c r="H3" s="809"/>
      <c r="I3" s="809"/>
      <c r="J3" s="809"/>
      <c r="K3" s="809"/>
      <c r="L3" s="809"/>
      <c r="M3" s="809"/>
      <c r="N3" s="809"/>
      <c r="O3" s="809"/>
      <c r="P3" s="809"/>
      <c r="Q3" s="809"/>
      <c r="R3" s="809"/>
      <c r="S3" s="809"/>
      <c r="T3" s="809"/>
      <c r="U3" s="809"/>
      <c r="V3" s="809"/>
      <c r="W3" s="809"/>
      <c r="X3" s="809"/>
      <c r="Y3" s="810"/>
      <c r="Z3" s="1119" t="s">
        <v>243</v>
      </c>
      <c r="AA3" s="1120"/>
      <c r="AB3" s="1121"/>
    </row>
    <row r="4" spans="1:28" ht="15.75" customHeight="1" thickBot="1">
      <c r="A4" s="795"/>
      <c r="B4" s="811"/>
      <c r="C4" s="812"/>
      <c r="D4" s="812"/>
      <c r="E4" s="812"/>
      <c r="F4" s="812"/>
      <c r="G4" s="812"/>
      <c r="H4" s="812"/>
      <c r="I4" s="812"/>
      <c r="J4" s="812"/>
      <c r="K4" s="812"/>
      <c r="L4" s="812"/>
      <c r="M4" s="812"/>
      <c r="N4" s="812"/>
      <c r="O4" s="812"/>
      <c r="P4" s="812"/>
      <c r="Q4" s="812"/>
      <c r="R4" s="812"/>
      <c r="S4" s="812"/>
      <c r="T4" s="812"/>
      <c r="U4" s="812"/>
      <c r="V4" s="812"/>
      <c r="W4" s="812"/>
      <c r="X4" s="812"/>
      <c r="Y4" s="813"/>
      <c r="Z4" s="814" t="s">
        <v>6</v>
      </c>
      <c r="AA4" s="815"/>
      <c r="AB4" s="816"/>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817" t="s">
        <v>15</v>
      </c>
      <c r="B7" s="818"/>
      <c r="C7" s="823"/>
      <c r="D7" s="824"/>
      <c r="E7" s="824"/>
      <c r="F7" s="824"/>
      <c r="G7" s="824"/>
      <c r="H7" s="824"/>
      <c r="I7" s="824"/>
      <c r="J7" s="824"/>
      <c r="K7" s="825"/>
      <c r="L7" s="62"/>
      <c r="M7" s="63"/>
      <c r="N7" s="63"/>
      <c r="O7" s="63"/>
      <c r="P7" s="63"/>
      <c r="Q7" s="64"/>
      <c r="R7" s="977" t="s">
        <v>9</v>
      </c>
      <c r="S7" s="975"/>
      <c r="T7" s="976"/>
      <c r="U7" s="1069" t="s">
        <v>244</v>
      </c>
      <c r="V7" s="833"/>
      <c r="W7" s="977" t="s">
        <v>10</v>
      </c>
      <c r="X7" s="976"/>
      <c r="Y7" s="838" t="s">
        <v>11</v>
      </c>
      <c r="Z7" s="839"/>
      <c r="AA7" s="843"/>
      <c r="AB7" s="844"/>
    </row>
    <row r="8" spans="1:28" ht="15" customHeight="1">
      <c r="A8" s="819"/>
      <c r="B8" s="820"/>
      <c r="C8" s="808"/>
      <c r="D8" s="809"/>
      <c r="E8" s="809"/>
      <c r="F8" s="809"/>
      <c r="G8" s="809"/>
      <c r="H8" s="809"/>
      <c r="I8" s="809"/>
      <c r="J8" s="809"/>
      <c r="K8" s="810"/>
      <c r="L8" s="62"/>
      <c r="M8" s="63"/>
      <c r="N8" s="63"/>
      <c r="O8" s="63"/>
      <c r="P8" s="63"/>
      <c r="Q8" s="64"/>
      <c r="R8" s="871"/>
      <c r="S8" s="872"/>
      <c r="T8" s="873"/>
      <c r="U8" s="834"/>
      <c r="V8" s="835"/>
      <c r="W8" s="871"/>
      <c r="X8" s="873"/>
      <c r="Y8" s="845" t="s">
        <v>12</v>
      </c>
      <c r="Z8" s="846"/>
      <c r="AA8" s="847"/>
      <c r="AB8" s="848"/>
    </row>
    <row r="9" spans="1:28" ht="15" customHeight="1" thickBot="1">
      <c r="A9" s="821"/>
      <c r="B9" s="822"/>
      <c r="C9" s="811"/>
      <c r="D9" s="812"/>
      <c r="E9" s="812"/>
      <c r="F9" s="812"/>
      <c r="G9" s="812"/>
      <c r="H9" s="812"/>
      <c r="I9" s="812"/>
      <c r="J9" s="812"/>
      <c r="K9" s="813"/>
      <c r="L9" s="62"/>
      <c r="M9" s="63"/>
      <c r="N9" s="63"/>
      <c r="O9" s="63"/>
      <c r="P9" s="63"/>
      <c r="Q9" s="64"/>
      <c r="R9" s="1070"/>
      <c r="S9" s="1122"/>
      <c r="T9" s="1071"/>
      <c r="U9" s="836"/>
      <c r="V9" s="837"/>
      <c r="W9" s="1070"/>
      <c r="X9" s="1071"/>
      <c r="Y9" s="849" t="s">
        <v>13</v>
      </c>
      <c r="Z9" s="850"/>
      <c r="AA9" s="851"/>
      <c r="AB9" s="852"/>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853" t="s">
        <v>17</v>
      </c>
      <c r="B11" s="854"/>
      <c r="C11" s="1072"/>
      <c r="D11" s="1073"/>
      <c r="E11" s="1073"/>
      <c r="F11" s="1073"/>
      <c r="G11" s="1073"/>
      <c r="H11" s="1073"/>
      <c r="I11" s="1073"/>
      <c r="J11" s="1073"/>
      <c r="K11" s="1074"/>
      <c r="L11" s="72"/>
      <c r="M11" s="855" t="s">
        <v>19</v>
      </c>
      <c r="N11" s="856"/>
      <c r="O11" s="856"/>
      <c r="P11" s="856"/>
      <c r="Q11" s="857"/>
      <c r="R11" s="858"/>
      <c r="S11" s="859"/>
      <c r="T11" s="859"/>
      <c r="U11" s="859"/>
      <c r="V11" s="860"/>
      <c r="W11" s="855" t="s">
        <v>21</v>
      </c>
      <c r="X11" s="857"/>
      <c r="Y11" s="840"/>
      <c r="Z11" s="841"/>
      <c r="AA11" s="841"/>
      <c r="AB11" s="842"/>
    </row>
    <row r="12" spans="1:28" ht="9" customHeight="1" thickBot="1">
      <c r="A12" s="59"/>
      <c r="B12" s="54"/>
      <c r="C12" s="863"/>
      <c r="D12" s="863"/>
      <c r="E12" s="863"/>
      <c r="F12" s="863"/>
      <c r="G12" s="863"/>
      <c r="H12" s="863"/>
      <c r="I12" s="863"/>
      <c r="J12" s="863"/>
      <c r="K12" s="863"/>
      <c r="L12" s="863"/>
      <c r="M12" s="863"/>
      <c r="N12" s="863"/>
      <c r="O12" s="863"/>
      <c r="P12" s="863"/>
      <c r="Q12" s="863"/>
      <c r="R12" s="863"/>
      <c r="S12" s="863"/>
      <c r="T12" s="863"/>
      <c r="U12" s="863"/>
      <c r="V12" s="863"/>
      <c r="W12" s="863"/>
      <c r="X12" s="863"/>
      <c r="Y12" s="863"/>
      <c r="Z12" s="863"/>
      <c r="AA12" s="73"/>
      <c r="AB12" s="74"/>
    </row>
    <row r="13" spans="1:28" s="76" customFormat="1" ht="37.5" customHeight="1" thickBot="1">
      <c r="A13" s="853" t="s">
        <v>23</v>
      </c>
      <c r="B13" s="854"/>
      <c r="C13" s="978"/>
      <c r="D13" s="979"/>
      <c r="E13" s="979"/>
      <c r="F13" s="979"/>
      <c r="G13" s="979"/>
      <c r="H13" s="979"/>
      <c r="I13" s="979"/>
      <c r="J13" s="979"/>
      <c r="K13" s="979"/>
      <c r="L13" s="979"/>
      <c r="M13" s="979"/>
      <c r="N13" s="979"/>
      <c r="O13" s="979"/>
      <c r="P13" s="979"/>
      <c r="Q13" s="980"/>
      <c r="R13" s="54"/>
      <c r="S13" s="1093" t="s">
        <v>245</v>
      </c>
      <c r="T13" s="1093"/>
      <c r="U13" s="75"/>
      <c r="V13" s="1100" t="s">
        <v>26</v>
      </c>
      <c r="W13" s="1093"/>
      <c r="X13" s="1093"/>
      <c r="Y13" s="1093"/>
      <c r="Z13" s="54"/>
      <c r="AA13" s="869"/>
      <c r="AB13" s="870"/>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817" t="s">
        <v>7</v>
      </c>
      <c r="B15" s="818"/>
      <c r="C15" s="1112" t="s">
        <v>246</v>
      </c>
      <c r="D15" s="80"/>
      <c r="E15" s="80"/>
      <c r="F15" s="80"/>
      <c r="G15" s="80"/>
      <c r="H15" s="80"/>
      <c r="I15" s="80"/>
      <c r="J15" s="70"/>
      <c r="K15" s="81"/>
      <c r="L15" s="70"/>
      <c r="M15" s="60"/>
      <c r="N15" s="60"/>
      <c r="O15" s="60"/>
      <c r="P15" s="60"/>
      <c r="Q15" s="1101" t="s">
        <v>27</v>
      </c>
      <c r="R15" s="1102"/>
      <c r="S15" s="1102"/>
      <c r="T15" s="1102"/>
      <c r="U15" s="1102"/>
      <c r="V15" s="1102"/>
      <c r="W15" s="1102"/>
      <c r="X15" s="1102"/>
      <c r="Y15" s="1102"/>
      <c r="Z15" s="1102"/>
      <c r="AA15" s="1102"/>
      <c r="AB15" s="1103"/>
    </row>
    <row r="16" spans="1:28" ht="35.25" customHeight="1" thickBot="1">
      <c r="A16" s="821"/>
      <c r="B16" s="822"/>
      <c r="C16" s="1113"/>
      <c r="D16" s="80"/>
      <c r="E16" s="80"/>
      <c r="F16" s="80"/>
      <c r="G16" s="80"/>
      <c r="H16" s="80"/>
      <c r="I16" s="80"/>
      <c r="J16" s="70"/>
      <c r="K16" s="70"/>
      <c r="L16" s="70"/>
      <c r="M16" s="60"/>
      <c r="N16" s="60"/>
      <c r="O16" s="60"/>
      <c r="P16" s="60"/>
      <c r="Q16" s="1096" t="s">
        <v>247</v>
      </c>
      <c r="R16" s="1067"/>
      <c r="S16" s="1067"/>
      <c r="T16" s="1067"/>
      <c r="U16" s="1067"/>
      <c r="V16" s="1097"/>
      <c r="W16" s="1066" t="s">
        <v>248</v>
      </c>
      <c r="X16" s="1067"/>
      <c r="Y16" s="1067"/>
      <c r="Z16" s="1067"/>
      <c r="AA16" s="1067"/>
      <c r="AB16" s="1068"/>
    </row>
    <row r="17" spans="1:39" ht="27" customHeight="1">
      <c r="A17" s="82"/>
      <c r="B17" s="60"/>
      <c r="C17" s="60"/>
      <c r="D17" s="80"/>
      <c r="E17" s="80"/>
      <c r="F17" s="80"/>
      <c r="G17" s="80"/>
      <c r="H17" s="80"/>
      <c r="I17" s="80"/>
      <c r="J17" s="80"/>
      <c r="K17" s="80"/>
      <c r="L17" s="80"/>
      <c r="M17" s="60"/>
      <c r="N17" s="60"/>
      <c r="O17" s="60"/>
      <c r="P17" s="60"/>
      <c r="Q17" s="1078" t="s">
        <v>249</v>
      </c>
      <c r="R17" s="1079"/>
      <c r="S17" s="1080"/>
      <c r="T17" s="1084" t="s">
        <v>250</v>
      </c>
      <c r="U17" s="1085"/>
      <c r="V17" s="1086"/>
      <c r="W17" s="1123" t="s">
        <v>249</v>
      </c>
      <c r="X17" s="1080"/>
      <c r="Y17" s="1123" t="s">
        <v>251</v>
      </c>
      <c r="Z17" s="1080"/>
      <c r="AA17" s="1084" t="s">
        <v>252</v>
      </c>
      <c r="AB17" s="1124"/>
      <c r="AC17" s="83"/>
      <c r="AD17" s="83"/>
    </row>
    <row r="18" spans="1:39" ht="27" customHeight="1">
      <c r="A18" s="82"/>
      <c r="B18" s="60"/>
      <c r="C18" s="60"/>
      <c r="D18" s="80"/>
      <c r="E18" s="80"/>
      <c r="F18" s="80"/>
      <c r="G18" s="80"/>
      <c r="H18" s="80"/>
      <c r="I18" s="80"/>
      <c r="J18" s="80"/>
      <c r="K18" s="80"/>
      <c r="L18" s="80"/>
      <c r="M18" s="60"/>
      <c r="N18" s="60"/>
      <c r="O18" s="60"/>
      <c r="P18" s="60"/>
      <c r="Q18" s="153"/>
      <c r="R18" s="154"/>
      <c r="S18" s="155"/>
      <c r="T18" s="1084"/>
      <c r="U18" s="1085"/>
      <c r="V18" s="1086"/>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1075"/>
      <c r="R19" s="1076"/>
      <c r="S19" s="1077"/>
      <c r="T19" s="1083"/>
      <c r="U19" s="1076"/>
      <c r="V19" s="1077"/>
      <c r="W19" s="1104"/>
      <c r="X19" s="1105"/>
      <c r="Y19" s="1125"/>
      <c r="Z19" s="1126"/>
      <c r="AA19" s="1081"/>
      <c r="AB19" s="1082"/>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878" t="s">
        <v>48</v>
      </c>
      <c r="B21" s="879"/>
      <c r="C21" s="880"/>
      <c r="D21" s="880"/>
      <c r="E21" s="880"/>
      <c r="F21" s="880"/>
      <c r="G21" s="880"/>
      <c r="H21" s="880"/>
      <c r="I21" s="880"/>
      <c r="J21" s="880"/>
      <c r="K21" s="880"/>
      <c r="L21" s="880"/>
      <c r="M21" s="880"/>
      <c r="N21" s="880"/>
      <c r="O21" s="880"/>
      <c r="P21" s="880"/>
      <c r="Q21" s="880"/>
      <c r="R21" s="880"/>
      <c r="S21" s="880"/>
      <c r="T21" s="880"/>
      <c r="U21" s="880"/>
      <c r="V21" s="880"/>
      <c r="W21" s="880"/>
      <c r="X21" s="880"/>
      <c r="Y21" s="880"/>
      <c r="Z21" s="880"/>
      <c r="AA21" s="880"/>
      <c r="AB21" s="881"/>
    </row>
    <row r="22" spans="1:39" ht="15" customHeight="1">
      <c r="A22" s="882" t="s">
        <v>49</v>
      </c>
      <c r="B22" s="884" t="s">
        <v>50</v>
      </c>
      <c r="C22" s="885"/>
      <c r="D22" s="888" t="s">
        <v>253</v>
      </c>
      <c r="E22" s="889"/>
      <c r="F22" s="889"/>
      <c r="G22" s="889"/>
      <c r="H22" s="889"/>
      <c r="I22" s="889"/>
      <c r="J22" s="889"/>
      <c r="K22" s="889"/>
      <c r="L22" s="889"/>
      <c r="M22" s="889"/>
      <c r="N22" s="889"/>
      <c r="O22" s="890"/>
      <c r="P22" s="891" t="s">
        <v>41</v>
      </c>
      <c r="Q22" s="891" t="s">
        <v>52</v>
      </c>
      <c r="R22" s="891"/>
      <c r="S22" s="891"/>
      <c r="T22" s="891"/>
      <c r="U22" s="891"/>
      <c r="V22" s="891"/>
      <c r="W22" s="891"/>
      <c r="X22" s="891"/>
      <c r="Y22" s="891"/>
      <c r="Z22" s="891"/>
      <c r="AA22" s="891"/>
      <c r="AB22" s="862"/>
    </row>
    <row r="23" spans="1:39" ht="27" customHeight="1">
      <c r="A23" s="883"/>
      <c r="B23" s="886"/>
      <c r="C23" s="887"/>
      <c r="D23" s="88" t="s">
        <v>30</v>
      </c>
      <c r="E23" s="88" t="s">
        <v>31</v>
      </c>
      <c r="F23" s="88" t="s">
        <v>32</v>
      </c>
      <c r="G23" s="88" t="s">
        <v>33</v>
      </c>
      <c r="H23" s="88" t="s">
        <v>34</v>
      </c>
      <c r="I23" s="88" t="s">
        <v>35</v>
      </c>
      <c r="J23" s="88" t="s">
        <v>36</v>
      </c>
      <c r="K23" s="88" t="s">
        <v>8</v>
      </c>
      <c r="L23" s="88" t="s">
        <v>37</v>
      </c>
      <c r="M23" s="88" t="s">
        <v>38</v>
      </c>
      <c r="N23" s="88" t="s">
        <v>39</v>
      </c>
      <c r="O23" s="88" t="s">
        <v>40</v>
      </c>
      <c r="P23" s="890"/>
      <c r="Q23" s="891"/>
      <c r="R23" s="891"/>
      <c r="S23" s="891"/>
      <c r="T23" s="891"/>
      <c r="U23" s="891"/>
      <c r="V23" s="891"/>
      <c r="W23" s="891"/>
      <c r="X23" s="891"/>
      <c r="Y23" s="891"/>
      <c r="Z23" s="891"/>
      <c r="AA23" s="891"/>
      <c r="AB23" s="862"/>
    </row>
    <row r="24" spans="1:39" ht="42" customHeight="1" thickBot="1">
      <c r="A24" s="85"/>
      <c r="B24" s="969"/>
      <c r="C24" s="970"/>
      <c r="D24" s="89"/>
      <c r="E24" s="89"/>
      <c r="F24" s="89"/>
      <c r="G24" s="89"/>
      <c r="H24" s="89"/>
      <c r="I24" s="89"/>
      <c r="J24" s="89"/>
      <c r="K24" s="89"/>
      <c r="L24" s="89"/>
      <c r="M24" s="89"/>
      <c r="N24" s="89"/>
      <c r="O24" s="89"/>
      <c r="P24" s="86">
        <f>SUM(D24:O24)</f>
        <v>0</v>
      </c>
      <c r="Q24" s="1129" t="s">
        <v>254</v>
      </c>
      <c r="R24" s="1129"/>
      <c r="S24" s="1129"/>
      <c r="T24" s="1129"/>
      <c r="U24" s="1129"/>
      <c r="V24" s="1129"/>
      <c r="W24" s="1129"/>
      <c r="X24" s="1129"/>
      <c r="Y24" s="1129"/>
      <c r="Z24" s="1129"/>
      <c r="AA24" s="1129"/>
      <c r="AB24" s="1130"/>
    </row>
    <row r="25" spans="1:39" ht="21.95" customHeight="1">
      <c r="A25" s="897" t="s">
        <v>54</v>
      </c>
      <c r="B25" s="898"/>
      <c r="C25" s="898"/>
      <c r="D25" s="898"/>
      <c r="E25" s="898"/>
      <c r="F25" s="898"/>
      <c r="G25" s="898"/>
      <c r="H25" s="898"/>
      <c r="I25" s="898"/>
      <c r="J25" s="898"/>
      <c r="K25" s="898"/>
      <c r="L25" s="898"/>
      <c r="M25" s="898"/>
      <c r="N25" s="898"/>
      <c r="O25" s="898"/>
      <c r="P25" s="898"/>
      <c r="Q25" s="898"/>
      <c r="R25" s="898"/>
      <c r="S25" s="898"/>
      <c r="T25" s="898"/>
      <c r="U25" s="898"/>
      <c r="V25" s="898"/>
      <c r="W25" s="898"/>
      <c r="X25" s="898"/>
      <c r="Y25" s="898"/>
      <c r="Z25" s="898"/>
      <c r="AA25" s="898"/>
      <c r="AB25" s="899"/>
    </row>
    <row r="26" spans="1:39" ht="23.1" customHeight="1">
      <c r="A26" s="861" t="s">
        <v>55</v>
      </c>
      <c r="B26" s="891" t="s">
        <v>56</v>
      </c>
      <c r="C26" s="891" t="s">
        <v>50</v>
      </c>
      <c r="D26" s="891" t="s">
        <v>57</v>
      </c>
      <c r="E26" s="891"/>
      <c r="F26" s="891"/>
      <c r="G26" s="891"/>
      <c r="H26" s="891"/>
      <c r="I26" s="891"/>
      <c r="J26" s="891"/>
      <c r="K26" s="891"/>
      <c r="L26" s="891"/>
      <c r="M26" s="891"/>
      <c r="N26" s="891"/>
      <c r="O26" s="891"/>
      <c r="P26" s="891"/>
      <c r="Q26" s="891" t="s">
        <v>58</v>
      </c>
      <c r="R26" s="891"/>
      <c r="S26" s="891"/>
      <c r="T26" s="891"/>
      <c r="U26" s="891"/>
      <c r="V26" s="891"/>
      <c r="W26" s="891"/>
      <c r="X26" s="891"/>
      <c r="Y26" s="891"/>
      <c r="Z26" s="891"/>
      <c r="AA26" s="891"/>
      <c r="AB26" s="862"/>
      <c r="AE26" s="87"/>
      <c r="AF26" s="87"/>
      <c r="AG26" s="87"/>
      <c r="AH26" s="87"/>
      <c r="AI26" s="87"/>
      <c r="AJ26" s="87"/>
      <c r="AK26" s="87"/>
      <c r="AL26" s="87"/>
      <c r="AM26" s="87"/>
    </row>
    <row r="27" spans="1:39" ht="23.1" customHeight="1">
      <c r="A27" s="861"/>
      <c r="B27" s="891"/>
      <c r="C27" s="900"/>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886" t="s">
        <v>59</v>
      </c>
      <c r="R27" s="901"/>
      <c r="S27" s="901"/>
      <c r="T27" s="887"/>
      <c r="U27" s="886" t="s">
        <v>60</v>
      </c>
      <c r="V27" s="901"/>
      <c r="W27" s="901"/>
      <c r="X27" s="887"/>
      <c r="Y27" s="886" t="s">
        <v>61</v>
      </c>
      <c r="Z27" s="901"/>
      <c r="AA27" s="901"/>
      <c r="AB27" s="910"/>
      <c r="AE27" s="87"/>
      <c r="AF27" s="87"/>
      <c r="AG27" s="87"/>
      <c r="AH27" s="87"/>
      <c r="AI27" s="87"/>
      <c r="AJ27" s="87"/>
      <c r="AK27" s="87"/>
      <c r="AL27" s="87"/>
      <c r="AM27" s="87"/>
    </row>
    <row r="28" spans="1:39" ht="33" customHeight="1">
      <c r="A28" s="1127"/>
      <c r="B28" s="1065"/>
      <c r="C28" s="90" t="s">
        <v>70</v>
      </c>
      <c r="D28" s="89"/>
      <c r="E28" s="89"/>
      <c r="F28" s="89"/>
      <c r="G28" s="89"/>
      <c r="H28" s="89"/>
      <c r="I28" s="89"/>
      <c r="J28" s="89"/>
      <c r="K28" s="89"/>
      <c r="L28" s="89"/>
      <c r="M28" s="89"/>
      <c r="N28" s="89"/>
      <c r="O28" s="89"/>
      <c r="P28" s="151">
        <f>SUM(D28:O28)</f>
        <v>0</v>
      </c>
      <c r="Q28" s="963" t="s">
        <v>255</v>
      </c>
      <c r="R28" s="964"/>
      <c r="S28" s="964"/>
      <c r="T28" s="1094"/>
      <c r="U28" s="963" t="s">
        <v>256</v>
      </c>
      <c r="V28" s="964"/>
      <c r="W28" s="964"/>
      <c r="X28" s="1094"/>
      <c r="Y28" s="963" t="s">
        <v>257</v>
      </c>
      <c r="Z28" s="964"/>
      <c r="AA28" s="964"/>
      <c r="AB28" s="965"/>
      <c r="AE28" s="87"/>
      <c r="AF28" s="87"/>
      <c r="AG28" s="87"/>
      <c r="AH28" s="87"/>
      <c r="AI28" s="87"/>
      <c r="AJ28" s="87"/>
      <c r="AK28" s="87"/>
      <c r="AL28" s="87"/>
      <c r="AM28" s="87"/>
    </row>
    <row r="29" spans="1:39" ht="33.950000000000003" customHeight="1" thickBot="1">
      <c r="A29" s="1128"/>
      <c r="B29" s="956"/>
      <c r="C29" s="91" t="s">
        <v>79</v>
      </c>
      <c r="D29" s="92"/>
      <c r="E29" s="92"/>
      <c r="F29" s="92"/>
      <c r="G29" s="93"/>
      <c r="H29" s="93"/>
      <c r="I29" s="93"/>
      <c r="J29" s="93"/>
      <c r="K29" s="93"/>
      <c r="L29" s="93"/>
      <c r="M29" s="93"/>
      <c r="N29" s="93"/>
      <c r="O29" s="93"/>
      <c r="P29" s="152">
        <f>SUM(D29:O29)</f>
        <v>0</v>
      </c>
      <c r="Q29" s="966"/>
      <c r="R29" s="967"/>
      <c r="S29" s="967"/>
      <c r="T29" s="1095"/>
      <c r="U29" s="966"/>
      <c r="V29" s="967"/>
      <c r="W29" s="967"/>
      <c r="X29" s="1095"/>
      <c r="Y29" s="966"/>
      <c r="Z29" s="967"/>
      <c r="AA29" s="967"/>
      <c r="AB29" s="968"/>
      <c r="AC29" s="49"/>
      <c r="AE29" s="87"/>
      <c r="AF29" s="87"/>
      <c r="AG29" s="87"/>
      <c r="AH29" s="87"/>
      <c r="AI29" s="87"/>
      <c r="AJ29" s="87"/>
      <c r="AK29" s="87"/>
      <c r="AL29" s="87"/>
      <c r="AM29" s="87"/>
    </row>
    <row r="30" spans="1:39" ht="26.1" customHeight="1">
      <c r="A30" s="874" t="s">
        <v>80</v>
      </c>
      <c r="B30" s="947" t="s">
        <v>81</v>
      </c>
      <c r="C30" s="949" t="s">
        <v>82</v>
      </c>
      <c r="D30" s="949"/>
      <c r="E30" s="949"/>
      <c r="F30" s="949"/>
      <c r="G30" s="949"/>
      <c r="H30" s="949"/>
      <c r="I30" s="949"/>
      <c r="J30" s="949"/>
      <c r="K30" s="949"/>
      <c r="L30" s="949"/>
      <c r="M30" s="949"/>
      <c r="N30" s="949"/>
      <c r="O30" s="949"/>
      <c r="P30" s="949"/>
      <c r="Q30" s="950" t="s">
        <v>83</v>
      </c>
      <c r="R30" s="951"/>
      <c r="S30" s="951"/>
      <c r="T30" s="951"/>
      <c r="U30" s="951"/>
      <c r="V30" s="951"/>
      <c r="W30" s="951"/>
      <c r="X30" s="951"/>
      <c r="Y30" s="951"/>
      <c r="Z30" s="951"/>
      <c r="AA30" s="951"/>
      <c r="AB30" s="952"/>
      <c r="AE30" s="87"/>
      <c r="AF30" s="87"/>
      <c r="AG30" s="87"/>
      <c r="AH30" s="87"/>
      <c r="AI30" s="87"/>
      <c r="AJ30" s="87"/>
      <c r="AK30" s="87"/>
      <c r="AL30" s="87"/>
      <c r="AM30" s="87"/>
    </row>
    <row r="31" spans="1:39" ht="26.1" customHeight="1">
      <c r="A31" s="861"/>
      <c r="B31" s="948"/>
      <c r="C31" s="88" t="s">
        <v>84</v>
      </c>
      <c r="D31" s="88" t="s">
        <v>85</v>
      </c>
      <c r="E31" s="88" t="s">
        <v>86</v>
      </c>
      <c r="F31" s="88" t="s">
        <v>87</v>
      </c>
      <c r="G31" s="88" t="s">
        <v>88</v>
      </c>
      <c r="H31" s="88" t="s">
        <v>89</v>
      </c>
      <c r="I31" s="88" t="s">
        <v>90</v>
      </c>
      <c r="J31" s="88" t="s">
        <v>91</v>
      </c>
      <c r="K31" s="88" t="s">
        <v>92</v>
      </c>
      <c r="L31" s="88" t="s">
        <v>93</v>
      </c>
      <c r="M31" s="88" t="s">
        <v>94</v>
      </c>
      <c r="N31" s="88" t="s">
        <v>95</v>
      </c>
      <c r="O31" s="88" t="s">
        <v>96</v>
      </c>
      <c r="P31" s="88" t="s">
        <v>97</v>
      </c>
      <c r="Q31" s="888" t="s">
        <v>98</v>
      </c>
      <c r="R31" s="889"/>
      <c r="S31" s="889"/>
      <c r="T31" s="889"/>
      <c r="U31" s="889"/>
      <c r="V31" s="889"/>
      <c r="W31" s="889"/>
      <c r="X31" s="889"/>
      <c r="Y31" s="889"/>
      <c r="Z31" s="889"/>
      <c r="AA31" s="889"/>
      <c r="AB31" s="953"/>
      <c r="AE31" s="94"/>
      <c r="AF31" s="94"/>
      <c r="AG31" s="94"/>
      <c r="AH31" s="94"/>
      <c r="AI31" s="94"/>
      <c r="AJ31" s="94"/>
      <c r="AK31" s="94"/>
      <c r="AL31" s="94"/>
      <c r="AM31" s="94"/>
    </row>
    <row r="32" spans="1:39" ht="28.5" customHeight="1">
      <c r="A32" s="1135"/>
      <c r="B32" s="1133"/>
      <c r="C32" s="90" t="s">
        <v>70</v>
      </c>
      <c r="D32" s="95"/>
      <c r="E32" s="95"/>
      <c r="F32" s="95"/>
      <c r="G32" s="95"/>
      <c r="H32" s="95"/>
      <c r="I32" s="95"/>
      <c r="J32" s="95"/>
      <c r="K32" s="95"/>
      <c r="L32" s="95"/>
      <c r="M32" s="95"/>
      <c r="N32" s="95"/>
      <c r="O32" s="95"/>
      <c r="P32" s="96">
        <f t="shared" ref="P32:P39" si="0">SUM(D32:O32)</f>
        <v>0</v>
      </c>
      <c r="Q32" s="1106" t="s">
        <v>258</v>
      </c>
      <c r="R32" s="1107"/>
      <c r="S32" s="1107"/>
      <c r="T32" s="1107"/>
      <c r="U32" s="1107"/>
      <c r="V32" s="1107"/>
      <c r="W32" s="1107"/>
      <c r="X32" s="1107"/>
      <c r="Y32" s="1107"/>
      <c r="Z32" s="1107"/>
      <c r="AA32" s="1107"/>
      <c r="AB32" s="1108"/>
      <c r="AC32" s="97"/>
      <c r="AE32" s="98"/>
      <c r="AF32" s="98"/>
      <c r="AG32" s="98"/>
      <c r="AH32" s="98"/>
      <c r="AI32" s="98"/>
      <c r="AJ32" s="98"/>
      <c r="AK32" s="98"/>
      <c r="AL32" s="98"/>
      <c r="AM32" s="98"/>
    </row>
    <row r="33" spans="1:29" ht="28.5" customHeight="1">
      <c r="A33" s="1136"/>
      <c r="B33" s="1134"/>
      <c r="C33" s="99" t="s">
        <v>79</v>
      </c>
      <c r="D33" s="100"/>
      <c r="E33" s="100"/>
      <c r="F33" s="100"/>
      <c r="G33" s="100"/>
      <c r="H33" s="100"/>
      <c r="I33" s="100"/>
      <c r="J33" s="100"/>
      <c r="K33" s="100"/>
      <c r="L33" s="100"/>
      <c r="M33" s="100"/>
      <c r="N33" s="100"/>
      <c r="O33" s="100"/>
      <c r="P33" s="101">
        <f t="shared" si="0"/>
        <v>0</v>
      </c>
      <c r="Q33" s="1109"/>
      <c r="R33" s="1110"/>
      <c r="S33" s="1110"/>
      <c r="T33" s="1110"/>
      <c r="U33" s="1110"/>
      <c r="V33" s="1110"/>
      <c r="W33" s="1110"/>
      <c r="X33" s="1110"/>
      <c r="Y33" s="1110"/>
      <c r="Z33" s="1110"/>
      <c r="AA33" s="1110"/>
      <c r="AB33" s="1111"/>
      <c r="AC33" s="97"/>
    </row>
    <row r="34" spans="1:29" ht="28.5" customHeight="1">
      <c r="A34" s="1136"/>
      <c r="B34" s="1114"/>
      <c r="C34" s="102" t="s">
        <v>70</v>
      </c>
      <c r="D34" s="103"/>
      <c r="E34" s="103"/>
      <c r="F34" s="103"/>
      <c r="G34" s="103"/>
      <c r="H34" s="103"/>
      <c r="I34" s="103"/>
      <c r="J34" s="103"/>
      <c r="K34" s="103"/>
      <c r="L34" s="103"/>
      <c r="M34" s="103"/>
      <c r="N34" s="103"/>
      <c r="O34" s="103"/>
      <c r="P34" s="101">
        <f t="shared" si="0"/>
        <v>0</v>
      </c>
      <c r="Q34" s="1087"/>
      <c r="R34" s="1088"/>
      <c r="S34" s="1088"/>
      <c r="T34" s="1088"/>
      <c r="U34" s="1088"/>
      <c r="V34" s="1088"/>
      <c r="W34" s="1088"/>
      <c r="X34" s="1088"/>
      <c r="Y34" s="1088"/>
      <c r="Z34" s="1088"/>
      <c r="AA34" s="1088"/>
      <c r="AB34" s="1089"/>
      <c r="AC34" s="97"/>
    </row>
    <row r="35" spans="1:29" ht="28.5" customHeight="1">
      <c r="A35" s="1136"/>
      <c r="B35" s="1134"/>
      <c r="C35" s="99" t="s">
        <v>79</v>
      </c>
      <c r="D35" s="100"/>
      <c r="E35" s="100"/>
      <c r="F35" s="100"/>
      <c r="G35" s="100"/>
      <c r="H35" s="100"/>
      <c r="I35" s="100"/>
      <c r="J35" s="100"/>
      <c r="K35" s="100"/>
      <c r="L35" s="104"/>
      <c r="M35" s="104"/>
      <c r="N35" s="104"/>
      <c r="O35" s="104"/>
      <c r="P35" s="101">
        <f t="shared" si="0"/>
        <v>0</v>
      </c>
      <c r="Q35" s="1090"/>
      <c r="R35" s="1091"/>
      <c r="S35" s="1091"/>
      <c r="T35" s="1091"/>
      <c r="U35" s="1091"/>
      <c r="V35" s="1091"/>
      <c r="W35" s="1091"/>
      <c r="X35" s="1091"/>
      <c r="Y35" s="1091"/>
      <c r="Z35" s="1091"/>
      <c r="AA35" s="1091"/>
      <c r="AB35" s="1092"/>
      <c r="AC35" s="97"/>
    </row>
    <row r="36" spans="1:29" ht="28.5" customHeight="1">
      <c r="A36" s="1131"/>
      <c r="B36" s="1114"/>
      <c r="C36" s="102" t="s">
        <v>70</v>
      </c>
      <c r="D36" s="103"/>
      <c r="E36" s="103"/>
      <c r="F36" s="103"/>
      <c r="G36" s="103"/>
      <c r="H36" s="103"/>
      <c r="I36" s="103"/>
      <c r="J36" s="103"/>
      <c r="K36" s="103"/>
      <c r="L36" s="103"/>
      <c r="M36" s="103"/>
      <c r="N36" s="103"/>
      <c r="O36" s="103"/>
      <c r="P36" s="101">
        <f t="shared" si="0"/>
        <v>0</v>
      </c>
      <c r="Q36" s="1087"/>
      <c r="R36" s="1088"/>
      <c r="S36" s="1088"/>
      <c r="T36" s="1088"/>
      <c r="U36" s="1088"/>
      <c r="V36" s="1088"/>
      <c r="W36" s="1088"/>
      <c r="X36" s="1088"/>
      <c r="Y36" s="1088"/>
      <c r="Z36" s="1088"/>
      <c r="AA36" s="1088"/>
      <c r="AB36" s="1089"/>
      <c r="AC36" s="97"/>
    </row>
    <row r="37" spans="1:29" ht="28.5" customHeight="1">
      <c r="A37" s="1132"/>
      <c r="B37" s="1134"/>
      <c r="C37" s="99" t="s">
        <v>79</v>
      </c>
      <c r="D37" s="100"/>
      <c r="E37" s="100"/>
      <c r="F37" s="100"/>
      <c r="G37" s="100"/>
      <c r="H37" s="100"/>
      <c r="I37" s="100"/>
      <c r="J37" s="100"/>
      <c r="K37" s="100"/>
      <c r="L37" s="104"/>
      <c r="M37" s="104"/>
      <c r="N37" s="104"/>
      <c r="O37" s="104"/>
      <c r="P37" s="101">
        <f t="shared" si="0"/>
        <v>0</v>
      </c>
      <c r="Q37" s="1090"/>
      <c r="R37" s="1091"/>
      <c r="S37" s="1091"/>
      <c r="T37" s="1091"/>
      <c r="U37" s="1091"/>
      <c r="V37" s="1091"/>
      <c r="W37" s="1091"/>
      <c r="X37" s="1091"/>
      <c r="Y37" s="1091"/>
      <c r="Z37" s="1091"/>
      <c r="AA37" s="1091"/>
      <c r="AB37" s="1092"/>
      <c r="AC37" s="97"/>
    </row>
    <row r="38" spans="1:29" ht="28.5" customHeight="1">
      <c r="A38" s="1098"/>
      <c r="B38" s="1114"/>
      <c r="C38" s="102" t="s">
        <v>70</v>
      </c>
      <c r="D38" s="103"/>
      <c r="E38" s="103"/>
      <c r="F38" s="103"/>
      <c r="G38" s="103"/>
      <c r="H38" s="103"/>
      <c r="I38" s="103"/>
      <c r="J38" s="103"/>
      <c r="K38" s="103"/>
      <c r="L38" s="103"/>
      <c r="M38" s="103"/>
      <c r="N38" s="103"/>
      <c r="O38" s="103"/>
      <c r="P38" s="101">
        <f t="shared" si="0"/>
        <v>0</v>
      </c>
      <c r="Q38" s="1087"/>
      <c r="R38" s="1088"/>
      <c r="S38" s="1088"/>
      <c r="T38" s="1088"/>
      <c r="U38" s="1088"/>
      <c r="V38" s="1088"/>
      <c r="W38" s="1088"/>
      <c r="X38" s="1088"/>
      <c r="Y38" s="1088"/>
      <c r="Z38" s="1088"/>
      <c r="AA38" s="1088"/>
      <c r="AB38" s="1089"/>
      <c r="AC38" s="97"/>
    </row>
    <row r="39" spans="1:29" ht="28.5" customHeight="1" thickBot="1">
      <c r="A39" s="1099"/>
      <c r="B39" s="1115"/>
      <c r="C39" s="91" t="s">
        <v>79</v>
      </c>
      <c r="D39" s="105"/>
      <c r="E39" s="105"/>
      <c r="F39" s="105"/>
      <c r="G39" s="105"/>
      <c r="H39" s="105"/>
      <c r="I39" s="105"/>
      <c r="J39" s="105"/>
      <c r="K39" s="105"/>
      <c r="L39" s="106"/>
      <c r="M39" s="106"/>
      <c r="N39" s="106"/>
      <c r="O39" s="106"/>
      <c r="P39" s="107">
        <f t="shared" si="0"/>
        <v>0</v>
      </c>
      <c r="Q39" s="1116"/>
      <c r="R39" s="1117"/>
      <c r="S39" s="1117"/>
      <c r="T39" s="1117"/>
      <c r="U39" s="1117"/>
      <c r="V39" s="1117"/>
      <c r="W39" s="1117"/>
      <c r="X39" s="1117"/>
      <c r="Y39" s="1117"/>
      <c r="Z39" s="1117"/>
      <c r="AA39" s="1117"/>
      <c r="AB39" s="1118"/>
      <c r="AC39" s="97"/>
    </row>
    <row r="40" spans="1:29">
      <c r="A40" s="50" t="s">
        <v>105</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9E-1CFF-4525-ACA3-73D126EA464E}">
  <sheetPr>
    <pageSetUpPr fitToPage="1"/>
  </sheetPr>
  <dimension ref="A1:CH142"/>
  <sheetViews>
    <sheetView topLeftCell="BC11" zoomScale="60" zoomScaleNormal="60" zoomScaleSheetLayoutView="40" workbookViewId="0">
      <selection activeCell="BU11" sqref="BU11:BU31"/>
    </sheetView>
  </sheetViews>
  <sheetFormatPr baseColWidth="10" defaultColWidth="19.42578125" defaultRowHeight="15"/>
  <cols>
    <col min="1" max="1" width="23.140625" style="108" bestFit="1" customWidth="1"/>
    <col min="2" max="2" width="14.42578125" style="108" bestFit="1" customWidth="1"/>
    <col min="3" max="3" width="18" style="108" bestFit="1" customWidth="1"/>
    <col min="4" max="4" width="10.85546875" style="108" bestFit="1" customWidth="1"/>
    <col min="5" max="5" width="13.42578125" style="108" bestFit="1" customWidth="1"/>
    <col min="6" max="6" width="10.85546875" style="108" customWidth="1"/>
    <col min="7" max="7" width="9.28515625" style="108" bestFit="1" customWidth="1"/>
    <col min="8" max="8" width="20.140625" style="108" bestFit="1" customWidth="1"/>
    <col min="9" max="9" width="10.85546875" style="108" customWidth="1"/>
    <col min="10" max="10" width="13.42578125" style="108" bestFit="1" customWidth="1"/>
    <col min="11" max="11" width="10.85546875" style="108" bestFit="1" customWidth="1"/>
    <col min="12" max="12" width="13.42578125" style="108" bestFit="1" customWidth="1"/>
    <col min="13" max="13" width="10.85546875" style="108" customWidth="1"/>
    <col min="14" max="14" width="10.140625" style="108" bestFit="1" customWidth="1"/>
    <col min="15" max="15" width="21.140625" style="108" bestFit="1" customWidth="1"/>
    <col min="16" max="16" width="10.85546875" style="108" customWidth="1"/>
    <col min="17" max="17" width="13.42578125" style="108" bestFit="1" customWidth="1"/>
    <col min="18" max="18" width="10.85546875" style="108" customWidth="1"/>
    <col min="19" max="19" width="13.42578125" style="108" customWidth="1"/>
    <col min="20" max="20" width="10.85546875" style="108" customWidth="1"/>
    <col min="21" max="21" width="11" style="108" customWidth="1"/>
    <col min="22" max="22" width="20.5703125" style="108" bestFit="1" customWidth="1"/>
    <col min="23" max="23" width="10.85546875" style="108" customWidth="1"/>
    <col min="24" max="24" width="13.42578125" style="108" customWidth="1"/>
    <col min="25" max="25" width="10.85546875" style="108" customWidth="1"/>
    <col min="26" max="26" width="13.42578125" style="108" customWidth="1"/>
    <col min="27" max="27" width="10.85546875" style="108" customWidth="1"/>
    <col min="28" max="28" width="10.140625" style="108" customWidth="1"/>
    <col min="29" max="29" width="23.5703125" style="108" customWidth="1"/>
    <col min="30" max="30" width="7.7109375" style="108" customWidth="1"/>
    <col min="31" max="31" width="24.42578125" style="108" bestFit="1" customWidth="1"/>
    <col min="32" max="32" width="9.42578125" style="108" customWidth="1"/>
    <col min="33" max="33" width="12.140625" style="108" customWidth="1"/>
    <col min="34" max="34" width="7.7109375" style="108" customWidth="1"/>
    <col min="35" max="35" width="7" style="108" customWidth="1"/>
    <col min="36" max="36" width="8.85546875" style="108" customWidth="1"/>
    <col min="37" max="37" width="7.5703125" style="108" customWidth="1"/>
    <col min="38" max="38" width="7.7109375" style="108" customWidth="1"/>
    <col min="39" max="39" width="11.140625" style="108" customWidth="1"/>
    <col min="40" max="40" width="8.140625" style="108" customWidth="1"/>
    <col min="41" max="41" width="14" style="108" customWidth="1"/>
    <col min="42" max="42" width="11.140625" style="108" customWidth="1"/>
    <col min="43" max="43" width="13.42578125" style="108" customWidth="1"/>
    <col min="44" max="44" width="3.140625" style="108" customWidth="1"/>
    <col min="45" max="45" width="22.5703125" style="108" bestFit="1" customWidth="1"/>
    <col min="46" max="46" width="10.85546875" style="108" bestFit="1" customWidth="1"/>
    <col min="47" max="47" width="13.42578125" style="108" bestFit="1" customWidth="1"/>
    <col min="48" max="48" width="10.85546875" style="108" bestFit="1" customWidth="1"/>
    <col min="49" max="49" width="25.7109375" style="108" bestFit="1" customWidth="1"/>
    <col min="50" max="50" width="10.85546875" style="108" bestFit="1" customWidth="1"/>
    <col min="51" max="51" width="9.28515625" style="108" bestFit="1" customWidth="1"/>
    <col min="52" max="52" width="20.140625" style="108" bestFit="1" customWidth="1"/>
    <col min="53" max="53" width="10.85546875" style="108" bestFit="1" customWidth="1"/>
    <col min="54" max="54" width="20.85546875" style="108" bestFit="1" customWidth="1"/>
    <col min="55" max="55" width="10.85546875" style="108" bestFit="1" customWidth="1"/>
    <col min="56" max="56" width="17.28515625" style="108" bestFit="1" customWidth="1"/>
    <col min="57" max="57" width="10.85546875" style="108" bestFit="1" customWidth="1"/>
    <col min="58" max="58" width="10.140625" style="108" bestFit="1" customWidth="1"/>
    <col min="59" max="59" width="24" style="108" bestFit="1" customWidth="1"/>
    <col min="60" max="60" width="10.85546875" style="108" bestFit="1" customWidth="1"/>
    <col min="61" max="61" width="14" style="108" bestFit="1" customWidth="1"/>
    <col min="62" max="62" width="10.85546875" style="108" customWidth="1"/>
    <col min="63" max="63" width="14" style="108" bestFit="1" customWidth="1"/>
    <col min="64" max="65" width="10.85546875" style="108" customWidth="1"/>
    <col min="66" max="66" width="14" style="108" bestFit="1" customWidth="1"/>
    <col min="67" max="69" width="10.85546875" style="108" hidden="1" customWidth="1"/>
    <col min="70" max="70" width="8.7109375" style="108" hidden="1" customWidth="1"/>
    <col min="71" max="71" width="8.85546875" style="108" hidden="1" customWidth="1"/>
    <col min="72" max="72" width="8.7109375" style="108" hidden="1" customWidth="1"/>
    <col min="73" max="73" width="10.85546875" style="108" customWidth="1"/>
    <col min="74" max="74" width="27.5703125" style="108" bestFit="1" customWidth="1"/>
    <col min="75" max="75" width="8.5703125" style="108" customWidth="1"/>
    <col min="76" max="76" width="12.140625" style="108" customWidth="1"/>
    <col min="77" max="77" width="8.140625" style="108" customWidth="1"/>
    <col min="78" max="78" width="7" style="108" customWidth="1"/>
    <col min="79" max="79" width="8.85546875" style="108" customWidth="1"/>
    <col min="80" max="80" width="8.140625" style="108" customWidth="1"/>
    <col min="81" max="81" width="8.28515625" style="108" customWidth="1"/>
    <col min="82" max="82" width="14.5703125" style="108" customWidth="1"/>
    <col min="83" max="83" width="15" style="108" customWidth="1"/>
    <col min="84" max="84" width="15.42578125" style="108" customWidth="1"/>
    <col min="85" max="85" width="18.85546875" style="108" customWidth="1"/>
    <col min="86" max="86" width="15" style="108" customWidth="1"/>
    <col min="87" max="259" width="19.42578125" style="108"/>
    <col min="260" max="262" width="11" style="108" customWidth="1"/>
    <col min="263" max="263" width="16.140625" style="108" customWidth="1"/>
    <col min="264" max="264" width="12.42578125" style="108" customWidth="1"/>
    <col min="265" max="265" width="14.28515625" style="108" customWidth="1"/>
    <col min="266" max="266" width="12" style="108" customWidth="1"/>
    <col min="267" max="267" width="16.7109375" style="108" customWidth="1"/>
    <col min="268" max="268" width="12" style="108" customWidth="1"/>
    <col min="269" max="269" width="16.28515625" style="108" customWidth="1"/>
    <col min="270" max="270" width="12.28515625" style="108" customWidth="1"/>
    <col min="271" max="271" width="17.42578125" style="108" customWidth="1"/>
    <col min="272" max="272" width="12" style="108" customWidth="1"/>
    <col min="273" max="273" width="16.5703125" style="108" customWidth="1"/>
    <col min="274" max="274" width="13.28515625" style="108" customWidth="1"/>
    <col min="275" max="275" width="16.5703125" style="108" customWidth="1"/>
    <col min="276" max="276" width="13.7109375" style="108" customWidth="1"/>
    <col min="277" max="277" width="15.7109375" style="108" customWidth="1"/>
    <col min="278" max="278" width="12.5703125" style="108" customWidth="1"/>
    <col min="279" max="279" width="19.140625" style="108" customWidth="1"/>
    <col min="280" max="280" width="12.28515625" style="108" customWidth="1"/>
    <col min="281" max="281" width="17.140625" style="108" customWidth="1"/>
    <col min="282" max="282" width="12.5703125" style="108" customWidth="1"/>
    <col min="283" max="283" width="17.7109375" style="108" customWidth="1"/>
    <col min="284" max="284" width="12.140625" style="108" customWidth="1"/>
    <col min="285" max="285" width="30.5703125" style="108" customWidth="1"/>
    <col min="286" max="289" width="8.140625" style="108" customWidth="1"/>
    <col min="290" max="290" width="9.42578125" style="108" customWidth="1"/>
    <col min="291" max="291" width="8.140625" style="108" customWidth="1"/>
    <col min="292" max="296" width="7.85546875" style="108" customWidth="1"/>
    <col min="297" max="297" width="11.28515625" style="108" customWidth="1"/>
    <col min="298" max="298" width="2.28515625" style="108" customWidth="1"/>
    <col min="299" max="299" width="19.42578125" style="108"/>
    <col min="300" max="325" width="11.28515625" style="108" customWidth="1"/>
    <col min="326" max="337" width="8.85546875" style="108" customWidth="1"/>
    <col min="338" max="515" width="19.42578125" style="108"/>
    <col min="516" max="518" width="11" style="108" customWidth="1"/>
    <col min="519" max="519" width="16.140625" style="108" customWidth="1"/>
    <col min="520" max="520" width="12.42578125" style="108" customWidth="1"/>
    <col min="521" max="521" width="14.28515625" style="108" customWidth="1"/>
    <col min="522" max="522" width="12" style="108" customWidth="1"/>
    <col min="523" max="523" width="16.7109375" style="108" customWidth="1"/>
    <col min="524" max="524" width="12" style="108" customWidth="1"/>
    <col min="525" max="525" width="16.28515625" style="108" customWidth="1"/>
    <col min="526" max="526" width="12.28515625" style="108" customWidth="1"/>
    <col min="527" max="527" width="17.42578125" style="108" customWidth="1"/>
    <col min="528" max="528" width="12" style="108" customWidth="1"/>
    <col min="529" max="529" width="16.5703125" style="108" customWidth="1"/>
    <col min="530" max="530" width="13.28515625" style="108" customWidth="1"/>
    <col min="531" max="531" width="16.5703125" style="108" customWidth="1"/>
    <col min="532" max="532" width="13.7109375" style="108" customWidth="1"/>
    <col min="533" max="533" width="15.7109375" style="108" customWidth="1"/>
    <col min="534" max="534" width="12.5703125" style="108" customWidth="1"/>
    <col min="535" max="535" width="19.140625" style="108" customWidth="1"/>
    <col min="536" max="536" width="12.28515625" style="108" customWidth="1"/>
    <col min="537" max="537" width="17.140625" style="108" customWidth="1"/>
    <col min="538" max="538" width="12.5703125" style="108" customWidth="1"/>
    <col min="539" max="539" width="17.7109375" style="108" customWidth="1"/>
    <col min="540" max="540" width="12.140625" style="108" customWidth="1"/>
    <col min="541" max="541" width="30.5703125" style="108" customWidth="1"/>
    <col min="542" max="545" width="8.140625" style="108" customWidth="1"/>
    <col min="546" max="546" width="9.42578125" style="108" customWidth="1"/>
    <col min="547" max="547" width="8.140625" style="108" customWidth="1"/>
    <col min="548" max="552" width="7.85546875" style="108" customWidth="1"/>
    <col min="553" max="553" width="11.28515625" style="108" customWidth="1"/>
    <col min="554" max="554" width="2.28515625" style="108" customWidth="1"/>
    <col min="555" max="555" width="19.42578125" style="108"/>
    <col min="556" max="581" width="11.28515625" style="108" customWidth="1"/>
    <col min="582" max="593" width="8.85546875" style="108" customWidth="1"/>
    <col min="594" max="771" width="19.42578125" style="108"/>
    <col min="772" max="774" width="11" style="108" customWidth="1"/>
    <col min="775" max="775" width="16.140625" style="108" customWidth="1"/>
    <col min="776" max="776" width="12.42578125" style="108" customWidth="1"/>
    <col min="777" max="777" width="14.28515625" style="108" customWidth="1"/>
    <col min="778" max="778" width="12" style="108" customWidth="1"/>
    <col min="779" max="779" width="16.7109375" style="108" customWidth="1"/>
    <col min="780" max="780" width="12" style="108" customWidth="1"/>
    <col min="781" max="781" width="16.28515625" style="108" customWidth="1"/>
    <col min="782" max="782" width="12.28515625" style="108" customWidth="1"/>
    <col min="783" max="783" width="17.42578125" style="108" customWidth="1"/>
    <col min="784" max="784" width="12" style="108" customWidth="1"/>
    <col min="785" max="785" width="16.5703125" style="108" customWidth="1"/>
    <col min="786" max="786" width="13.28515625" style="108" customWidth="1"/>
    <col min="787" max="787" width="16.5703125" style="108" customWidth="1"/>
    <col min="788" max="788" width="13.7109375" style="108" customWidth="1"/>
    <col min="789" max="789" width="15.7109375" style="108" customWidth="1"/>
    <col min="790" max="790" width="12.5703125" style="108" customWidth="1"/>
    <col min="791" max="791" width="19.140625" style="108" customWidth="1"/>
    <col min="792" max="792" width="12.28515625" style="108" customWidth="1"/>
    <col min="793" max="793" width="17.140625" style="108" customWidth="1"/>
    <col min="794" max="794" width="12.5703125" style="108" customWidth="1"/>
    <col min="795" max="795" width="17.7109375" style="108" customWidth="1"/>
    <col min="796" max="796" width="12.140625" style="108" customWidth="1"/>
    <col min="797" max="797" width="30.5703125" style="108" customWidth="1"/>
    <col min="798" max="801" width="8.140625" style="108" customWidth="1"/>
    <col min="802" max="802" width="9.42578125" style="108" customWidth="1"/>
    <col min="803" max="803" width="8.140625" style="108" customWidth="1"/>
    <col min="804" max="808" width="7.85546875" style="108" customWidth="1"/>
    <col min="809" max="809" width="11.28515625" style="108" customWidth="1"/>
    <col min="810" max="810" width="2.28515625" style="108" customWidth="1"/>
    <col min="811" max="811" width="19.42578125" style="108"/>
    <col min="812" max="837" width="11.28515625" style="108" customWidth="1"/>
    <col min="838" max="849" width="8.85546875" style="108" customWidth="1"/>
    <col min="850" max="1027" width="19.42578125" style="108"/>
    <col min="1028" max="1030" width="11" style="108" customWidth="1"/>
    <col min="1031" max="1031" width="16.140625" style="108" customWidth="1"/>
    <col min="1032" max="1032" width="12.42578125" style="108" customWidth="1"/>
    <col min="1033" max="1033" width="14.28515625" style="108" customWidth="1"/>
    <col min="1034" max="1034" width="12" style="108" customWidth="1"/>
    <col min="1035" max="1035" width="16.7109375" style="108" customWidth="1"/>
    <col min="1036" max="1036" width="12" style="108" customWidth="1"/>
    <col min="1037" max="1037" width="16.28515625" style="108" customWidth="1"/>
    <col min="1038" max="1038" width="12.28515625" style="108" customWidth="1"/>
    <col min="1039" max="1039" width="17.42578125" style="108" customWidth="1"/>
    <col min="1040" max="1040" width="12" style="108" customWidth="1"/>
    <col min="1041" max="1041" width="16.5703125" style="108" customWidth="1"/>
    <col min="1042" max="1042" width="13.28515625" style="108" customWidth="1"/>
    <col min="1043" max="1043" width="16.5703125" style="108" customWidth="1"/>
    <col min="1044" max="1044" width="13.7109375" style="108" customWidth="1"/>
    <col min="1045" max="1045" width="15.7109375" style="108" customWidth="1"/>
    <col min="1046" max="1046" width="12.5703125" style="108" customWidth="1"/>
    <col min="1047" max="1047" width="19.140625" style="108" customWidth="1"/>
    <col min="1048" max="1048" width="12.28515625" style="108" customWidth="1"/>
    <col min="1049" max="1049" width="17.140625" style="108" customWidth="1"/>
    <col min="1050" max="1050" width="12.5703125" style="108" customWidth="1"/>
    <col min="1051" max="1051" width="17.7109375" style="108" customWidth="1"/>
    <col min="1052" max="1052" width="12.140625" style="108" customWidth="1"/>
    <col min="1053" max="1053" width="30.5703125" style="108" customWidth="1"/>
    <col min="1054" max="1057" width="8.140625" style="108" customWidth="1"/>
    <col min="1058" max="1058" width="9.42578125" style="108" customWidth="1"/>
    <col min="1059" max="1059" width="8.140625" style="108" customWidth="1"/>
    <col min="1060" max="1064" width="7.85546875" style="108" customWidth="1"/>
    <col min="1065" max="1065" width="11.28515625" style="108" customWidth="1"/>
    <col min="1066" max="1066" width="2.28515625" style="108" customWidth="1"/>
    <col min="1067" max="1067" width="19.42578125" style="108"/>
    <col min="1068" max="1093" width="11.28515625" style="108" customWidth="1"/>
    <col min="1094" max="1105" width="8.85546875" style="108" customWidth="1"/>
    <col min="1106" max="1283" width="19.42578125" style="108"/>
    <col min="1284" max="1286" width="11" style="108" customWidth="1"/>
    <col min="1287" max="1287" width="16.140625" style="108" customWidth="1"/>
    <col min="1288" max="1288" width="12.42578125" style="108" customWidth="1"/>
    <col min="1289" max="1289" width="14.28515625" style="108" customWidth="1"/>
    <col min="1290" max="1290" width="12" style="108" customWidth="1"/>
    <col min="1291" max="1291" width="16.7109375" style="108" customWidth="1"/>
    <col min="1292" max="1292" width="12" style="108" customWidth="1"/>
    <col min="1293" max="1293" width="16.28515625" style="108" customWidth="1"/>
    <col min="1294" max="1294" width="12.28515625" style="108" customWidth="1"/>
    <col min="1295" max="1295" width="17.42578125" style="108" customWidth="1"/>
    <col min="1296" max="1296" width="12" style="108" customWidth="1"/>
    <col min="1297" max="1297" width="16.5703125" style="108" customWidth="1"/>
    <col min="1298" max="1298" width="13.28515625" style="108" customWidth="1"/>
    <col min="1299" max="1299" width="16.5703125" style="108" customWidth="1"/>
    <col min="1300" max="1300" width="13.7109375" style="108" customWidth="1"/>
    <col min="1301" max="1301" width="15.7109375" style="108" customWidth="1"/>
    <col min="1302" max="1302" width="12.5703125" style="108" customWidth="1"/>
    <col min="1303" max="1303" width="19.140625" style="108" customWidth="1"/>
    <col min="1304" max="1304" width="12.28515625" style="108" customWidth="1"/>
    <col min="1305" max="1305" width="17.140625" style="108" customWidth="1"/>
    <col min="1306" max="1306" width="12.5703125" style="108" customWidth="1"/>
    <col min="1307" max="1307" width="17.7109375" style="108" customWidth="1"/>
    <col min="1308" max="1308" width="12.140625" style="108" customWidth="1"/>
    <col min="1309" max="1309" width="30.5703125" style="108" customWidth="1"/>
    <col min="1310" max="1313" width="8.140625" style="108" customWidth="1"/>
    <col min="1314" max="1314" width="9.42578125" style="108" customWidth="1"/>
    <col min="1315" max="1315" width="8.140625" style="108" customWidth="1"/>
    <col min="1316" max="1320" width="7.85546875" style="108" customWidth="1"/>
    <col min="1321" max="1321" width="11.28515625" style="108" customWidth="1"/>
    <col min="1322" max="1322" width="2.28515625" style="108" customWidth="1"/>
    <col min="1323" max="1323" width="19.42578125" style="108"/>
    <col min="1324" max="1349" width="11.28515625" style="108" customWidth="1"/>
    <col min="1350" max="1361" width="8.85546875" style="108" customWidth="1"/>
    <col min="1362" max="1539" width="19.42578125" style="108"/>
    <col min="1540" max="1542" width="11" style="108" customWidth="1"/>
    <col min="1543" max="1543" width="16.140625" style="108" customWidth="1"/>
    <col min="1544" max="1544" width="12.42578125" style="108" customWidth="1"/>
    <col min="1545" max="1545" width="14.28515625" style="108" customWidth="1"/>
    <col min="1546" max="1546" width="12" style="108" customWidth="1"/>
    <col min="1547" max="1547" width="16.7109375" style="108" customWidth="1"/>
    <col min="1548" max="1548" width="12" style="108" customWidth="1"/>
    <col min="1549" max="1549" width="16.28515625" style="108" customWidth="1"/>
    <col min="1550" max="1550" width="12.28515625" style="108" customWidth="1"/>
    <col min="1551" max="1551" width="17.42578125" style="108" customWidth="1"/>
    <col min="1552" max="1552" width="12" style="108" customWidth="1"/>
    <col min="1553" max="1553" width="16.5703125" style="108" customWidth="1"/>
    <col min="1554" max="1554" width="13.28515625" style="108" customWidth="1"/>
    <col min="1555" max="1555" width="16.5703125" style="108" customWidth="1"/>
    <col min="1556" max="1556" width="13.7109375" style="108" customWidth="1"/>
    <col min="1557" max="1557" width="15.7109375" style="108" customWidth="1"/>
    <col min="1558" max="1558" width="12.5703125" style="108" customWidth="1"/>
    <col min="1559" max="1559" width="19.140625" style="108" customWidth="1"/>
    <col min="1560" max="1560" width="12.28515625" style="108" customWidth="1"/>
    <col min="1561" max="1561" width="17.140625" style="108" customWidth="1"/>
    <col min="1562" max="1562" width="12.5703125" style="108" customWidth="1"/>
    <col min="1563" max="1563" width="17.7109375" style="108" customWidth="1"/>
    <col min="1564" max="1564" width="12.140625" style="108" customWidth="1"/>
    <col min="1565" max="1565" width="30.5703125" style="108" customWidth="1"/>
    <col min="1566" max="1569" width="8.140625" style="108" customWidth="1"/>
    <col min="1570" max="1570" width="9.42578125" style="108" customWidth="1"/>
    <col min="1571" max="1571" width="8.140625" style="108" customWidth="1"/>
    <col min="1572" max="1576" width="7.85546875" style="108" customWidth="1"/>
    <col min="1577" max="1577" width="11.28515625" style="108" customWidth="1"/>
    <col min="1578" max="1578" width="2.28515625" style="108" customWidth="1"/>
    <col min="1579" max="1579" width="19.42578125" style="108"/>
    <col min="1580" max="1605" width="11.28515625" style="108" customWidth="1"/>
    <col min="1606" max="1617" width="8.85546875" style="108" customWidth="1"/>
    <col min="1618" max="1795" width="19.42578125" style="108"/>
    <col min="1796" max="1798" width="11" style="108" customWidth="1"/>
    <col min="1799" max="1799" width="16.140625" style="108" customWidth="1"/>
    <col min="1800" max="1800" width="12.42578125" style="108" customWidth="1"/>
    <col min="1801" max="1801" width="14.28515625" style="108" customWidth="1"/>
    <col min="1802" max="1802" width="12" style="108" customWidth="1"/>
    <col min="1803" max="1803" width="16.7109375" style="108" customWidth="1"/>
    <col min="1804" max="1804" width="12" style="108" customWidth="1"/>
    <col min="1805" max="1805" width="16.28515625" style="108" customWidth="1"/>
    <col min="1806" max="1806" width="12.28515625" style="108" customWidth="1"/>
    <col min="1807" max="1807" width="17.42578125" style="108" customWidth="1"/>
    <col min="1808" max="1808" width="12" style="108" customWidth="1"/>
    <col min="1809" max="1809" width="16.5703125" style="108" customWidth="1"/>
    <col min="1810" max="1810" width="13.28515625" style="108" customWidth="1"/>
    <col min="1811" max="1811" width="16.5703125" style="108" customWidth="1"/>
    <col min="1812" max="1812" width="13.7109375" style="108" customWidth="1"/>
    <col min="1813" max="1813" width="15.7109375" style="108" customWidth="1"/>
    <col min="1814" max="1814" width="12.5703125" style="108" customWidth="1"/>
    <col min="1815" max="1815" width="19.140625" style="108" customWidth="1"/>
    <col min="1816" max="1816" width="12.28515625" style="108" customWidth="1"/>
    <col min="1817" max="1817" width="17.140625" style="108" customWidth="1"/>
    <col min="1818" max="1818" width="12.5703125" style="108" customWidth="1"/>
    <col min="1819" max="1819" width="17.7109375" style="108" customWidth="1"/>
    <col min="1820" max="1820" width="12.140625" style="108" customWidth="1"/>
    <col min="1821" max="1821" width="30.5703125" style="108" customWidth="1"/>
    <col min="1822" max="1825" width="8.140625" style="108" customWidth="1"/>
    <col min="1826" max="1826" width="9.42578125" style="108" customWidth="1"/>
    <col min="1827" max="1827" width="8.140625" style="108" customWidth="1"/>
    <col min="1828" max="1832" width="7.85546875" style="108" customWidth="1"/>
    <col min="1833" max="1833" width="11.28515625" style="108" customWidth="1"/>
    <col min="1834" max="1834" width="2.28515625" style="108" customWidth="1"/>
    <col min="1835" max="1835" width="19.42578125" style="108"/>
    <col min="1836" max="1861" width="11.28515625" style="108" customWidth="1"/>
    <col min="1862" max="1873" width="8.85546875" style="108" customWidth="1"/>
    <col min="1874" max="2051" width="19.42578125" style="108"/>
    <col min="2052" max="2054" width="11" style="108" customWidth="1"/>
    <col min="2055" max="2055" width="16.140625" style="108" customWidth="1"/>
    <col min="2056" max="2056" width="12.42578125" style="108" customWidth="1"/>
    <col min="2057" max="2057" width="14.28515625" style="108" customWidth="1"/>
    <col min="2058" max="2058" width="12" style="108" customWidth="1"/>
    <col min="2059" max="2059" width="16.7109375" style="108" customWidth="1"/>
    <col min="2060" max="2060" width="12" style="108" customWidth="1"/>
    <col min="2061" max="2061" width="16.28515625" style="108" customWidth="1"/>
    <col min="2062" max="2062" width="12.28515625" style="108" customWidth="1"/>
    <col min="2063" max="2063" width="17.42578125" style="108" customWidth="1"/>
    <col min="2064" max="2064" width="12" style="108" customWidth="1"/>
    <col min="2065" max="2065" width="16.5703125" style="108" customWidth="1"/>
    <col min="2066" max="2066" width="13.28515625" style="108" customWidth="1"/>
    <col min="2067" max="2067" width="16.5703125" style="108" customWidth="1"/>
    <col min="2068" max="2068" width="13.7109375" style="108" customWidth="1"/>
    <col min="2069" max="2069" width="15.7109375" style="108" customWidth="1"/>
    <col min="2070" max="2070" width="12.5703125" style="108" customWidth="1"/>
    <col min="2071" max="2071" width="19.140625" style="108" customWidth="1"/>
    <col min="2072" max="2072" width="12.28515625" style="108" customWidth="1"/>
    <col min="2073" max="2073" width="17.140625" style="108" customWidth="1"/>
    <col min="2074" max="2074" width="12.5703125" style="108" customWidth="1"/>
    <col min="2075" max="2075" width="17.7109375" style="108" customWidth="1"/>
    <col min="2076" max="2076" width="12.140625" style="108" customWidth="1"/>
    <col min="2077" max="2077" width="30.5703125" style="108" customWidth="1"/>
    <col min="2078" max="2081" width="8.140625" style="108" customWidth="1"/>
    <col min="2082" max="2082" width="9.42578125" style="108" customWidth="1"/>
    <col min="2083" max="2083" width="8.140625" style="108" customWidth="1"/>
    <col min="2084" max="2088" width="7.85546875" style="108" customWidth="1"/>
    <col min="2089" max="2089" width="11.28515625" style="108" customWidth="1"/>
    <col min="2090" max="2090" width="2.28515625" style="108" customWidth="1"/>
    <col min="2091" max="2091" width="19.42578125" style="108"/>
    <col min="2092" max="2117" width="11.28515625" style="108" customWidth="1"/>
    <col min="2118" max="2129" width="8.85546875" style="108" customWidth="1"/>
    <col min="2130" max="2307" width="19.42578125" style="108"/>
    <col min="2308" max="2310" width="11" style="108" customWidth="1"/>
    <col min="2311" max="2311" width="16.140625" style="108" customWidth="1"/>
    <col min="2312" max="2312" width="12.42578125" style="108" customWidth="1"/>
    <col min="2313" max="2313" width="14.28515625" style="108" customWidth="1"/>
    <col min="2314" max="2314" width="12" style="108" customWidth="1"/>
    <col min="2315" max="2315" width="16.7109375" style="108" customWidth="1"/>
    <col min="2316" max="2316" width="12" style="108" customWidth="1"/>
    <col min="2317" max="2317" width="16.28515625" style="108" customWidth="1"/>
    <col min="2318" max="2318" width="12.28515625" style="108" customWidth="1"/>
    <col min="2319" max="2319" width="17.42578125" style="108" customWidth="1"/>
    <col min="2320" max="2320" width="12" style="108" customWidth="1"/>
    <col min="2321" max="2321" width="16.5703125" style="108" customWidth="1"/>
    <col min="2322" max="2322" width="13.28515625" style="108" customWidth="1"/>
    <col min="2323" max="2323" width="16.5703125" style="108" customWidth="1"/>
    <col min="2324" max="2324" width="13.7109375" style="108" customWidth="1"/>
    <col min="2325" max="2325" width="15.7109375" style="108" customWidth="1"/>
    <col min="2326" max="2326" width="12.5703125" style="108" customWidth="1"/>
    <col min="2327" max="2327" width="19.140625" style="108" customWidth="1"/>
    <col min="2328" max="2328" width="12.28515625" style="108" customWidth="1"/>
    <col min="2329" max="2329" width="17.140625" style="108" customWidth="1"/>
    <col min="2330" max="2330" width="12.5703125" style="108" customWidth="1"/>
    <col min="2331" max="2331" width="17.7109375" style="108" customWidth="1"/>
    <col min="2332" max="2332" width="12.140625" style="108" customWidth="1"/>
    <col min="2333" max="2333" width="30.5703125" style="108" customWidth="1"/>
    <col min="2334" max="2337" width="8.140625" style="108" customWidth="1"/>
    <col min="2338" max="2338" width="9.42578125" style="108" customWidth="1"/>
    <col min="2339" max="2339" width="8.140625" style="108" customWidth="1"/>
    <col min="2340" max="2344" width="7.85546875" style="108" customWidth="1"/>
    <col min="2345" max="2345" width="11.28515625" style="108" customWidth="1"/>
    <col min="2346" max="2346" width="2.28515625" style="108" customWidth="1"/>
    <col min="2347" max="2347" width="19.42578125" style="108"/>
    <col min="2348" max="2373" width="11.28515625" style="108" customWidth="1"/>
    <col min="2374" max="2385" width="8.85546875" style="108" customWidth="1"/>
    <col min="2386" max="2563" width="19.42578125" style="108"/>
    <col min="2564" max="2566" width="11" style="108" customWidth="1"/>
    <col min="2567" max="2567" width="16.140625" style="108" customWidth="1"/>
    <col min="2568" max="2568" width="12.42578125" style="108" customWidth="1"/>
    <col min="2569" max="2569" width="14.28515625" style="108" customWidth="1"/>
    <col min="2570" max="2570" width="12" style="108" customWidth="1"/>
    <col min="2571" max="2571" width="16.7109375" style="108" customWidth="1"/>
    <col min="2572" max="2572" width="12" style="108" customWidth="1"/>
    <col min="2573" max="2573" width="16.28515625" style="108" customWidth="1"/>
    <col min="2574" max="2574" width="12.28515625" style="108" customWidth="1"/>
    <col min="2575" max="2575" width="17.42578125" style="108" customWidth="1"/>
    <col min="2576" max="2576" width="12" style="108" customWidth="1"/>
    <col min="2577" max="2577" width="16.5703125" style="108" customWidth="1"/>
    <col min="2578" max="2578" width="13.28515625" style="108" customWidth="1"/>
    <col min="2579" max="2579" width="16.5703125" style="108" customWidth="1"/>
    <col min="2580" max="2580" width="13.7109375" style="108" customWidth="1"/>
    <col min="2581" max="2581" width="15.7109375" style="108" customWidth="1"/>
    <col min="2582" max="2582" width="12.5703125" style="108" customWidth="1"/>
    <col min="2583" max="2583" width="19.140625" style="108" customWidth="1"/>
    <col min="2584" max="2584" width="12.28515625" style="108" customWidth="1"/>
    <col min="2585" max="2585" width="17.140625" style="108" customWidth="1"/>
    <col min="2586" max="2586" width="12.5703125" style="108" customWidth="1"/>
    <col min="2587" max="2587" width="17.7109375" style="108" customWidth="1"/>
    <col min="2588" max="2588" width="12.140625" style="108" customWidth="1"/>
    <col min="2589" max="2589" width="30.5703125" style="108" customWidth="1"/>
    <col min="2590" max="2593" width="8.140625" style="108" customWidth="1"/>
    <col min="2594" max="2594" width="9.42578125" style="108" customWidth="1"/>
    <col min="2595" max="2595" width="8.140625" style="108" customWidth="1"/>
    <col min="2596" max="2600" width="7.85546875" style="108" customWidth="1"/>
    <col min="2601" max="2601" width="11.28515625" style="108" customWidth="1"/>
    <col min="2602" max="2602" width="2.28515625" style="108" customWidth="1"/>
    <col min="2603" max="2603" width="19.42578125" style="108"/>
    <col min="2604" max="2629" width="11.28515625" style="108" customWidth="1"/>
    <col min="2630" max="2641" width="8.85546875" style="108" customWidth="1"/>
    <col min="2642" max="2819" width="19.42578125" style="108"/>
    <col min="2820" max="2822" width="11" style="108" customWidth="1"/>
    <col min="2823" max="2823" width="16.140625" style="108" customWidth="1"/>
    <col min="2824" max="2824" width="12.42578125" style="108" customWidth="1"/>
    <col min="2825" max="2825" width="14.28515625" style="108" customWidth="1"/>
    <col min="2826" max="2826" width="12" style="108" customWidth="1"/>
    <col min="2827" max="2827" width="16.7109375" style="108" customWidth="1"/>
    <col min="2828" max="2828" width="12" style="108" customWidth="1"/>
    <col min="2829" max="2829" width="16.28515625" style="108" customWidth="1"/>
    <col min="2830" max="2830" width="12.28515625" style="108" customWidth="1"/>
    <col min="2831" max="2831" width="17.42578125" style="108" customWidth="1"/>
    <col min="2832" max="2832" width="12" style="108" customWidth="1"/>
    <col min="2833" max="2833" width="16.5703125" style="108" customWidth="1"/>
    <col min="2834" max="2834" width="13.28515625" style="108" customWidth="1"/>
    <col min="2835" max="2835" width="16.5703125" style="108" customWidth="1"/>
    <col min="2836" max="2836" width="13.7109375" style="108" customWidth="1"/>
    <col min="2837" max="2837" width="15.7109375" style="108" customWidth="1"/>
    <col min="2838" max="2838" width="12.5703125" style="108" customWidth="1"/>
    <col min="2839" max="2839" width="19.140625" style="108" customWidth="1"/>
    <col min="2840" max="2840" width="12.28515625" style="108" customWidth="1"/>
    <col min="2841" max="2841" width="17.140625" style="108" customWidth="1"/>
    <col min="2842" max="2842" width="12.5703125" style="108" customWidth="1"/>
    <col min="2843" max="2843" width="17.7109375" style="108" customWidth="1"/>
    <col min="2844" max="2844" width="12.140625" style="108" customWidth="1"/>
    <col min="2845" max="2845" width="30.5703125" style="108" customWidth="1"/>
    <col min="2846" max="2849" width="8.140625" style="108" customWidth="1"/>
    <col min="2850" max="2850" width="9.42578125" style="108" customWidth="1"/>
    <col min="2851" max="2851" width="8.140625" style="108" customWidth="1"/>
    <col min="2852" max="2856" width="7.85546875" style="108" customWidth="1"/>
    <col min="2857" max="2857" width="11.28515625" style="108" customWidth="1"/>
    <col min="2858" max="2858" width="2.28515625" style="108" customWidth="1"/>
    <col min="2859" max="2859" width="19.42578125" style="108"/>
    <col min="2860" max="2885" width="11.28515625" style="108" customWidth="1"/>
    <col min="2886" max="2897" width="8.85546875" style="108" customWidth="1"/>
    <col min="2898" max="3075" width="19.42578125" style="108"/>
    <col min="3076" max="3078" width="11" style="108" customWidth="1"/>
    <col min="3079" max="3079" width="16.140625" style="108" customWidth="1"/>
    <col min="3080" max="3080" width="12.42578125" style="108" customWidth="1"/>
    <col min="3081" max="3081" width="14.28515625" style="108" customWidth="1"/>
    <col min="3082" max="3082" width="12" style="108" customWidth="1"/>
    <col min="3083" max="3083" width="16.7109375" style="108" customWidth="1"/>
    <col min="3084" max="3084" width="12" style="108" customWidth="1"/>
    <col min="3085" max="3085" width="16.28515625" style="108" customWidth="1"/>
    <col min="3086" max="3086" width="12.28515625" style="108" customWidth="1"/>
    <col min="3087" max="3087" width="17.42578125" style="108" customWidth="1"/>
    <col min="3088" max="3088" width="12" style="108" customWidth="1"/>
    <col min="3089" max="3089" width="16.5703125" style="108" customWidth="1"/>
    <col min="3090" max="3090" width="13.28515625" style="108" customWidth="1"/>
    <col min="3091" max="3091" width="16.5703125" style="108" customWidth="1"/>
    <col min="3092" max="3092" width="13.7109375" style="108" customWidth="1"/>
    <col min="3093" max="3093" width="15.7109375" style="108" customWidth="1"/>
    <col min="3094" max="3094" width="12.5703125" style="108" customWidth="1"/>
    <col min="3095" max="3095" width="19.140625" style="108" customWidth="1"/>
    <col min="3096" max="3096" width="12.28515625" style="108" customWidth="1"/>
    <col min="3097" max="3097" width="17.140625" style="108" customWidth="1"/>
    <col min="3098" max="3098" width="12.5703125" style="108" customWidth="1"/>
    <col min="3099" max="3099" width="17.7109375" style="108" customWidth="1"/>
    <col min="3100" max="3100" width="12.140625" style="108" customWidth="1"/>
    <col min="3101" max="3101" width="30.5703125" style="108" customWidth="1"/>
    <col min="3102" max="3105" width="8.140625" style="108" customWidth="1"/>
    <col min="3106" max="3106" width="9.42578125" style="108" customWidth="1"/>
    <col min="3107" max="3107" width="8.140625" style="108" customWidth="1"/>
    <col min="3108" max="3112" width="7.85546875" style="108" customWidth="1"/>
    <col min="3113" max="3113" width="11.28515625" style="108" customWidth="1"/>
    <col min="3114" max="3114" width="2.28515625" style="108" customWidth="1"/>
    <col min="3115" max="3115" width="19.42578125" style="108"/>
    <col min="3116" max="3141" width="11.28515625" style="108" customWidth="1"/>
    <col min="3142" max="3153" width="8.85546875" style="108" customWidth="1"/>
    <col min="3154" max="3331" width="19.42578125" style="108"/>
    <col min="3332" max="3334" width="11" style="108" customWidth="1"/>
    <col min="3335" max="3335" width="16.140625" style="108" customWidth="1"/>
    <col min="3336" max="3336" width="12.42578125" style="108" customWidth="1"/>
    <col min="3337" max="3337" width="14.28515625" style="108" customWidth="1"/>
    <col min="3338" max="3338" width="12" style="108" customWidth="1"/>
    <col min="3339" max="3339" width="16.7109375" style="108" customWidth="1"/>
    <col min="3340" max="3340" width="12" style="108" customWidth="1"/>
    <col min="3341" max="3341" width="16.28515625" style="108" customWidth="1"/>
    <col min="3342" max="3342" width="12.28515625" style="108" customWidth="1"/>
    <col min="3343" max="3343" width="17.42578125" style="108" customWidth="1"/>
    <col min="3344" max="3344" width="12" style="108" customWidth="1"/>
    <col min="3345" max="3345" width="16.5703125" style="108" customWidth="1"/>
    <col min="3346" max="3346" width="13.28515625" style="108" customWidth="1"/>
    <col min="3347" max="3347" width="16.5703125" style="108" customWidth="1"/>
    <col min="3348" max="3348" width="13.7109375" style="108" customWidth="1"/>
    <col min="3349" max="3349" width="15.7109375" style="108" customWidth="1"/>
    <col min="3350" max="3350" width="12.5703125" style="108" customWidth="1"/>
    <col min="3351" max="3351" width="19.140625" style="108" customWidth="1"/>
    <col min="3352" max="3352" width="12.28515625" style="108" customWidth="1"/>
    <col min="3353" max="3353" width="17.140625" style="108" customWidth="1"/>
    <col min="3354" max="3354" width="12.5703125" style="108" customWidth="1"/>
    <col min="3355" max="3355" width="17.7109375" style="108" customWidth="1"/>
    <col min="3356" max="3356" width="12.140625" style="108" customWidth="1"/>
    <col min="3357" max="3357" width="30.5703125" style="108" customWidth="1"/>
    <col min="3358" max="3361" width="8.140625" style="108" customWidth="1"/>
    <col min="3362" max="3362" width="9.42578125" style="108" customWidth="1"/>
    <col min="3363" max="3363" width="8.140625" style="108" customWidth="1"/>
    <col min="3364" max="3368" width="7.85546875" style="108" customWidth="1"/>
    <col min="3369" max="3369" width="11.28515625" style="108" customWidth="1"/>
    <col min="3370" max="3370" width="2.28515625" style="108" customWidth="1"/>
    <col min="3371" max="3371" width="19.42578125" style="108"/>
    <col min="3372" max="3397" width="11.28515625" style="108" customWidth="1"/>
    <col min="3398" max="3409" width="8.85546875" style="108" customWidth="1"/>
    <col min="3410" max="3587" width="19.42578125" style="108"/>
    <col min="3588" max="3590" width="11" style="108" customWidth="1"/>
    <col min="3591" max="3591" width="16.140625" style="108" customWidth="1"/>
    <col min="3592" max="3592" width="12.42578125" style="108" customWidth="1"/>
    <col min="3593" max="3593" width="14.28515625" style="108" customWidth="1"/>
    <col min="3594" max="3594" width="12" style="108" customWidth="1"/>
    <col min="3595" max="3595" width="16.7109375" style="108" customWidth="1"/>
    <col min="3596" max="3596" width="12" style="108" customWidth="1"/>
    <col min="3597" max="3597" width="16.28515625" style="108" customWidth="1"/>
    <col min="3598" max="3598" width="12.28515625" style="108" customWidth="1"/>
    <col min="3599" max="3599" width="17.42578125" style="108" customWidth="1"/>
    <col min="3600" max="3600" width="12" style="108" customWidth="1"/>
    <col min="3601" max="3601" width="16.5703125" style="108" customWidth="1"/>
    <col min="3602" max="3602" width="13.28515625" style="108" customWidth="1"/>
    <col min="3603" max="3603" width="16.5703125" style="108" customWidth="1"/>
    <col min="3604" max="3604" width="13.7109375" style="108" customWidth="1"/>
    <col min="3605" max="3605" width="15.7109375" style="108" customWidth="1"/>
    <col min="3606" max="3606" width="12.5703125" style="108" customWidth="1"/>
    <col min="3607" max="3607" width="19.140625" style="108" customWidth="1"/>
    <col min="3608" max="3608" width="12.28515625" style="108" customWidth="1"/>
    <col min="3609" max="3609" width="17.140625" style="108" customWidth="1"/>
    <col min="3610" max="3610" width="12.5703125" style="108" customWidth="1"/>
    <col min="3611" max="3611" width="17.7109375" style="108" customWidth="1"/>
    <col min="3612" max="3612" width="12.140625" style="108" customWidth="1"/>
    <col min="3613" max="3613" width="30.5703125" style="108" customWidth="1"/>
    <col min="3614" max="3617" width="8.140625" style="108" customWidth="1"/>
    <col min="3618" max="3618" width="9.42578125" style="108" customWidth="1"/>
    <col min="3619" max="3619" width="8.140625" style="108" customWidth="1"/>
    <col min="3620" max="3624" width="7.85546875" style="108" customWidth="1"/>
    <col min="3625" max="3625" width="11.28515625" style="108" customWidth="1"/>
    <col min="3626" max="3626" width="2.28515625" style="108" customWidth="1"/>
    <col min="3627" max="3627" width="19.42578125" style="108"/>
    <col min="3628" max="3653" width="11.28515625" style="108" customWidth="1"/>
    <col min="3654" max="3665" width="8.85546875" style="108" customWidth="1"/>
    <col min="3666" max="3843" width="19.42578125" style="108"/>
    <col min="3844" max="3846" width="11" style="108" customWidth="1"/>
    <col min="3847" max="3847" width="16.140625" style="108" customWidth="1"/>
    <col min="3848" max="3848" width="12.42578125" style="108" customWidth="1"/>
    <col min="3849" max="3849" width="14.28515625" style="108" customWidth="1"/>
    <col min="3850" max="3850" width="12" style="108" customWidth="1"/>
    <col min="3851" max="3851" width="16.7109375" style="108" customWidth="1"/>
    <col min="3852" max="3852" width="12" style="108" customWidth="1"/>
    <col min="3853" max="3853" width="16.28515625" style="108" customWidth="1"/>
    <col min="3854" max="3854" width="12.28515625" style="108" customWidth="1"/>
    <col min="3855" max="3855" width="17.42578125" style="108" customWidth="1"/>
    <col min="3856" max="3856" width="12" style="108" customWidth="1"/>
    <col min="3857" max="3857" width="16.5703125" style="108" customWidth="1"/>
    <col min="3858" max="3858" width="13.28515625" style="108" customWidth="1"/>
    <col min="3859" max="3859" width="16.5703125" style="108" customWidth="1"/>
    <col min="3860" max="3860" width="13.7109375" style="108" customWidth="1"/>
    <col min="3861" max="3861" width="15.7109375" style="108" customWidth="1"/>
    <col min="3862" max="3862" width="12.5703125" style="108" customWidth="1"/>
    <col min="3863" max="3863" width="19.140625" style="108" customWidth="1"/>
    <col min="3864" max="3864" width="12.28515625" style="108" customWidth="1"/>
    <col min="3865" max="3865" width="17.140625" style="108" customWidth="1"/>
    <col min="3866" max="3866" width="12.5703125" style="108" customWidth="1"/>
    <col min="3867" max="3867" width="17.7109375" style="108" customWidth="1"/>
    <col min="3868" max="3868" width="12.140625" style="108" customWidth="1"/>
    <col min="3869" max="3869" width="30.5703125" style="108" customWidth="1"/>
    <col min="3870" max="3873" width="8.140625" style="108" customWidth="1"/>
    <col min="3874" max="3874" width="9.42578125" style="108" customWidth="1"/>
    <col min="3875" max="3875" width="8.140625" style="108" customWidth="1"/>
    <col min="3876" max="3880" width="7.85546875" style="108" customWidth="1"/>
    <col min="3881" max="3881" width="11.28515625" style="108" customWidth="1"/>
    <col min="3882" max="3882" width="2.28515625" style="108" customWidth="1"/>
    <col min="3883" max="3883" width="19.42578125" style="108"/>
    <col min="3884" max="3909" width="11.28515625" style="108" customWidth="1"/>
    <col min="3910" max="3921" width="8.85546875" style="108" customWidth="1"/>
    <col min="3922" max="4099" width="19.42578125" style="108"/>
    <col min="4100" max="4102" width="11" style="108" customWidth="1"/>
    <col min="4103" max="4103" width="16.140625" style="108" customWidth="1"/>
    <col min="4104" max="4104" width="12.42578125" style="108" customWidth="1"/>
    <col min="4105" max="4105" width="14.28515625" style="108" customWidth="1"/>
    <col min="4106" max="4106" width="12" style="108" customWidth="1"/>
    <col min="4107" max="4107" width="16.7109375" style="108" customWidth="1"/>
    <col min="4108" max="4108" width="12" style="108" customWidth="1"/>
    <col min="4109" max="4109" width="16.28515625" style="108" customWidth="1"/>
    <col min="4110" max="4110" width="12.28515625" style="108" customWidth="1"/>
    <col min="4111" max="4111" width="17.42578125" style="108" customWidth="1"/>
    <col min="4112" max="4112" width="12" style="108" customWidth="1"/>
    <col min="4113" max="4113" width="16.5703125" style="108" customWidth="1"/>
    <col min="4114" max="4114" width="13.28515625" style="108" customWidth="1"/>
    <col min="4115" max="4115" width="16.5703125" style="108" customWidth="1"/>
    <col min="4116" max="4116" width="13.7109375" style="108" customWidth="1"/>
    <col min="4117" max="4117" width="15.7109375" style="108" customWidth="1"/>
    <col min="4118" max="4118" width="12.5703125" style="108" customWidth="1"/>
    <col min="4119" max="4119" width="19.140625" style="108" customWidth="1"/>
    <col min="4120" max="4120" width="12.28515625" style="108" customWidth="1"/>
    <col min="4121" max="4121" width="17.140625" style="108" customWidth="1"/>
    <col min="4122" max="4122" width="12.5703125" style="108" customWidth="1"/>
    <col min="4123" max="4123" width="17.7109375" style="108" customWidth="1"/>
    <col min="4124" max="4124" width="12.140625" style="108" customWidth="1"/>
    <col min="4125" max="4125" width="30.5703125" style="108" customWidth="1"/>
    <col min="4126" max="4129" width="8.140625" style="108" customWidth="1"/>
    <col min="4130" max="4130" width="9.42578125" style="108" customWidth="1"/>
    <col min="4131" max="4131" width="8.140625" style="108" customWidth="1"/>
    <col min="4132" max="4136" width="7.85546875" style="108" customWidth="1"/>
    <col min="4137" max="4137" width="11.28515625" style="108" customWidth="1"/>
    <col min="4138" max="4138" width="2.28515625" style="108" customWidth="1"/>
    <col min="4139" max="4139" width="19.42578125" style="108"/>
    <col min="4140" max="4165" width="11.28515625" style="108" customWidth="1"/>
    <col min="4166" max="4177" width="8.85546875" style="108" customWidth="1"/>
    <col min="4178" max="4355" width="19.42578125" style="108"/>
    <col min="4356" max="4358" width="11" style="108" customWidth="1"/>
    <col min="4359" max="4359" width="16.140625" style="108" customWidth="1"/>
    <col min="4360" max="4360" width="12.42578125" style="108" customWidth="1"/>
    <col min="4361" max="4361" width="14.28515625" style="108" customWidth="1"/>
    <col min="4362" max="4362" width="12" style="108" customWidth="1"/>
    <col min="4363" max="4363" width="16.7109375" style="108" customWidth="1"/>
    <col min="4364" max="4364" width="12" style="108" customWidth="1"/>
    <col min="4365" max="4365" width="16.28515625" style="108" customWidth="1"/>
    <col min="4366" max="4366" width="12.28515625" style="108" customWidth="1"/>
    <col min="4367" max="4367" width="17.42578125" style="108" customWidth="1"/>
    <col min="4368" max="4368" width="12" style="108" customWidth="1"/>
    <col min="4369" max="4369" width="16.5703125" style="108" customWidth="1"/>
    <col min="4370" max="4370" width="13.28515625" style="108" customWidth="1"/>
    <col min="4371" max="4371" width="16.5703125" style="108" customWidth="1"/>
    <col min="4372" max="4372" width="13.7109375" style="108" customWidth="1"/>
    <col min="4373" max="4373" width="15.7109375" style="108" customWidth="1"/>
    <col min="4374" max="4374" width="12.5703125" style="108" customWidth="1"/>
    <col min="4375" max="4375" width="19.140625" style="108" customWidth="1"/>
    <col min="4376" max="4376" width="12.28515625" style="108" customWidth="1"/>
    <col min="4377" max="4377" width="17.140625" style="108" customWidth="1"/>
    <col min="4378" max="4378" width="12.5703125" style="108" customWidth="1"/>
    <col min="4379" max="4379" width="17.7109375" style="108" customWidth="1"/>
    <col min="4380" max="4380" width="12.140625" style="108" customWidth="1"/>
    <col min="4381" max="4381" width="30.5703125" style="108" customWidth="1"/>
    <col min="4382" max="4385" width="8.140625" style="108" customWidth="1"/>
    <col min="4386" max="4386" width="9.42578125" style="108" customWidth="1"/>
    <col min="4387" max="4387" width="8.140625" style="108" customWidth="1"/>
    <col min="4388" max="4392" width="7.85546875" style="108" customWidth="1"/>
    <col min="4393" max="4393" width="11.28515625" style="108" customWidth="1"/>
    <col min="4394" max="4394" width="2.28515625" style="108" customWidth="1"/>
    <col min="4395" max="4395" width="19.42578125" style="108"/>
    <col min="4396" max="4421" width="11.28515625" style="108" customWidth="1"/>
    <col min="4422" max="4433" width="8.85546875" style="108" customWidth="1"/>
    <col min="4434" max="4611" width="19.42578125" style="108"/>
    <col min="4612" max="4614" width="11" style="108" customWidth="1"/>
    <col min="4615" max="4615" width="16.140625" style="108" customWidth="1"/>
    <col min="4616" max="4616" width="12.42578125" style="108" customWidth="1"/>
    <col min="4617" max="4617" width="14.28515625" style="108" customWidth="1"/>
    <col min="4618" max="4618" width="12" style="108" customWidth="1"/>
    <col min="4619" max="4619" width="16.7109375" style="108" customWidth="1"/>
    <col min="4620" max="4620" width="12" style="108" customWidth="1"/>
    <col min="4621" max="4621" width="16.28515625" style="108" customWidth="1"/>
    <col min="4622" max="4622" width="12.28515625" style="108" customWidth="1"/>
    <col min="4623" max="4623" width="17.42578125" style="108" customWidth="1"/>
    <col min="4624" max="4624" width="12" style="108" customWidth="1"/>
    <col min="4625" max="4625" width="16.5703125" style="108" customWidth="1"/>
    <col min="4626" max="4626" width="13.28515625" style="108" customWidth="1"/>
    <col min="4627" max="4627" width="16.5703125" style="108" customWidth="1"/>
    <col min="4628" max="4628" width="13.7109375" style="108" customWidth="1"/>
    <col min="4629" max="4629" width="15.7109375" style="108" customWidth="1"/>
    <col min="4630" max="4630" width="12.5703125" style="108" customWidth="1"/>
    <col min="4631" max="4631" width="19.140625" style="108" customWidth="1"/>
    <col min="4632" max="4632" width="12.28515625" style="108" customWidth="1"/>
    <col min="4633" max="4633" width="17.140625" style="108" customWidth="1"/>
    <col min="4634" max="4634" width="12.5703125" style="108" customWidth="1"/>
    <col min="4635" max="4635" width="17.7109375" style="108" customWidth="1"/>
    <col min="4636" max="4636" width="12.140625" style="108" customWidth="1"/>
    <col min="4637" max="4637" width="30.5703125" style="108" customWidth="1"/>
    <col min="4638" max="4641" width="8.140625" style="108" customWidth="1"/>
    <col min="4642" max="4642" width="9.42578125" style="108" customWidth="1"/>
    <col min="4643" max="4643" width="8.140625" style="108" customWidth="1"/>
    <col min="4644" max="4648" width="7.85546875" style="108" customWidth="1"/>
    <col min="4649" max="4649" width="11.28515625" style="108" customWidth="1"/>
    <col min="4650" max="4650" width="2.28515625" style="108" customWidth="1"/>
    <col min="4651" max="4651" width="19.42578125" style="108"/>
    <col min="4652" max="4677" width="11.28515625" style="108" customWidth="1"/>
    <col min="4678" max="4689" width="8.85546875" style="108" customWidth="1"/>
    <col min="4690" max="4867" width="19.42578125" style="108"/>
    <col min="4868" max="4870" width="11" style="108" customWidth="1"/>
    <col min="4871" max="4871" width="16.140625" style="108" customWidth="1"/>
    <col min="4872" max="4872" width="12.42578125" style="108" customWidth="1"/>
    <col min="4873" max="4873" width="14.28515625" style="108" customWidth="1"/>
    <col min="4874" max="4874" width="12" style="108" customWidth="1"/>
    <col min="4875" max="4875" width="16.7109375" style="108" customWidth="1"/>
    <col min="4876" max="4876" width="12" style="108" customWidth="1"/>
    <col min="4877" max="4877" width="16.28515625" style="108" customWidth="1"/>
    <col min="4878" max="4878" width="12.28515625" style="108" customWidth="1"/>
    <col min="4879" max="4879" width="17.42578125" style="108" customWidth="1"/>
    <col min="4880" max="4880" width="12" style="108" customWidth="1"/>
    <col min="4881" max="4881" width="16.5703125" style="108" customWidth="1"/>
    <col min="4882" max="4882" width="13.28515625" style="108" customWidth="1"/>
    <col min="4883" max="4883" width="16.5703125" style="108" customWidth="1"/>
    <col min="4884" max="4884" width="13.7109375" style="108" customWidth="1"/>
    <col min="4885" max="4885" width="15.7109375" style="108" customWidth="1"/>
    <col min="4886" max="4886" width="12.5703125" style="108" customWidth="1"/>
    <col min="4887" max="4887" width="19.140625" style="108" customWidth="1"/>
    <col min="4888" max="4888" width="12.28515625" style="108" customWidth="1"/>
    <col min="4889" max="4889" width="17.140625" style="108" customWidth="1"/>
    <col min="4890" max="4890" width="12.5703125" style="108" customWidth="1"/>
    <col min="4891" max="4891" width="17.7109375" style="108" customWidth="1"/>
    <col min="4892" max="4892" width="12.140625" style="108" customWidth="1"/>
    <col min="4893" max="4893" width="30.5703125" style="108" customWidth="1"/>
    <col min="4894" max="4897" width="8.140625" style="108" customWidth="1"/>
    <col min="4898" max="4898" width="9.42578125" style="108" customWidth="1"/>
    <col min="4899" max="4899" width="8.140625" style="108" customWidth="1"/>
    <col min="4900" max="4904" width="7.85546875" style="108" customWidth="1"/>
    <col min="4905" max="4905" width="11.28515625" style="108" customWidth="1"/>
    <col min="4906" max="4906" width="2.28515625" style="108" customWidth="1"/>
    <col min="4907" max="4907" width="19.42578125" style="108"/>
    <col min="4908" max="4933" width="11.28515625" style="108" customWidth="1"/>
    <col min="4934" max="4945" width="8.85546875" style="108" customWidth="1"/>
    <col min="4946" max="5123" width="19.42578125" style="108"/>
    <col min="5124" max="5126" width="11" style="108" customWidth="1"/>
    <col min="5127" max="5127" width="16.140625" style="108" customWidth="1"/>
    <col min="5128" max="5128" width="12.42578125" style="108" customWidth="1"/>
    <col min="5129" max="5129" width="14.28515625" style="108" customWidth="1"/>
    <col min="5130" max="5130" width="12" style="108" customWidth="1"/>
    <col min="5131" max="5131" width="16.7109375" style="108" customWidth="1"/>
    <col min="5132" max="5132" width="12" style="108" customWidth="1"/>
    <col min="5133" max="5133" width="16.28515625" style="108" customWidth="1"/>
    <col min="5134" max="5134" width="12.28515625" style="108" customWidth="1"/>
    <col min="5135" max="5135" width="17.42578125" style="108" customWidth="1"/>
    <col min="5136" max="5136" width="12" style="108" customWidth="1"/>
    <col min="5137" max="5137" width="16.5703125" style="108" customWidth="1"/>
    <col min="5138" max="5138" width="13.28515625" style="108" customWidth="1"/>
    <col min="5139" max="5139" width="16.5703125" style="108" customWidth="1"/>
    <col min="5140" max="5140" width="13.7109375" style="108" customWidth="1"/>
    <col min="5141" max="5141" width="15.7109375" style="108" customWidth="1"/>
    <col min="5142" max="5142" width="12.5703125" style="108" customWidth="1"/>
    <col min="5143" max="5143" width="19.140625" style="108" customWidth="1"/>
    <col min="5144" max="5144" width="12.28515625" style="108" customWidth="1"/>
    <col min="5145" max="5145" width="17.140625" style="108" customWidth="1"/>
    <col min="5146" max="5146" width="12.5703125" style="108" customWidth="1"/>
    <col min="5147" max="5147" width="17.7109375" style="108" customWidth="1"/>
    <col min="5148" max="5148" width="12.140625" style="108" customWidth="1"/>
    <col min="5149" max="5149" width="30.5703125" style="108" customWidth="1"/>
    <col min="5150" max="5153" width="8.140625" style="108" customWidth="1"/>
    <col min="5154" max="5154" width="9.42578125" style="108" customWidth="1"/>
    <col min="5155" max="5155" width="8.140625" style="108" customWidth="1"/>
    <col min="5156" max="5160" width="7.85546875" style="108" customWidth="1"/>
    <col min="5161" max="5161" width="11.28515625" style="108" customWidth="1"/>
    <col min="5162" max="5162" width="2.28515625" style="108" customWidth="1"/>
    <col min="5163" max="5163" width="19.42578125" style="108"/>
    <col min="5164" max="5189" width="11.28515625" style="108" customWidth="1"/>
    <col min="5190" max="5201" width="8.85546875" style="108" customWidth="1"/>
    <col min="5202" max="5379" width="19.42578125" style="108"/>
    <col min="5380" max="5382" width="11" style="108" customWidth="1"/>
    <col min="5383" max="5383" width="16.140625" style="108" customWidth="1"/>
    <col min="5384" max="5384" width="12.42578125" style="108" customWidth="1"/>
    <col min="5385" max="5385" width="14.28515625" style="108" customWidth="1"/>
    <col min="5386" max="5386" width="12" style="108" customWidth="1"/>
    <col min="5387" max="5387" width="16.7109375" style="108" customWidth="1"/>
    <col min="5388" max="5388" width="12" style="108" customWidth="1"/>
    <col min="5389" max="5389" width="16.28515625" style="108" customWidth="1"/>
    <col min="5390" max="5390" width="12.28515625" style="108" customWidth="1"/>
    <col min="5391" max="5391" width="17.42578125" style="108" customWidth="1"/>
    <col min="5392" max="5392" width="12" style="108" customWidth="1"/>
    <col min="5393" max="5393" width="16.5703125" style="108" customWidth="1"/>
    <col min="5394" max="5394" width="13.28515625" style="108" customWidth="1"/>
    <col min="5395" max="5395" width="16.5703125" style="108" customWidth="1"/>
    <col min="5396" max="5396" width="13.7109375" style="108" customWidth="1"/>
    <col min="5397" max="5397" width="15.7109375" style="108" customWidth="1"/>
    <col min="5398" max="5398" width="12.5703125" style="108" customWidth="1"/>
    <col min="5399" max="5399" width="19.140625" style="108" customWidth="1"/>
    <col min="5400" max="5400" width="12.28515625" style="108" customWidth="1"/>
    <col min="5401" max="5401" width="17.140625" style="108" customWidth="1"/>
    <col min="5402" max="5402" width="12.5703125" style="108" customWidth="1"/>
    <col min="5403" max="5403" width="17.7109375" style="108" customWidth="1"/>
    <col min="5404" max="5404" width="12.140625" style="108" customWidth="1"/>
    <col min="5405" max="5405" width="30.5703125" style="108" customWidth="1"/>
    <col min="5406" max="5409" width="8.140625" style="108" customWidth="1"/>
    <col min="5410" max="5410" width="9.42578125" style="108" customWidth="1"/>
    <col min="5411" max="5411" width="8.140625" style="108" customWidth="1"/>
    <col min="5412" max="5416" width="7.85546875" style="108" customWidth="1"/>
    <col min="5417" max="5417" width="11.28515625" style="108" customWidth="1"/>
    <col min="5418" max="5418" width="2.28515625" style="108" customWidth="1"/>
    <col min="5419" max="5419" width="19.42578125" style="108"/>
    <col min="5420" max="5445" width="11.28515625" style="108" customWidth="1"/>
    <col min="5446" max="5457" width="8.85546875" style="108" customWidth="1"/>
    <col min="5458" max="5635" width="19.42578125" style="108"/>
    <col min="5636" max="5638" width="11" style="108" customWidth="1"/>
    <col min="5639" max="5639" width="16.140625" style="108" customWidth="1"/>
    <col min="5640" max="5640" width="12.42578125" style="108" customWidth="1"/>
    <col min="5641" max="5641" width="14.28515625" style="108" customWidth="1"/>
    <col min="5642" max="5642" width="12" style="108" customWidth="1"/>
    <col min="5643" max="5643" width="16.7109375" style="108" customWidth="1"/>
    <col min="5644" max="5644" width="12" style="108" customWidth="1"/>
    <col min="5645" max="5645" width="16.28515625" style="108" customWidth="1"/>
    <col min="5646" max="5646" width="12.28515625" style="108" customWidth="1"/>
    <col min="5647" max="5647" width="17.42578125" style="108" customWidth="1"/>
    <col min="5648" max="5648" width="12" style="108" customWidth="1"/>
    <col min="5649" max="5649" width="16.5703125" style="108" customWidth="1"/>
    <col min="5650" max="5650" width="13.28515625" style="108" customWidth="1"/>
    <col min="5651" max="5651" width="16.5703125" style="108" customWidth="1"/>
    <col min="5652" max="5652" width="13.7109375" style="108" customWidth="1"/>
    <col min="5653" max="5653" width="15.7109375" style="108" customWidth="1"/>
    <col min="5654" max="5654" width="12.5703125" style="108" customWidth="1"/>
    <col min="5655" max="5655" width="19.140625" style="108" customWidth="1"/>
    <col min="5656" max="5656" width="12.28515625" style="108" customWidth="1"/>
    <col min="5657" max="5657" width="17.140625" style="108" customWidth="1"/>
    <col min="5658" max="5658" width="12.5703125" style="108" customWidth="1"/>
    <col min="5659" max="5659" width="17.7109375" style="108" customWidth="1"/>
    <col min="5660" max="5660" width="12.140625" style="108" customWidth="1"/>
    <col min="5661" max="5661" width="30.5703125" style="108" customWidth="1"/>
    <col min="5662" max="5665" width="8.140625" style="108" customWidth="1"/>
    <col min="5666" max="5666" width="9.42578125" style="108" customWidth="1"/>
    <col min="5667" max="5667" width="8.140625" style="108" customWidth="1"/>
    <col min="5668" max="5672" width="7.85546875" style="108" customWidth="1"/>
    <col min="5673" max="5673" width="11.28515625" style="108" customWidth="1"/>
    <col min="5674" max="5674" width="2.28515625" style="108" customWidth="1"/>
    <col min="5675" max="5675" width="19.42578125" style="108"/>
    <col min="5676" max="5701" width="11.28515625" style="108" customWidth="1"/>
    <col min="5702" max="5713" width="8.85546875" style="108" customWidth="1"/>
    <col min="5714" max="5891" width="19.42578125" style="108"/>
    <col min="5892" max="5894" width="11" style="108" customWidth="1"/>
    <col min="5895" max="5895" width="16.140625" style="108" customWidth="1"/>
    <col min="5896" max="5896" width="12.42578125" style="108" customWidth="1"/>
    <col min="5897" max="5897" width="14.28515625" style="108" customWidth="1"/>
    <col min="5898" max="5898" width="12" style="108" customWidth="1"/>
    <col min="5899" max="5899" width="16.7109375" style="108" customWidth="1"/>
    <col min="5900" max="5900" width="12" style="108" customWidth="1"/>
    <col min="5901" max="5901" width="16.28515625" style="108" customWidth="1"/>
    <col min="5902" max="5902" width="12.28515625" style="108" customWidth="1"/>
    <col min="5903" max="5903" width="17.42578125" style="108" customWidth="1"/>
    <col min="5904" max="5904" width="12" style="108" customWidth="1"/>
    <col min="5905" max="5905" width="16.5703125" style="108" customWidth="1"/>
    <col min="5906" max="5906" width="13.28515625" style="108" customWidth="1"/>
    <col min="5907" max="5907" width="16.5703125" style="108" customWidth="1"/>
    <col min="5908" max="5908" width="13.7109375" style="108" customWidth="1"/>
    <col min="5909" max="5909" width="15.7109375" style="108" customWidth="1"/>
    <col min="5910" max="5910" width="12.5703125" style="108" customWidth="1"/>
    <col min="5911" max="5911" width="19.140625" style="108" customWidth="1"/>
    <col min="5912" max="5912" width="12.28515625" style="108" customWidth="1"/>
    <col min="5913" max="5913" width="17.140625" style="108" customWidth="1"/>
    <col min="5914" max="5914" width="12.5703125" style="108" customWidth="1"/>
    <col min="5915" max="5915" width="17.7109375" style="108" customWidth="1"/>
    <col min="5916" max="5916" width="12.140625" style="108" customWidth="1"/>
    <col min="5917" max="5917" width="30.5703125" style="108" customWidth="1"/>
    <col min="5918" max="5921" width="8.140625" style="108" customWidth="1"/>
    <col min="5922" max="5922" width="9.42578125" style="108" customWidth="1"/>
    <col min="5923" max="5923" width="8.140625" style="108" customWidth="1"/>
    <col min="5924" max="5928" width="7.85546875" style="108" customWidth="1"/>
    <col min="5929" max="5929" width="11.28515625" style="108" customWidth="1"/>
    <col min="5930" max="5930" width="2.28515625" style="108" customWidth="1"/>
    <col min="5931" max="5931" width="19.42578125" style="108"/>
    <col min="5932" max="5957" width="11.28515625" style="108" customWidth="1"/>
    <col min="5958" max="5969" width="8.85546875" style="108" customWidth="1"/>
    <col min="5970" max="6147" width="19.42578125" style="108"/>
    <col min="6148" max="6150" width="11" style="108" customWidth="1"/>
    <col min="6151" max="6151" width="16.140625" style="108" customWidth="1"/>
    <col min="6152" max="6152" width="12.42578125" style="108" customWidth="1"/>
    <col min="6153" max="6153" width="14.28515625" style="108" customWidth="1"/>
    <col min="6154" max="6154" width="12" style="108" customWidth="1"/>
    <col min="6155" max="6155" width="16.7109375" style="108" customWidth="1"/>
    <col min="6156" max="6156" width="12" style="108" customWidth="1"/>
    <col min="6157" max="6157" width="16.28515625" style="108" customWidth="1"/>
    <col min="6158" max="6158" width="12.28515625" style="108" customWidth="1"/>
    <col min="6159" max="6159" width="17.42578125" style="108" customWidth="1"/>
    <col min="6160" max="6160" width="12" style="108" customWidth="1"/>
    <col min="6161" max="6161" width="16.5703125" style="108" customWidth="1"/>
    <col min="6162" max="6162" width="13.28515625" style="108" customWidth="1"/>
    <col min="6163" max="6163" width="16.5703125" style="108" customWidth="1"/>
    <col min="6164" max="6164" width="13.7109375" style="108" customWidth="1"/>
    <col min="6165" max="6165" width="15.7109375" style="108" customWidth="1"/>
    <col min="6166" max="6166" width="12.5703125" style="108" customWidth="1"/>
    <col min="6167" max="6167" width="19.140625" style="108" customWidth="1"/>
    <col min="6168" max="6168" width="12.28515625" style="108" customWidth="1"/>
    <col min="6169" max="6169" width="17.140625" style="108" customWidth="1"/>
    <col min="6170" max="6170" width="12.5703125" style="108" customWidth="1"/>
    <col min="6171" max="6171" width="17.7109375" style="108" customWidth="1"/>
    <col min="6172" max="6172" width="12.140625" style="108" customWidth="1"/>
    <col min="6173" max="6173" width="30.5703125" style="108" customWidth="1"/>
    <col min="6174" max="6177" width="8.140625" style="108" customWidth="1"/>
    <col min="6178" max="6178" width="9.42578125" style="108" customWidth="1"/>
    <col min="6179" max="6179" width="8.140625" style="108" customWidth="1"/>
    <col min="6180" max="6184" width="7.85546875" style="108" customWidth="1"/>
    <col min="6185" max="6185" width="11.28515625" style="108" customWidth="1"/>
    <col min="6186" max="6186" width="2.28515625" style="108" customWidth="1"/>
    <col min="6187" max="6187" width="19.42578125" style="108"/>
    <col min="6188" max="6213" width="11.28515625" style="108" customWidth="1"/>
    <col min="6214" max="6225" width="8.85546875" style="108" customWidth="1"/>
    <col min="6226" max="6403" width="19.42578125" style="108"/>
    <col min="6404" max="6406" width="11" style="108" customWidth="1"/>
    <col min="6407" max="6407" width="16.140625" style="108" customWidth="1"/>
    <col min="6408" max="6408" width="12.42578125" style="108" customWidth="1"/>
    <col min="6409" max="6409" width="14.28515625" style="108" customWidth="1"/>
    <col min="6410" max="6410" width="12" style="108" customWidth="1"/>
    <col min="6411" max="6411" width="16.7109375" style="108" customWidth="1"/>
    <col min="6412" max="6412" width="12" style="108" customWidth="1"/>
    <col min="6413" max="6413" width="16.28515625" style="108" customWidth="1"/>
    <col min="6414" max="6414" width="12.28515625" style="108" customWidth="1"/>
    <col min="6415" max="6415" width="17.42578125" style="108" customWidth="1"/>
    <col min="6416" max="6416" width="12" style="108" customWidth="1"/>
    <col min="6417" max="6417" width="16.5703125" style="108" customWidth="1"/>
    <col min="6418" max="6418" width="13.28515625" style="108" customWidth="1"/>
    <col min="6419" max="6419" width="16.5703125" style="108" customWidth="1"/>
    <col min="6420" max="6420" width="13.7109375" style="108" customWidth="1"/>
    <col min="6421" max="6421" width="15.7109375" style="108" customWidth="1"/>
    <col min="6422" max="6422" width="12.5703125" style="108" customWidth="1"/>
    <col min="6423" max="6423" width="19.140625" style="108" customWidth="1"/>
    <col min="6424" max="6424" width="12.28515625" style="108" customWidth="1"/>
    <col min="6425" max="6425" width="17.140625" style="108" customWidth="1"/>
    <col min="6426" max="6426" width="12.5703125" style="108" customWidth="1"/>
    <col min="6427" max="6427" width="17.7109375" style="108" customWidth="1"/>
    <col min="6428" max="6428" width="12.140625" style="108" customWidth="1"/>
    <col min="6429" max="6429" width="30.5703125" style="108" customWidth="1"/>
    <col min="6430" max="6433" width="8.140625" style="108" customWidth="1"/>
    <col min="6434" max="6434" width="9.42578125" style="108" customWidth="1"/>
    <col min="6435" max="6435" width="8.140625" style="108" customWidth="1"/>
    <col min="6436" max="6440" width="7.85546875" style="108" customWidth="1"/>
    <col min="6441" max="6441" width="11.28515625" style="108" customWidth="1"/>
    <col min="6442" max="6442" width="2.28515625" style="108" customWidth="1"/>
    <col min="6443" max="6443" width="19.42578125" style="108"/>
    <col min="6444" max="6469" width="11.28515625" style="108" customWidth="1"/>
    <col min="6470" max="6481" width="8.85546875" style="108" customWidth="1"/>
    <col min="6482" max="6659" width="19.42578125" style="108"/>
    <col min="6660" max="6662" width="11" style="108" customWidth="1"/>
    <col min="6663" max="6663" width="16.140625" style="108" customWidth="1"/>
    <col min="6664" max="6664" width="12.42578125" style="108" customWidth="1"/>
    <col min="6665" max="6665" width="14.28515625" style="108" customWidth="1"/>
    <col min="6666" max="6666" width="12" style="108" customWidth="1"/>
    <col min="6667" max="6667" width="16.7109375" style="108" customWidth="1"/>
    <col min="6668" max="6668" width="12" style="108" customWidth="1"/>
    <col min="6669" max="6669" width="16.28515625" style="108" customWidth="1"/>
    <col min="6670" max="6670" width="12.28515625" style="108" customWidth="1"/>
    <col min="6671" max="6671" width="17.42578125" style="108" customWidth="1"/>
    <col min="6672" max="6672" width="12" style="108" customWidth="1"/>
    <col min="6673" max="6673" width="16.5703125" style="108" customWidth="1"/>
    <col min="6674" max="6674" width="13.28515625" style="108" customWidth="1"/>
    <col min="6675" max="6675" width="16.5703125" style="108" customWidth="1"/>
    <col min="6676" max="6676" width="13.7109375" style="108" customWidth="1"/>
    <col min="6677" max="6677" width="15.7109375" style="108" customWidth="1"/>
    <col min="6678" max="6678" width="12.5703125" style="108" customWidth="1"/>
    <col min="6679" max="6679" width="19.140625" style="108" customWidth="1"/>
    <col min="6680" max="6680" width="12.28515625" style="108" customWidth="1"/>
    <col min="6681" max="6681" width="17.140625" style="108" customWidth="1"/>
    <col min="6682" max="6682" width="12.5703125" style="108" customWidth="1"/>
    <col min="6683" max="6683" width="17.7109375" style="108" customWidth="1"/>
    <col min="6684" max="6684" width="12.140625" style="108" customWidth="1"/>
    <col min="6685" max="6685" width="30.5703125" style="108" customWidth="1"/>
    <col min="6686" max="6689" width="8.140625" style="108" customWidth="1"/>
    <col min="6690" max="6690" width="9.42578125" style="108" customWidth="1"/>
    <col min="6691" max="6691" width="8.140625" style="108" customWidth="1"/>
    <col min="6692" max="6696" width="7.85546875" style="108" customWidth="1"/>
    <col min="6697" max="6697" width="11.28515625" style="108" customWidth="1"/>
    <col min="6698" max="6698" width="2.28515625" style="108" customWidth="1"/>
    <col min="6699" max="6699" width="19.42578125" style="108"/>
    <col min="6700" max="6725" width="11.28515625" style="108" customWidth="1"/>
    <col min="6726" max="6737" width="8.85546875" style="108" customWidth="1"/>
    <col min="6738" max="6915" width="19.42578125" style="108"/>
    <col min="6916" max="6918" width="11" style="108" customWidth="1"/>
    <col min="6919" max="6919" width="16.140625" style="108" customWidth="1"/>
    <col min="6920" max="6920" width="12.42578125" style="108" customWidth="1"/>
    <col min="6921" max="6921" width="14.28515625" style="108" customWidth="1"/>
    <col min="6922" max="6922" width="12" style="108" customWidth="1"/>
    <col min="6923" max="6923" width="16.7109375" style="108" customWidth="1"/>
    <col min="6924" max="6924" width="12" style="108" customWidth="1"/>
    <col min="6925" max="6925" width="16.28515625" style="108" customWidth="1"/>
    <col min="6926" max="6926" width="12.28515625" style="108" customWidth="1"/>
    <col min="6927" max="6927" width="17.42578125" style="108" customWidth="1"/>
    <col min="6928" max="6928" width="12" style="108" customWidth="1"/>
    <col min="6929" max="6929" width="16.5703125" style="108" customWidth="1"/>
    <col min="6930" max="6930" width="13.28515625" style="108" customWidth="1"/>
    <col min="6931" max="6931" width="16.5703125" style="108" customWidth="1"/>
    <col min="6932" max="6932" width="13.7109375" style="108" customWidth="1"/>
    <col min="6933" max="6933" width="15.7109375" style="108" customWidth="1"/>
    <col min="6934" max="6934" width="12.5703125" style="108" customWidth="1"/>
    <col min="6935" max="6935" width="19.140625" style="108" customWidth="1"/>
    <col min="6936" max="6936" width="12.28515625" style="108" customWidth="1"/>
    <col min="6937" max="6937" width="17.140625" style="108" customWidth="1"/>
    <col min="6938" max="6938" width="12.5703125" style="108" customWidth="1"/>
    <col min="6939" max="6939" width="17.7109375" style="108" customWidth="1"/>
    <col min="6940" max="6940" width="12.140625" style="108" customWidth="1"/>
    <col min="6941" max="6941" width="30.5703125" style="108" customWidth="1"/>
    <col min="6942" max="6945" width="8.140625" style="108" customWidth="1"/>
    <col min="6946" max="6946" width="9.42578125" style="108" customWidth="1"/>
    <col min="6947" max="6947" width="8.140625" style="108" customWidth="1"/>
    <col min="6948" max="6952" width="7.85546875" style="108" customWidth="1"/>
    <col min="6953" max="6953" width="11.28515625" style="108" customWidth="1"/>
    <col min="6954" max="6954" width="2.28515625" style="108" customWidth="1"/>
    <col min="6955" max="6955" width="19.42578125" style="108"/>
    <col min="6956" max="6981" width="11.28515625" style="108" customWidth="1"/>
    <col min="6982" max="6993" width="8.85546875" style="108" customWidth="1"/>
    <col min="6994" max="7171" width="19.42578125" style="108"/>
    <col min="7172" max="7174" width="11" style="108" customWidth="1"/>
    <col min="7175" max="7175" width="16.140625" style="108" customWidth="1"/>
    <col min="7176" max="7176" width="12.42578125" style="108" customWidth="1"/>
    <col min="7177" max="7177" width="14.28515625" style="108" customWidth="1"/>
    <col min="7178" max="7178" width="12" style="108" customWidth="1"/>
    <col min="7179" max="7179" width="16.7109375" style="108" customWidth="1"/>
    <col min="7180" max="7180" width="12" style="108" customWidth="1"/>
    <col min="7181" max="7181" width="16.28515625" style="108" customWidth="1"/>
    <col min="7182" max="7182" width="12.28515625" style="108" customWidth="1"/>
    <col min="7183" max="7183" width="17.42578125" style="108" customWidth="1"/>
    <col min="7184" max="7184" width="12" style="108" customWidth="1"/>
    <col min="7185" max="7185" width="16.5703125" style="108" customWidth="1"/>
    <col min="7186" max="7186" width="13.28515625" style="108" customWidth="1"/>
    <col min="7187" max="7187" width="16.5703125" style="108" customWidth="1"/>
    <col min="7188" max="7188" width="13.7109375" style="108" customWidth="1"/>
    <col min="7189" max="7189" width="15.7109375" style="108" customWidth="1"/>
    <col min="7190" max="7190" width="12.5703125" style="108" customWidth="1"/>
    <col min="7191" max="7191" width="19.140625" style="108" customWidth="1"/>
    <col min="7192" max="7192" width="12.28515625" style="108" customWidth="1"/>
    <col min="7193" max="7193" width="17.140625" style="108" customWidth="1"/>
    <col min="7194" max="7194" width="12.5703125" style="108" customWidth="1"/>
    <col min="7195" max="7195" width="17.7109375" style="108" customWidth="1"/>
    <col min="7196" max="7196" width="12.140625" style="108" customWidth="1"/>
    <col min="7197" max="7197" width="30.5703125" style="108" customWidth="1"/>
    <col min="7198" max="7201" width="8.140625" style="108" customWidth="1"/>
    <col min="7202" max="7202" width="9.42578125" style="108" customWidth="1"/>
    <col min="7203" max="7203" width="8.140625" style="108" customWidth="1"/>
    <col min="7204" max="7208" width="7.85546875" style="108" customWidth="1"/>
    <col min="7209" max="7209" width="11.28515625" style="108" customWidth="1"/>
    <col min="7210" max="7210" width="2.28515625" style="108" customWidth="1"/>
    <col min="7211" max="7211" width="19.42578125" style="108"/>
    <col min="7212" max="7237" width="11.28515625" style="108" customWidth="1"/>
    <col min="7238" max="7249" width="8.85546875" style="108" customWidth="1"/>
    <col min="7250" max="7427" width="19.42578125" style="108"/>
    <col min="7428" max="7430" width="11" style="108" customWidth="1"/>
    <col min="7431" max="7431" width="16.140625" style="108" customWidth="1"/>
    <col min="7432" max="7432" width="12.42578125" style="108" customWidth="1"/>
    <col min="7433" max="7433" width="14.28515625" style="108" customWidth="1"/>
    <col min="7434" max="7434" width="12" style="108" customWidth="1"/>
    <col min="7435" max="7435" width="16.7109375" style="108" customWidth="1"/>
    <col min="7436" max="7436" width="12" style="108" customWidth="1"/>
    <col min="7437" max="7437" width="16.28515625" style="108" customWidth="1"/>
    <col min="7438" max="7438" width="12.28515625" style="108" customWidth="1"/>
    <col min="7439" max="7439" width="17.42578125" style="108" customWidth="1"/>
    <col min="7440" max="7440" width="12" style="108" customWidth="1"/>
    <col min="7441" max="7441" width="16.5703125" style="108" customWidth="1"/>
    <col min="7442" max="7442" width="13.28515625" style="108" customWidth="1"/>
    <col min="7443" max="7443" width="16.5703125" style="108" customWidth="1"/>
    <col min="7444" max="7444" width="13.7109375" style="108" customWidth="1"/>
    <col min="7445" max="7445" width="15.7109375" style="108" customWidth="1"/>
    <col min="7446" max="7446" width="12.5703125" style="108" customWidth="1"/>
    <col min="7447" max="7447" width="19.140625" style="108" customWidth="1"/>
    <col min="7448" max="7448" width="12.28515625" style="108" customWidth="1"/>
    <col min="7449" max="7449" width="17.140625" style="108" customWidth="1"/>
    <col min="7450" max="7450" width="12.5703125" style="108" customWidth="1"/>
    <col min="7451" max="7451" width="17.7109375" style="108" customWidth="1"/>
    <col min="7452" max="7452" width="12.140625" style="108" customWidth="1"/>
    <col min="7453" max="7453" width="30.5703125" style="108" customWidth="1"/>
    <col min="7454" max="7457" width="8.140625" style="108" customWidth="1"/>
    <col min="7458" max="7458" width="9.42578125" style="108" customWidth="1"/>
    <col min="7459" max="7459" width="8.140625" style="108" customWidth="1"/>
    <col min="7460" max="7464" width="7.85546875" style="108" customWidth="1"/>
    <col min="7465" max="7465" width="11.28515625" style="108" customWidth="1"/>
    <col min="7466" max="7466" width="2.28515625" style="108" customWidth="1"/>
    <col min="7467" max="7467" width="19.42578125" style="108"/>
    <col min="7468" max="7493" width="11.28515625" style="108" customWidth="1"/>
    <col min="7494" max="7505" width="8.85546875" style="108" customWidth="1"/>
    <col min="7506" max="7683" width="19.42578125" style="108"/>
    <col min="7684" max="7686" width="11" style="108" customWidth="1"/>
    <col min="7687" max="7687" width="16.140625" style="108" customWidth="1"/>
    <col min="7688" max="7688" width="12.42578125" style="108" customWidth="1"/>
    <col min="7689" max="7689" width="14.28515625" style="108" customWidth="1"/>
    <col min="7690" max="7690" width="12" style="108" customWidth="1"/>
    <col min="7691" max="7691" width="16.7109375" style="108" customWidth="1"/>
    <col min="7692" max="7692" width="12" style="108" customWidth="1"/>
    <col min="7693" max="7693" width="16.28515625" style="108" customWidth="1"/>
    <col min="7694" max="7694" width="12.28515625" style="108" customWidth="1"/>
    <col min="7695" max="7695" width="17.42578125" style="108" customWidth="1"/>
    <col min="7696" max="7696" width="12" style="108" customWidth="1"/>
    <col min="7697" max="7697" width="16.5703125" style="108" customWidth="1"/>
    <col min="7698" max="7698" width="13.28515625" style="108" customWidth="1"/>
    <col min="7699" max="7699" width="16.5703125" style="108" customWidth="1"/>
    <col min="7700" max="7700" width="13.7109375" style="108" customWidth="1"/>
    <col min="7701" max="7701" width="15.7109375" style="108" customWidth="1"/>
    <col min="7702" max="7702" width="12.5703125" style="108" customWidth="1"/>
    <col min="7703" max="7703" width="19.140625" style="108" customWidth="1"/>
    <col min="7704" max="7704" width="12.28515625" style="108" customWidth="1"/>
    <col min="7705" max="7705" width="17.140625" style="108" customWidth="1"/>
    <col min="7706" max="7706" width="12.5703125" style="108" customWidth="1"/>
    <col min="7707" max="7707" width="17.7109375" style="108" customWidth="1"/>
    <col min="7708" max="7708" width="12.140625" style="108" customWidth="1"/>
    <col min="7709" max="7709" width="30.5703125" style="108" customWidth="1"/>
    <col min="7710" max="7713" width="8.140625" style="108" customWidth="1"/>
    <col min="7714" max="7714" width="9.42578125" style="108" customWidth="1"/>
    <col min="7715" max="7715" width="8.140625" style="108" customWidth="1"/>
    <col min="7716" max="7720" width="7.85546875" style="108" customWidth="1"/>
    <col min="7721" max="7721" width="11.28515625" style="108" customWidth="1"/>
    <col min="7722" max="7722" width="2.28515625" style="108" customWidth="1"/>
    <col min="7723" max="7723" width="19.42578125" style="108"/>
    <col min="7724" max="7749" width="11.28515625" style="108" customWidth="1"/>
    <col min="7750" max="7761" width="8.85546875" style="108" customWidth="1"/>
    <col min="7762" max="7939" width="19.42578125" style="108"/>
    <col min="7940" max="7942" width="11" style="108" customWidth="1"/>
    <col min="7943" max="7943" width="16.140625" style="108" customWidth="1"/>
    <col min="7944" max="7944" width="12.42578125" style="108" customWidth="1"/>
    <col min="7945" max="7945" width="14.28515625" style="108" customWidth="1"/>
    <col min="7946" max="7946" width="12" style="108" customWidth="1"/>
    <col min="7947" max="7947" width="16.7109375" style="108" customWidth="1"/>
    <col min="7948" max="7948" width="12" style="108" customWidth="1"/>
    <col min="7949" max="7949" width="16.28515625" style="108" customWidth="1"/>
    <col min="7950" max="7950" width="12.28515625" style="108" customWidth="1"/>
    <col min="7951" max="7951" width="17.42578125" style="108" customWidth="1"/>
    <col min="7952" max="7952" width="12" style="108" customWidth="1"/>
    <col min="7953" max="7953" width="16.5703125" style="108" customWidth="1"/>
    <col min="7954" max="7954" width="13.28515625" style="108" customWidth="1"/>
    <col min="7955" max="7955" width="16.5703125" style="108" customWidth="1"/>
    <col min="7956" max="7956" width="13.7109375" style="108" customWidth="1"/>
    <col min="7957" max="7957" width="15.7109375" style="108" customWidth="1"/>
    <col min="7958" max="7958" width="12.5703125" style="108" customWidth="1"/>
    <col min="7959" max="7959" width="19.140625" style="108" customWidth="1"/>
    <col min="7960" max="7960" width="12.28515625" style="108" customWidth="1"/>
    <col min="7961" max="7961" width="17.140625" style="108" customWidth="1"/>
    <col min="7962" max="7962" width="12.5703125" style="108" customWidth="1"/>
    <col min="7963" max="7963" width="17.7109375" style="108" customWidth="1"/>
    <col min="7964" max="7964" width="12.140625" style="108" customWidth="1"/>
    <col min="7965" max="7965" width="30.5703125" style="108" customWidth="1"/>
    <col min="7966" max="7969" width="8.140625" style="108" customWidth="1"/>
    <col min="7970" max="7970" width="9.42578125" style="108" customWidth="1"/>
    <col min="7971" max="7971" width="8.140625" style="108" customWidth="1"/>
    <col min="7972" max="7976" width="7.85546875" style="108" customWidth="1"/>
    <col min="7977" max="7977" width="11.28515625" style="108" customWidth="1"/>
    <col min="7978" max="7978" width="2.28515625" style="108" customWidth="1"/>
    <col min="7979" max="7979" width="19.42578125" style="108"/>
    <col min="7980" max="8005" width="11.28515625" style="108" customWidth="1"/>
    <col min="8006" max="8017" width="8.85546875" style="108" customWidth="1"/>
    <col min="8018" max="8195" width="19.42578125" style="108"/>
    <col min="8196" max="8198" width="11" style="108" customWidth="1"/>
    <col min="8199" max="8199" width="16.140625" style="108" customWidth="1"/>
    <col min="8200" max="8200" width="12.42578125" style="108" customWidth="1"/>
    <col min="8201" max="8201" width="14.28515625" style="108" customWidth="1"/>
    <col min="8202" max="8202" width="12" style="108" customWidth="1"/>
    <col min="8203" max="8203" width="16.7109375" style="108" customWidth="1"/>
    <col min="8204" max="8204" width="12" style="108" customWidth="1"/>
    <col min="8205" max="8205" width="16.28515625" style="108" customWidth="1"/>
    <col min="8206" max="8206" width="12.28515625" style="108" customWidth="1"/>
    <col min="8207" max="8207" width="17.42578125" style="108" customWidth="1"/>
    <col min="8208" max="8208" width="12" style="108" customWidth="1"/>
    <col min="8209" max="8209" width="16.5703125" style="108" customWidth="1"/>
    <col min="8210" max="8210" width="13.28515625" style="108" customWidth="1"/>
    <col min="8211" max="8211" width="16.5703125" style="108" customWidth="1"/>
    <col min="8212" max="8212" width="13.7109375" style="108" customWidth="1"/>
    <col min="8213" max="8213" width="15.7109375" style="108" customWidth="1"/>
    <col min="8214" max="8214" width="12.5703125" style="108" customWidth="1"/>
    <col min="8215" max="8215" width="19.140625" style="108" customWidth="1"/>
    <col min="8216" max="8216" width="12.28515625" style="108" customWidth="1"/>
    <col min="8217" max="8217" width="17.140625" style="108" customWidth="1"/>
    <col min="8218" max="8218" width="12.5703125" style="108" customWidth="1"/>
    <col min="8219" max="8219" width="17.7109375" style="108" customWidth="1"/>
    <col min="8220" max="8220" width="12.140625" style="108" customWidth="1"/>
    <col min="8221" max="8221" width="30.5703125" style="108" customWidth="1"/>
    <col min="8222" max="8225" width="8.140625" style="108" customWidth="1"/>
    <col min="8226" max="8226" width="9.42578125" style="108" customWidth="1"/>
    <col min="8227" max="8227" width="8.140625" style="108" customWidth="1"/>
    <col min="8228" max="8232" width="7.85546875" style="108" customWidth="1"/>
    <col min="8233" max="8233" width="11.28515625" style="108" customWidth="1"/>
    <col min="8234" max="8234" width="2.28515625" style="108" customWidth="1"/>
    <col min="8235" max="8235" width="19.42578125" style="108"/>
    <col min="8236" max="8261" width="11.28515625" style="108" customWidth="1"/>
    <col min="8262" max="8273" width="8.85546875" style="108" customWidth="1"/>
    <col min="8274" max="8451" width="19.42578125" style="108"/>
    <col min="8452" max="8454" width="11" style="108" customWidth="1"/>
    <col min="8455" max="8455" width="16.140625" style="108" customWidth="1"/>
    <col min="8456" max="8456" width="12.42578125" style="108" customWidth="1"/>
    <col min="8457" max="8457" width="14.28515625" style="108" customWidth="1"/>
    <col min="8458" max="8458" width="12" style="108" customWidth="1"/>
    <col min="8459" max="8459" width="16.7109375" style="108" customWidth="1"/>
    <col min="8460" max="8460" width="12" style="108" customWidth="1"/>
    <col min="8461" max="8461" width="16.28515625" style="108" customWidth="1"/>
    <col min="8462" max="8462" width="12.28515625" style="108" customWidth="1"/>
    <col min="8463" max="8463" width="17.42578125" style="108" customWidth="1"/>
    <col min="8464" max="8464" width="12" style="108" customWidth="1"/>
    <col min="8465" max="8465" width="16.5703125" style="108" customWidth="1"/>
    <col min="8466" max="8466" width="13.28515625" style="108" customWidth="1"/>
    <col min="8467" max="8467" width="16.5703125" style="108" customWidth="1"/>
    <col min="8468" max="8468" width="13.7109375" style="108" customWidth="1"/>
    <col min="8469" max="8469" width="15.7109375" style="108" customWidth="1"/>
    <col min="8470" max="8470" width="12.5703125" style="108" customWidth="1"/>
    <col min="8471" max="8471" width="19.140625" style="108" customWidth="1"/>
    <col min="8472" max="8472" width="12.28515625" style="108" customWidth="1"/>
    <col min="8473" max="8473" width="17.140625" style="108" customWidth="1"/>
    <col min="8474" max="8474" width="12.5703125" style="108" customWidth="1"/>
    <col min="8475" max="8475" width="17.7109375" style="108" customWidth="1"/>
    <col min="8476" max="8476" width="12.140625" style="108" customWidth="1"/>
    <col min="8477" max="8477" width="30.5703125" style="108" customWidth="1"/>
    <col min="8478" max="8481" width="8.140625" style="108" customWidth="1"/>
    <col min="8482" max="8482" width="9.42578125" style="108" customWidth="1"/>
    <col min="8483" max="8483" width="8.140625" style="108" customWidth="1"/>
    <col min="8484" max="8488" width="7.85546875" style="108" customWidth="1"/>
    <col min="8489" max="8489" width="11.28515625" style="108" customWidth="1"/>
    <col min="8490" max="8490" width="2.28515625" style="108" customWidth="1"/>
    <col min="8491" max="8491" width="19.42578125" style="108"/>
    <col min="8492" max="8517" width="11.28515625" style="108" customWidth="1"/>
    <col min="8518" max="8529" width="8.85546875" style="108" customWidth="1"/>
    <col min="8530" max="8707" width="19.42578125" style="108"/>
    <col min="8708" max="8710" width="11" style="108" customWidth="1"/>
    <col min="8711" max="8711" width="16.140625" style="108" customWidth="1"/>
    <col min="8712" max="8712" width="12.42578125" style="108" customWidth="1"/>
    <col min="8713" max="8713" width="14.28515625" style="108" customWidth="1"/>
    <col min="8714" max="8714" width="12" style="108" customWidth="1"/>
    <col min="8715" max="8715" width="16.7109375" style="108" customWidth="1"/>
    <col min="8716" max="8716" width="12" style="108" customWidth="1"/>
    <col min="8717" max="8717" width="16.28515625" style="108" customWidth="1"/>
    <col min="8718" max="8718" width="12.28515625" style="108" customWidth="1"/>
    <col min="8719" max="8719" width="17.42578125" style="108" customWidth="1"/>
    <col min="8720" max="8720" width="12" style="108" customWidth="1"/>
    <col min="8721" max="8721" width="16.5703125" style="108" customWidth="1"/>
    <col min="8722" max="8722" width="13.28515625" style="108" customWidth="1"/>
    <col min="8723" max="8723" width="16.5703125" style="108" customWidth="1"/>
    <col min="8724" max="8724" width="13.7109375" style="108" customWidth="1"/>
    <col min="8725" max="8725" width="15.7109375" style="108" customWidth="1"/>
    <col min="8726" max="8726" width="12.5703125" style="108" customWidth="1"/>
    <col min="8727" max="8727" width="19.140625" style="108" customWidth="1"/>
    <col min="8728" max="8728" width="12.28515625" style="108" customWidth="1"/>
    <col min="8729" max="8729" width="17.140625" style="108" customWidth="1"/>
    <col min="8730" max="8730" width="12.5703125" style="108" customWidth="1"/>
    <col min="8731" max="8731" width="17.7109375" style="108" customWidth="1"/>
    <col min="8732" max="8732" width="12.140625" style="108" customWidth="1"/>
    <col min="8733" max="8733" width="30.5703125" style="108" customWidth="1"/>
    <col min="8734" max="8737" width="8.140625" style="108" customWidth="1"/>
    <col min="8738" max="8738" width="9.42578125" style="108" customWidth="1"/>
    <col min="8739" max="8739" width="8.140625" style="108" customWidth="1"/>
    <col min="8740" max="8744" width="7.85546875" style="108" customWidth="1"/>
    <col min="8745" max="8745" width="11.28515625" style="108" customWidth="1"/>
    <col min="8746" max="8746" width="2.28515625" style="108" customWidth="1"/>
    <col min="8747" max="8747" width="19.42578125" style="108"/>
    <col min="8748" max="8773" width="11.28515625" style="108" customWidth="1"/>
    <col min="8774" max="8785" width="8.85546875" style="108" customWidth="1"/>
    <col min="8786" max="8963" width="19.42578125" style="108"/>
    <col min="8964" max="8966" width="11" style="108" customWidth="1"/>
    <col min="8967" max="8967" width="16.140625" style="108" customWidth="1"/>
    <col min="8968" max="8968" width="12.42578125" style="108" customWidth="1"/>
    <col min="8969" max="8969" width="14.28515625" style="108" customWidth="1"/>
    <col min="8970" max="8970" width="12" style="108" customWidth="1"/>
    <col min="8971" max="8971" width="16.7109375" style="108" customWidth="1"/>
    <col min="8972" max="8972" width="12" style="108" customWidth="1"/>
    <col min="8973" max="8973" width="16.28515625" style="108" customWidth="1"/>
    <col min="8974" max="8974" width="12.28515625" style="108" customWidth="1"/>
    <col min="8975" max="8975" width="17.42578125" style="108" customWidth="1"/>
    <col min="8976" max="8976" width="12" style="108" customWidth="1"/>
    <col min="8977" max="8977" width="16.5703125" style="108" customWidth="1"/>
    <col min="8978" max="8978" width="13.28515625" style="108" customWidth="1"/>
    <col min="8979" max="8979" width="16.5703125" style="108" customWidth="1"/>
    <col min="8980" max="8980" width="13.7109375" style="108" customWidth="1"/>
    <col min="8981" max="8981" width="15.7109375" style="108" customWidth="1"/>
    <col min="8982" max="8982" width="12.5703125" style="108" customWidth="1"/>
    <col min="8983" max="8983" width="19.140625" style="108" customWidth="1"/>
    <col min="8984" max="8984" width="12.28515625" style="108" customWidth="1"/>
    <col min="8985" max="8985" width="17.140625" style="108" customWidth="1"/>
    <col min="8986" max="8986" width="12.5703125" style="108" customWidth="1"/>
    <col min="8987" max="8987" width="17.7109375" style="108" customWidth="1"/>
    <col min="8988" max="8988" width="12.140625" style="108" customWidth="1"/>
    <col min="8989" max="8989" width="30.5703125" style="108" customWidth="1"/>
    <col min="8990" max="8993" width="8.140625" style="108" customWidth="1"/>
    <col min="8994" max="8994" width="9.42578125" style="108" customWidth="1"/>
    <col min="8995" max="8995" width="8.140625" style="108" customWidth="1"/>
    <col min="8996" max="9000" width="7.85546875" style="108" customWidth="1"/>
    <col min="9001" max="9001" width="11.28515625" style="108" customWidth="1"/>
    <col min="9002" max="9002" width="2.28515625" style="108" customWidth="1"/>
    <col min="9003" max="9003" width="19.42578125" style="108"/>
    <col min="9004" max="9029" width="11.28515625" style="108" customWidth="1"/>
    <col min="9030" max="9041" width="8.85546875" style="108" customWidth="1"/>
    <col min="9042" max="9219" width="19.42578125" style="108"/>
    <col min="9220" max="9222" width="11" style="108" customWidth="1"/>
    <col min="9223" max="9223" width="16.140625" style="108" customWidth="1"/>
    <col min="9224" max="9224" width="12.42578125" style="108" customWidth="1"/>
    <col min="9225" max="9225" width="14.28515625" style="108" customWidth="1"/>
    <col min="9226" max="9226" width="12" style="108" customWidth="1"/>
    <col min="9227" max="9227" width="16.7109375" style="108" customWidth="1"/>
    <col min="9228" max="9228" width="12" style="108" customWidth="1"/>
    <col min="9229" max="9229" width="16.28515625" style="108" customWidth="1"/>
    <col min="9230" max="9230" width="12.28515625" style="108" customWidth="1"/>
    <col min="9231" max="9231" width="17.42578125" style="108" customWidth="1"/>
    <col min="9232" max="9232" width="12" style="108" customWidth="1"/>
    <col min="9233" max="9233" width="16.5703125" style="108" customWidth="1"/>
    <col min="9234" max="9234" width="13.28515625" style="108" customWidth="1"/>
    <col min="9235" max="9235" width="16.5703125" style="108" customWidth="1"/>
    <col min="9236" max="9236" width="13.7109375" style="108" customWidth="1"/>
    <col min="9237" max="9237" width="15.7109375" style="108" customWidth="1"/>
    <col min="9238" max="9238" width="12.5703125" style="108" customWidth="1"/>
    <col min="9239" max="9239" width="19.140625" style="108" customWidth="1"/>
    <col min="9240" max="9240" width="12.28515625" style="108" customWidth="1"/>
    <col min="9241" max="9241" width="17.140625" style="108" customWidth="1"/>
    <col min="9242" max="9242" width="12.5703125" style="108" customWidth="1"/>
    <col min="9243" max="9243" width="17.7109375" style="108" customWidth="1"/>
    <col min="9244" max="9244" width="12.140625" style="108" customWidth="1"/>
    <col min="9245" max="9245" width="30.5703125" style="108" customWidth="1"/>
    <col min="9246" max="9249" width="8.140625" style="108" customWidth="1"/>
    <col min="9250" max="9250" width="9.42578125" style="108" customWidth="1"/>
    <col min="9251" max="9251" width="8.140625" style="108" customWidth="1"/>
    <col min="9252" max="9256" width="7.85546875" style="108" customWidth="1"/>
    <col min="9257" max="9257" width="11.28515625" style="108" customWidth="1"/>
    <col min="9258" max="9258" width="2.28515625" style="108" customWidth="1"/>
    <col min="9259" max="9259" width="19.42578125" style="108"/>
    <col min="9260" max="9285" width="11.28515625" style="108" customWidth="1"/>
    <col min="9286" max="9297" width="8.85546875" style="108" customWidth="1"/>
    <col min="9298" max="9475" width="19.42578125" style="108"/>
    <col min="9476" max="9478" width="11" style="108" customWidth="1"/>
    <col min="9479" max="9479" width="16.140625" style="108" customWidth="1"/>
    <col min="9480" max="9480" width="12.42578125" style="108" customWidth="1"/>
    <col min="9481" max="9481" width="14.28515625" style="108" customWidth="1"/>
    <col min="9482" max="9482" width="12" style="108" customWidth="1"/>
    <col min="9483" max="9483" width="16.7109375" style="108" customWidth="1"/>
    <col min="9484" max="9484" width="12" style="108" customWidth="1"/>
    <col min="9485" max="9485" width="16.28515625" style="108" customWidth="1"/>
    <col min="9486" max="9486" width="12.28515625" style="108" customWidth="1"/>
    <col min="9487" max="9487" width="17.42578125" style="108" customWidth="1"/>
    <col min="9488" max="9488" width="12" style="108" customWidth="1"/>
    <col min="9489" max="9489" width="16.5703125" style="108" customWidth="1"/>
    <col min="9490" max="9490" width="13.28515625" style="108" customWidth="1"/>
    <col min="9491" max="9491" width="16.5703125" style="108" customWidth="1"/>
    <col min="9492" max="9492" width="13.7109375" style="108" customWidth="1"/>
    <col min="9493" max="9493" width="15.7109375" style="108" customWidth="1"/>
    <col min="9494" max="9494" width="12.5703125" style="108" customWidth="1"/>
    <col min="9495" max="9495" width="19.140625" style="108" customWidth="1"/>
    <col min="9496" max="9496" width="12.28515625" style="108" customWidth="1"/>
    <col min="9497" max="9497" width="17.140625" style="108" customWidth="1"/>
    <col min="9498" max="9498" width="12.5703125" style="108" customWidth="1"/>
    <col min="9499" max="9499" width="17.7109375" style="108" customWidth="1"/>
    <col min="9500" max="9500" width="12.140625" style="108" customWidth="1"/>
    <col min="9501" max="9501" width="30.5703125" style="108" customWidth="1"/>
    <col min="9502" max="9505" width="8.140625" style="108" customWidth="1"/>
    <col min="9506" max="9506" width="9.42578125" style="108" customWidth="1"/>
    <col min="9507" max="9507" width="8.140625" style="108" customWidth="1"/>
    <col min="9508" max="9512" width="7.85546875" style="108" customWidth="1"/>
    <col min="9513" max="9513" width="11.28515625" style="108" customWidth="1"/>
    <col min="9514" max="9514" width="2.28515625" style="108" customWidth="1"/>
    <col min="9515" max="9515" width="19.42578125" style="108"/>
    <col min="9516" max="9541" width="11.28515625" style="108" customWidth="1"/>
    <col min="9542" max="9553" width="8.85546875" style="108" customWidth="1"/>
    <col min="9554" max="9731" width="19.42578125" style="108"/>
    <col min="9732" max="9734" width="11" style="108" customWidth="1"/>
    <col min="9735" max="9735" width="16.140625" style="108" customWidth="1"/>
    <col min="9736" max="9736" width="12.42578125" style="108" customWidth="1"/>
    <col min="9737" max="9737" width="14.28515625" style="108" customWidth="1"/>
    <col min="9738" max="9738" width="12" style="108" customWidth="1"/>
    <col min="9739" max="9739" width="16.7109375" style="108" customWidth="1"/>
    <col min="9740" max="9740" width="12" style="108" customWidth="1"/>
    <col min="9741" max="9741" width="16.28515625" style="108" customWidth="1"/>
    <col min="9742" max="9742" width="12.28515625" style="108" customWidth="1"/>
    <col min="9743" max="9743" width="17.42578125" style="108" customWidth="1"/>
    <col min="9744" max="9744" width="12" style="108" customWidth="1"/>
    <col min="9745" max="9745" width="16.5703125" style="108" customWidth="1"/>
    <col min="9746" max="9746" width="13.28515625" style="108" customWidth="1"/>
    <col min="9747" max="9747" width="16.5703125" style="108" customWidth="1"/>
    <col min="9748" max="9748" width="13.7109375" style="108" customWidth="1"/>
    <col min="9749" max="9749" width="15.7109375" style="108" customWidth="1"/>
    <col min="9750" max="9750" width="12.5703125" style="108" customWidth="1"/>
    <col min="9751" max="9751" width="19.140625" style="108" customWidth="1"/>
    <col min="9752" max="9752" width="12.28515625" style="108" customWidth="1"/>
    <col min="9753" max="9753" width="17.140625" style="108" customWidth="1"/>
    <col min="9754" max="9754" width="12.5703125" style="108" customWidth="1"/>
    <col min="9755" max="9755" width="17.7109375" style="108" customWidth="1"/>
    <col min="9756" max="9756" width="12.140625" style="108" customWidth="1"/>
    <col min="9757" max="9757" width="30.5703125" style="108" customWidth="1"/>
    <col min="9758" max="9761" width="8.140625" style="108" customWidth="1"/>
    <col min="9762" max="9762" width="9.42578125" style="108" customWidth="1"/>
    <col min="9763" max="9763" width="8.140625" style="108" customWidth="1"/>
    <col min="9764" max="9768" width="7.85546875" style="108" customWidth="1"/>
    <col min="9769" max="9769" width="11.28515625" style="108" customWidth="1"/>
    <col min="9770" max="9770" width="2.28515625" style="108" customWidth="1"/>
    <col min="9771" max="9771" width="19.42578125" style="108"/>
    <col min="9772" max="9797" width="11.28515625" style="108" customWidth="1"/>
    <col min="9798" max="9809" width="8.85546875" style="108" customWidth="1"/>
    <col min="9810" max="9987" width="19.42578125" style="108"/>
    <col min="9988" max="9990" width="11" style="108" customWidth="1"/>
    <col min="9991" max="9991" width="16.140625" style="108" customWidth="1"/>
    <col min="9992" max="9992" width="12.42578125" style="108" customWidth="1"/>
    <col min="9993" max="9993" width="14.28515625" style="108" customWidth="1"/>
    <col min="9994" max="9994" width="12" style="108" customWidth="1"/>
    <col min="9995" max="9995" width="16.7109375" style="108" customWidth="1"/>
    <col min="9996" max="9996" width="12" style="108" customWidth="1"/>
    <col min="9997" max="9997" width="16.28515625" style="108" customWidth="1"/>
    <col min="9998" max="9998" width="12.28515625" style="108" customWidth="1"/>
    <col min="9999" max="9999" width="17.42578125" style="108" customWidth="1"/>
    <col min="10000" max="10000" width="12" style="108" customWidth="1"/>
    <col min="10001" max="10001" width="16.5703125" style="108" customWidth="1"/>
    <col min="10002" max="10002" width="13.28515625" style="108" customWidth="1"/>
    <col min="10003" max="10003" width="16.5703125" style="108" customWidth="1"/>
    <col min="10004" max="10004" width="13.7109375" style="108" customWidth="1"/>
    <col min="10005" max="10005" width="15.7109375" style="108" customWidth="1"/>
    <col min="10006" max="10006" width="12.5703125" style="108" customWidth="1"/>
    <col min="10007" max="10007" width="19.140625" style="108" customWidth="1"/>
    <col min="10008" max="10008" width="12.28515625" style="108" customWidth="1"/>
    <col min="10009" max="10009" width="17.140625" style="108" customWidth="1"/>
    <col min="10010" max="10010" width="12.5703125" style="108" customWidth="1"/>
    <col min="10011" max="10011" width="17.7109375" style="108" customWidth="1"/>
    <col min="10012" max="10012" width="12.140625" style="108" customWidth="1"/>
    <col min="10013" max="10013" width="30.5703125" style="108" customWidth="1"/>
    <col min="10014" max="10017" width="8.140625" style="108" customWidth="1"/>
    <col min="10018" max="10018" width="9.42578125" style="108" customWidth="1"/>
    <col min="10019" max="10019" width="8.140625" style="108" customWidth="1"/>
    <col min="10020" max="10024" width="7.85546875" style="108" customWidth="1"/>
    <col min="10025" max="10025" width="11.28515625" style="108" customWidth="1"/>
    <col min="10026" max="10026" width="2.28515625" style="108" customWidth="1"/>
    <col min="10027" max="10027" width="19.42578125" style="108"/>
    <col min="10028" max="10053" width="11.28515625" style="108" customWidth="1"/>
    <col min="10054" max="10065" width="8.85546875" style="108" customWidth="1"/>
    <col min="10066" max="10243" width="19.42578125" style="108"/>
    <col min="10244" max="10246" width="11" style="108" customWidth="1"/>
    <col min="10247" max="10247" width="16.140625" style="108" customWidth="1"/>
    <col min="10248" max="10248" width="12.42578125" style="108" customWidth="1"/>
    <col min="10249" max="10249" width="14.28515625" style="108" customWidth="1"/>
    <col min="10250" max="10250" width="12" style="108" customWidth="1"/>
    <col min="10251" max="10251" width="16.7109375" style="108" customWidth="1"/>
    <col min="10252" max="10252" width="12" style="108" customWidth="1"/>
    <col min="10253" max="10253" width="16.28515625" style="108" customWidth="1"/>
    <col min="10254" max="10254" width="12.28515625" style="108" customWidth="1"/>
    <col min="10255" max="10255" width="17.42578125" style="108" customWidth="1"/>
    <col min="10256" max="10256" width="12" style="108" customWidth="1"/>
    <col min="10257" max="10257" width="16.5703125" style="108" customWidth="1"/>
    <col min="10258" max="10258" width="13.28515625" style="108" customWidth="1"/>
    <col min="10259" max="10259" width="16.5703125" style="108" customWidth="1"/>
    <col min="10260" max="10260" width="13.7109375" style="108" customWidth="1"/>
    <col min="10261" max="10261" width="15.7109375" style="108" customWidth="1"/>
    <col min="10262" max="10262" width="12.5703125" style="108" customWidth="1"/>
    <col min="10263" max="10263" width="19.140625" style="108" customWidth="1"/>
    <col min="10264" max="10264" width="12.28515625" style="108" customWidth="1"/>
    <col min="10265" max="10265" width="17.140625" style="108" customWidth="1"/>
    <col min="10266" max="10266" width="12.5703125" style="108" customWidth="1"/>
    <col min="10267" max="10267" width="17.7109375" style="108" customWidth="1"/>
    <col min="10268" max="10268" width="12.140625" style="108" customWidth="1"/>
    <col min="10269" max="10269" width="30.5703125" style="108" customWidth="1"/>
    <col min="10270" max="10273" width="8.140625" style="108" customWidth="1"/>
    <col min="10274" max="10274" width="9.42578125" style="108" customWidth="1"/>
    <col min="10275" max="10275" width="8.140625" style="108" customWidth="1"/>
    <col min="10276" max="10280" width="7.85546875" style="108" customWidth="1"/>
    <col min="10281" max="10281" width="11.28515625" style="108" customWidth="1"/>
    <col min="10282" max="10282" width="2.28515625" style="108" customWidth="1"/>
    <col min="10283" max="10283" width="19.42578125" style="108"/>
    <col min="10284" max="10309" width="11.28515625" style="108" customWidth="1"/>
    <col min="10310" max="10321" width="8.85546875" style="108" customWidth="1"/>
    <col min="10322" max="10499" width="19.42578125" style="108"/>
    <col min="10500" max="10502" width="11" style="108" customWidth="1"/>
    <col min="10503" max="10503" width="16.140625" style="108" customWidth="1"/>
    <col min="10504" max="10504" width="12.42578125" style="108" customWidth="1"/>
    <col min="10505" max="10505" width="14.28515625" style="108" customWidth="1"/>
    <col min="10506" max="10506" width="12" style="108" customWidth="1"/>
    <col min="10507" max="10507" width="16.7109375" style="108" customWidth="1"/>
    <col min="10508" max="10508" width="12" style="108" customWidth="1"/>
    <col min="10509" max="10509" width="16.28515625" style="108" customWidth="1"/>
    <col min="10510" max="10510" width="12.28515625" style="108" customWidth="1"/>
    <col min="10511" max="10511" width="17.42578125" style="108" customWidth="1"/>
    <col min="10512" max="10512" width="12" style="108" customWidth="1"/>
    <col min="10513" max="10513" width="16.5703125" style="108" customWidth="1"/>
    <col min="10514" max="10514" width="13.28515625" style="108" customWidth="1"/>
    <col min="10515" max="10515" width="16.5703125" style="108" customWidth="1"/>
    <col min="10516" max="10516" width="13.7109375" style="108" customWidth="1"/>
    <col min="10517" max="10517" width="15.7109375" style="108" customWidth="1"/>
    <col min="10518" max="10518" width="12.5703125" style="108" customWidth="1"/>
    <col min="10519" max="10519" width="19.140625" style="108" customWidth="1"/>
    <col min="10520" max="10520" width="12.28515625" style="108" customWidth="1"/>
    <col min="10521" max="10521" width="17.140625" style="108" customWidth="1"/>
    <col min="10522" max="10522" width="12.5703125" style="108" customWidth="1"/>
    <col min="10523" max="10523" width="17.7109375" style="108" customWidth="1"/>
    <col min="10524" max="10524" width="12.140625" style="108" customWidth="1"/>
    <col min="10525" max="10525" width="30.5703125" style="108" customWidth="1"/>
    <col min="10526" max="10529" width="8.140625" style="108" customWidth="1"/>
    <col min="10530" max="10530" width="9.42578125" style="108" customWidth="1"/>
    <col min="10531" max="10531" width="8.140625" style="108" customWidth="1"/>
    <col min="10532" max="10536" width="7.85546875" style="108" customWidth="1"/>
    <col min="10537" max="10537" width="11.28515625" style="108" customWidth="1"/>
    <col min="10538" max="10538" width="2.28515625" style="108" customWidth="1"/>
    <col min="10539" max="10539" width="19.42578125" style="108"/>
    <col min="10540" max="10565" width="11.28515625" style="108" customWidth="1"/>
    <col min="10566" max="10577" width="8.85546875" style="108" customWidth="1"/>
    <col min="10578" max="10755" width="19.42578125" style="108"/>
    <col min="10756" max="10758" width="11" style="108" customWidth="1"/>
    <col min="10759" max="10759" width="16.140625" style="108" customWidth="1"/>
    <col min="10760" max="10760" width="12.42578125" style="108" customWidth="1"/>
    <col min="10761" max="10761" width="14.28515625" style="108" customWidth="1"/>
    <col min="10762" max="10762" width="12" style="108" customWidth="1"/>
    <col min="10763" max="10763" width="16.7109375" style="108" customWidth="1"/>
    <col min="10764" max="10764" width="12" style="108" customWidth="1"/>
    <col min="10765" max="10765" width="16.28515625" style="108" customWidth="1"/>
    <col min="10766" max="10766" width="12.28515625" style="108" customWidth="1"/>
    <col min="10767" max="10767" width="17.42578125" style="108" customWidth="1"/>
    <col min="10768" max="10768" width="12" style="108" customWidth="1"/>
    <col min="10769" max="10769" width="16.5703125" style="108" customWidth="1"/>
    <col min="10770" max="10770" width="13.28515625" style="108" customWidth="1"/>
    <col min="10771" max="10771" width="16.5703125" style="108" customWidth="1"/>
    <col min="10772" max="10772" width="13.7109375" style="108" customWidth="1"/>
    <col min="10773" max="10773" width="15.7109375" style="108" customWidth="1"/>
    <col min="10774" max="10774" width="12.5703125" style="108" customWidth="1"/>
    <col min="10775" max="10775" width="19.140625" style="108" customWidth="1"/>
    <col min="10776" max="10776" width="12.28515625" style="108" customWidth="1"/>
    <col min="10777" max="10777" width="17.140625" style="108" customWidth="1"/>
    <col min="10778" max="10778" width="12.5703125" style="108" customWidth="1"/>
    <col min="10779" max="10779" width="17.7109375" style="108" customWidth="1"/>
    <col min="10780" max="10780" width="12.140625" style="108" customWidth="1"/>
    <col min="10781" max="10781" width="30.5703125" style="108" customWidth="1"/>
    <col min="10782" max="10785" width="8.140625" style="108" customWidth="1"/>
    <col min="10786" max="10786" width="9.42578125" style="108" customWidth="1"/>
    <col min="10787" max="10787" width="8.140625" style="108" customWidth="1"/>
    <col min="10788" max="10792" width="7.85546875" style="108" customWidth="1"/>
    <col min="10793" max="10793" width="11.28515625" style="108" customWidth="1"/>
    <col min="10794" max="10794" width="2.28515625" style="108" customWidth="1"/>
    <col min="10795" max="10795" width="19.42578125" style="108"/>
    <col min="10796" max="10821" width="11.28515625" style="108" customWidth="1"/>
    <col min="10822" max="10833" width="8.85546875" style="108" customWidth="1"/>
    <col min="10834" max="11011" width="19.42578125" style="108"/>
    <col min="11012" max="11014" width="11" style="108" customWidth="1"/>
    <col min="11015" max="11015" width="16.140625" style="108" customWidth="1"/>
    <col min="11016" max="11016" width="12.42578125" style="108" customWidth="1"/>
    <col min="11017" max="11017" width="14.28515625" style="108" customWidth="1"/>
    <col min="11018" max="11018" width="12" style="108" customWidth="1"/>
    <col min="11019" max="11019" width="16.7109375" style="108" customWidth="1"/>
    <col min="11020" max="11020" width="12" style="108" customWidth="1"/>
    <col min="11021" max="11021" width="16.28515625" style="108" customWidth="1"/>
    <col min="11022" max="11022" width="12.28515625" style="108" customWidth="1"/>
    <col min="11023" max="11023" width="17.42578125" style="108" customWidth="1"/>
    <col min="11024" max="11024" width="12" style="108" customWidth="1"/>
    <col min="11025" max="11025" width="16.5703125" style="108" customWidth="1"/>
    <col min="11026" max="11026" width="13.28515625" style="108" customWidth="1"/>
    <col min="11027" max="11027" width="16.5703125" style="108" customWidth="1"/>
    <col min="11028" max="11028" width="13.7109375" style="108" customWidth="1"/>
    <col min="11029" max="11029" width="15.7109375" style="108" customWidth="1"/>
    <col min="11030" max="11030" width="12.5703125" style="108" customWidth="1"/>
    <col min="11031" max="11031" width="19.140625" style="108" customWidth="1"/>
    <col min="11032" max="11032" width="12.28515625" style="108" customWidth="1"/>
    <col min="11033" max="11033" width="17.140625" style="108" customWidth="1"/>
    <col min="11034" max="11034" width="12.5703125" style="108" customWidth="1"/>
    <col min="11035" max="11035" width="17.7109375" style="108" customWidth="1"/>
    <col min="11036" max="11036" width="12.140625" style="108" customWidth="1"/>
    <col min="11037" max="11037" width="30.5703125" style="108" customWidth="1"/>
    <col min="11038" max="11041" width="8.140625" style="108" customWidth="1"/>
    <col min="11042" max="11042" width="9.42578125" style="108" customWidth="1"/>
    <col min="11043" max="11043" width="8.140625" style="108" customWidth="1"/>
    <col min="11044" max="11048" width="7.85546875" style="108" customWidth="1"/>
    <col min="11049" max="11049" width="11.28515625" style="108" customWidth="1"/>
    <col min="11050" max="11050" width="2.28515625" style="108" customWidth="1"/>
    <col min="11051" max="11051" width="19.42578125" style="108"/>
    <col min="11052" max="11077" width="11.28515625" style="108" customWidth="1"/>
    <col min="11078" max="11089" width="8.85546875" style="108" customWidth="1"/>
    <col min="11090" max="11267" width="19.42578125" style="108"/>
    <col min="11268" max="11270" width="11" style="108" customWidth="1"/>
    <col min="11271" max="11271" width="16.140625" style="108" customWidth="1"/>
    <col min="11272" max="11272" width="12.42578125" style="108" customWidth="1"/>
    <col min="11273" max="11273" width="14.28515625" style="108" customWidth="1"/>
    <col min="11274" max="11274" width="12" style="108" customWidth="1"/>
    <col min="11275" max="11275" width="16.7109375" style="108" customWidth="1"/>
    <col min="11276" max="11276" width="12" style="108" customWidth="1"/>
    <col min="11277" max="11277" width="16.28515625" style="108" customWidth="1"/>
    <col min="11278" max="11278" width="12.28515625" style="108" customWidth="1"/>
    <col min="11279" max="11279" width="17.42578125" style="108" customWidth="1"/>
    <col min="11280" max="11280" width="12" style="108" customWidth="1"/>
    <col min="11281" max="11281" width="16.5703125" style="108" customWidth="1"/>
    <col min="11282" max="11282" width="13.28515625" style="108" customWidth="1"/>
    <col min="11283" max="11283" width="16.5703125" style="108" customWidth="1"/>
    <col min="11284" max="11284" width="13.7109375" style="108" customWidth="1"/>
    <col min="11285" max="11285" width="15.7109375" style="108" customWidth="1"/>
    <col min="11286" max="11286" width="12.5703125" style="108" customWidth="1"/>
    <col min="11287" max="11287" width="19.140625" style="108" customWidth="1"/>
    <col min="11288" max="11288" width="12.28515625" style="108" customWidth="1"/>
    <col min="11289" max="11289" width="17.140625" style="108" customWidth="1"/>
    <col min="11290" max="11290" width="12.5703125" style="108" customWidth="1"/>
    <col min="11291" max="11291" width="17.7109375" style="108" customWidth="1"/>
    <col min="11292" max="11292" width="12.140625" style="108" customWidth="1"/>
    <col min="11293" max="11293" width="30.5703125" style="108" customWidth="1"/>
    <col min="11294" max="11297" width="8.140625" style="108" customWidth="1"/>
    <col min="11298" max="11298" width="9.42578125" style="108" customWidth="1"/>
    <col min="11299" max="11299" width="8.140625" style="108" customWidth="1"/>
    <col min="11300" max="11304" width="7.85546875" style="108" customWidth="1"/>
    <col min="11305" max="11305" width="11.28515625" style="108" customWidth="1"/>
    <col min="11306" max="11306" width="2.28515625" style="108" customWidth="1"/>
    <col min="11307" max="11307" width="19.42578125" style="108"/>
    <col min="11308" max="11333" width="11.28515625" style="108" customWidth="1"/>
    <col min="11334" max="11345" width="8.85546875" style="108" customWidth="1"/>
    <col min="11346" max="11523" width="19.42578125" style="108"/>
    <col min="11524" max="11526" width="11" style="108" customWidth="1"/>
    <col min="11527" max="11527" width="16.140625" style="108" customWidth="1"/>
    <col min="11528" max="11528" width="12.42578125" style="108" customWidth="1"/>
    <col min="11529" max="11529" width="14.28515625" style="108" customWidth="1"/>
    <col min="11530" max="11530" width="12" style="108" customWidth="1"/>
    <col min="11531" max="11531" width="16.7109375" style="108" customWidth="1"/>
    <col min="11532" max="11532" width="12" style="108" customWidth="1"/>
    <col min="11533" max="11533" width="16.28515625" style="108" customWidth="1"/>
    <col min="11534" max="11534" width="12.28515625" style="108" customWidth="1"/>
    <col min="11535" max="11535" width="17.42578125" style="108" customWidth="1"/>
    <col min="11536" max="11536" width="12" style="108" customWidth="1"/>
    <col min="11537" max="11537" width="16.5703125" style="108" customWidth="1"/>
    <col min="11538" max="11538" width="13.28515625" style="108" customWidth="1"/>
    <col min="11539" max="11539" width="16.5703125" style="108" customWidth="1"/>
    <col min="11540" max="11540" width="13.7109375" style="108" customWidth="1"/>
    <col min="11541" max="11541" width="15.7109375" style="108" customWidth="1"/>
    <col min="11542" max="11542" width="12.5703125" style="108" customWidth="1"/>
    <col min="11543" max="11543" width="19.140625" style="108" customWidth="1"/>
    <col min="11544" max="11544" width="12.28515625" style="108" customWidth="1"/>
    <col min="11545" max="11545" width="17.140625" style="108" customWidth="1"/>
    <col min="11546" max="11546" width="12.5703125" style="108" customWidth="1"/>
    <col min="11547" max="11547" width="17.7109375" style="108" customWidth="1"/>
    <col min="11548" max="11548" width="12.140625" style="108" customWidth="1"/>
    <col min="11549" max="11549" width="30.5703125" style="108" customWidth="1"/>
    <col min="11550" max="11553" width="8.140625" style="108" customWidth="1"/>
    <col min="11554" max="11554" width="9.42578125" style="108" customWidth="1"/>
    <col min="11555" max="11555" width="8.140625" style="108" customWidth="1"/>
    <col min="11556" max="11560" width="7.85546875" style="108" customWidth="1"/>
    <col min="11561" max="11561" width="11.28515625" style="108" customWidth="1"/>
    <col min="11562" max="11562" width="2.28515625" style="108" customWidth="1"/>
    <col min="11563" max="11563" width="19.42578125" style="108"/>
    <col min="11564" max="11589" width="11.28515625" style="108" customWidth="1"/>
    <col min="11590" max="11601" width="8.85546875" style="108" customWidth="1"/>
    <col min="11602" max="11779" width="19.42578125" style="108"/>
    <col min="11780" max="11782" width="11" style="108" customWidth="1"/>
    <col min="11783" max="11783" width="16.140625" style="108" customWidth="1"/>
    <col min="11784" max="11784" width="12.42578125" style="108" customWidth="1"/>
    <col min="11785" max="11785" width="14.28515625" style="108" customWidth="1"/>
    <col min="11786" max="11786" width="12" style="108" customWidth="1"/>
    <col min="11787" max="11787" width="16.7109375" style="108" customWidth="1"/>
    <col min="11788" max="11788" width="12" style="108" customWidth="1"/>
    <col min="11789" max="11789" width="16.28515625" style="108" customWidth="1"/>
    <col min="11790" max="11790" width="12.28515625" style="108" customWidth="1"/>
    <col min="11791" max="11791" width="17.42578125" style="108" customWidth="1"/>
    <col min="11792" max="11792" width="12" style="108" customWidth="1"/>
    <col min="11793" max="11793" width="16.5703125" style="108" customWidth="1"/>
    <col min="11794" max="11794" width="13.28515625" style="108" customWidth="1"/>
    <col min="11795" max="11795" width="16.5703125" style="108" customWidth="1"/>
    <col min="11796" max="11796" width="13.7109375" style="108" customWidth="1"/>
    <col min="11797" max="11797" width="15.7109375" style="108" customWidth="1"/>
    <col min="11798" max="11798" width="12.5703125" style="108" customWidth="1"/>
    <col min="11799" max="11799" width="19.140625" style="108" customWidth="1"/>
    <col min="11800" max="11800" width="12.28515625" style="108" customWidth="1"/>
    <col min="11801" max="11801" width="17.140625" style="108" customWidth="1"/>
    <col min="11802" max="11802" width="12.5703125" style="108" customWidth="1"/>
    <col min="11803" max="11803" width="17.7109375" style="108" customWidth="1"/>
    <col min="11804" max="11804" width="12.140625" style="108" customWidth="1"/>
    <col min="11805" max="11805" width="30.5703125" style="108" customWidth="1"/>
    <col min="11806" max="11809" width="8.140625" style="108" customWidth="1"/>
    <col min="11810" max="11810" width="9.42578125" style="108" customWidth="1"/>
    <col min="11811" max="11811" width="8.140625" style="108" customWidth="1"/>
    <col min="11812" max="11816" width="7.85546875" style="108" customWidth="1"/>
    <col min="11817" max="11817" width="11.28515625" style="108" customWidth="1"/>
    <col min="11818" max="11818" width="2.28515625" style="108" customWidth="1"/>
    <col min="11819" max="11819" width="19.42578125" style="108"/>
    <col min="11820" max="11845" width="11.28515625" style="108" customWidth="1"/>
    <col min="11846" max="11857" width="8.85546875" style="108" customWidth="1"/>
    <col min="11858" max="12035" width="19.42578125" style="108"/>
    <col min="12036" max="12038" width="11" style="108" customWidth="1"/>
    <col min="12039" max="12039" width="16.140625" style="108" customWidth="1"/>
    <col min="12040" max="12040" width="12.42578125" style="108" customWidth="1"/>
    <col min="12041" max="12041" width="14.28515625" style="108" customWidth="1"/>
    <col min="12042" max="12042" width="12" style="108" customWidth="1"/>
    <col min="12043" max="12043" width="16.7109375" style="108" customWidth="1"/>
    <col min="12044" max="12044" width="12" style="108" customWidth="1"/>
    <col min="12045" max="12045" width="16.28515625" style="108" customWidth="1"/>
    <col min="12046" max="12046" width="12.28515625" style="108" customWidth="1"/>
    <col min="12047" max="12047" width="17.42578125" style="108" customWidth="1"/>
    <col min="12048" max="12048" width="12" style="108" customWidth="1"/>
    <col min="12049" max="12049" width="16.5703125" style="108" customWidth="1"/>
    <col min="12050" max="12050" width="13.28515625" style="108" customWidth="1"/>
    <col min="12051" max="12051" width="16.5703125" style="108" customWidth="1"/>
    <col min="12052" max="12052" width="13.7109375" style="108" customWidth="1"/>
    <col min="12053" max="12053" width="15.7109375" style="108" customWidth="1"/>
    <col min="12054" max="12054" width="12.5703125" style="108" customWidth="1"/>
    <col min="12055" max="12055" width="19.140625" style="108" customWidth="1"/>
    <col min="12056" max="12056" width="12.28515625" style="108" customWidth="1"/>
    <col min="12057" max="12057" width="17.140625" style="108" customWidth="1"/>
    <col min="12058" max="12058" width="12.5703125" style="108" customWidth="1"/>
    <col min="12059" max="12059" width="17.7109375" style="108" customWidth="1"/>
    <col min="12060" max="12060" width="12.140625" style="108" customWidth="1"/>
    <col min="12061" max="12061" width="30.5703125" style="108" customWidth="1"/>
    <col min="12062" max="12065" width="8.140625" style="108" customWidth="1"/>
    <col min="12066" max="12066" width="9.42578125" style="108" customWidth="1"/>
    <col min="12067" max="12067" width="8.140625" style="108" customWidth="1"/>
    <col min="12068" max="12072" width="7.85546875" style="108" customWidth="1"/>
    <col min="12073" max="12073" width="11.28515625" style="108" customWidth="1"/>
    <col min="12074" max="12074" width="2.28515625" style="108" customWidth="1"/>
    <col min="12075" max="12075" width="19.42578125" style="108"/>
    <col min="12076" max="12101" width="11.28515625" style="108" customWidth="1"/>
    <col min="12102" max="12113" width="8.85546875" style="108" customWidth="1"/>
    <col min="12114" max="12291" width="19.42578125" style="108"/>
    <col min="12292" max="12294" width="11" style="108" customWidth="1"/>
    <col min="12295" max="12295" width="16.140625" style="108" customWidth="1"/>
    <col min="12296" max="12296" width="12.42578125" style="108" customWidth="1"/>
    <col min="12297" max="12297" width="14.28515625" style="108" customWidth="1"/>
    <col min="12298" max="12298" width="12" style="108" customWidth="1"/>
    <col min="12299" max="12299" width="16.7109375" style="108" customWidth="1"/>
    <col min="12300" max="12300" width="12" style="108" customWidth="1"/>
    <col min="12301" max="12301" width="16.28515625" style="108" customWidth="1"/>
    <col min="12302" max="12302" width="12.28515625" style="108" customWidth="1"/>
    <col min="12303" max="12303" width="17.42578125" style="108" customWidth="1"/>
    <col min="12304" max="12304" width="12" style="108" customWidth="1"/>
    <col min="12305" max="12305" width="16.5703125" style="108" customWidth="1"/>
    <col min="12306" max="12306" width="13.28515625" style="108" customWidth="1"/>
    <col min="12307" max="12307" width="16.5703125" style="108" customWidth="1"/>
    <col min="12308" max="12308" width="13.7109375" style="108" customWidth="1"/>
    <col min="12309" max="12309" width="15.7109375" style="108" customWidth="1"/>
    <col min="12310" max="12310" width="12.5703125" style="108" customWidth="1"/>
    <col min="12311" max="12311" width="19.140625" style="108" customWidth="1"/>
    <col min="12312" max="12312" width="12.28515625" style="108" customWidth="1"/>
    <col min="12313" max="12313" width="17.140625" style="108" customWidth="1"/>
    <col min="12314" max="12314" width="12.5703125" style="108" customWidth="1"/>
    <col min="12315" max="12315" width="17.7109375" style="108" customWidth="1"/>
    <col min="12316" max="12316" width="12.140625" style="108" customWidth="1"/>
    <col min="12317" max="12317" width="30.5703125" style="108" customWidth="1"/>
    <col min="12318" max="12321" width="8.140625" style="108" customWidth="1"/>
    <col min="12322" max="12322" width="9.42578125" style="108" customWidth="1"/>
    <col min="12323" max="12323" width="8.140625" style="108" customWidth="1"/>
    <col min="12324" max="12328" width="7.85546875" style="108" customWidth="1"/>
    <col min="12329" max="12329" width="11.28515625" style="108" customWidth="1"/>
    <col min="12330" max="12330" width="2.28515625" style="108" customWidth="1"/>
    <col min="12331" max="12331" width="19.42578125" style="108"/>
    <col min="12332" max="12357" width="11.28515625" style="108" customWidth="1"/>
    <col min="12358" max="12369" width="8.85546875" style="108" customWidth="1"/>
    <col min="12370" max="12547" width="19.42578125" style="108"/>
    <col min="12548" max="12550" width="11" style="108" customWidth="1"/>
    <col min="12551" max="12551" width="16.140625" style="108" customWidth="1"/>
    <col min="12552" max="12552" width="12.42578125" style="108" customWidth="1"/>
    <col min="12553" max="12553" width="14.28515625" style="108" customWidth="1"/>
    <col min="12554" max="12554" width="12" style="108" customWidth="1"/>
    <col min="12555" max="12555" width="16.7109375" style="108" customWidth="1"/>
    <col min="12556" max="12556" width="12" style="108" customWidth="1"/>
    <col min="12557" max="12557" width="16.28515625" style="108" customWidth="1"/>
    <col min="12558" max="12558" width="12.28515625" style="108" customWidth="1"/>
    <col min="12559" max="12559" width="17.42578125" style="108" customWidth="1"/>
    <col min="12560" max="12560" width="12" style="108" customWidth="1"/>
    <col min="12561" max="12561" width="16.5703125" style="108" customWidth="1"/>
    <col min="12562" max="12562" width="13.28515625" style="108" customWidth="1"/>
    <col min="12563" max="12563" width="16.5703125" style="108" customWidth="1"/>
    <col min="12564" max="12564" width="13.7109375" style="108" customWidth="1"/>
    <col min="12565" max="12565" width="15.7109375" style="108" customWidth="1"/>
    <col min="12566" max="12566" width="12.5703125" style="108" customWidth="1"/>
    <col min="12567" max="12567" width="19.140625" style="108" customWidth="1"/>
    <col min="12568" max="12568" width="12.28515625" style="108" customWidth="1"/>
    <col min="12569" max="12569" width="17.140625" style="108" customWidth="1"/>
    <col min="12570" max="12570" width="12.5703125" style="108" customWidth="1"/>
    <col min="12571" max="12571" width="17.7109375" style="108" customWidth="1"/>
    <col min="12572" max="12572" width="12.140625" style="108" customWidth="1"/>
    <col min="12573" max="12573" width="30.5703125" style="108" customWidth="1"/>
    <col min="12574" max="12577" width="8.140625" style="108" customWidth="1"/>
    <col min="12578" max="12578" width="9.42578125" style="108" customWidth="1"/>
    <col min="12579" max="12579" width="8.140625" style="108" customWidth="1"/>
    <col min="12580" max="12584" width="7.85546875" style="108" customWidth="1"/>
    <col min="12585" max="12585" width="11.28515625" style="108" customWidth="1"/>
    <col min="12586" max="12586" width="2.28515625" style="108" customWidth="1"/>
    <col min="12587" max="12587" width="19.42578125" style="108"/>
    <col min="12588" max="12613" width="11.28515625" style="108" customWidth="1"/>
    <col min="12614" max="12625" width="8.85546875" style="108" customWidth="1"/>
    <col min="12626" max="12803" width="19.42578125" style="108"/>
    <col min="12804" max="12806" width="11" style="108" customWidth="1"/>
    <col min="12807" max="12807" width="16.140625" style="108" customWidth="1"/>
    <col min="12808" max="12808" width="12.42578125" style="108" customWidth="1"/>
    <col min="12809" max="12809" width="14.28515625" style="108" customWidth="1"/>
    <col min="12810" max="12810" width="12" style="108" customWidth="1"/>
    <col min="12811" max="12811" width="16.7109375" style="108" customWidth="1"/>
    <col min="12812" max="12812" width="12" style="108" customWidth="1"/>
    <col min="12813" max="12813" width="16.28515625" style="108" customWidth="1"/>
    <col min="12814" max="12814" width="12.28515625" style="108" customWidth="1"/>
    <col min="12815" max="12815" width="17.42578125" style="108" customWidth="1"/>
    <col min="12816" max="12816" width="12" style="108" customWidth="1"/>
    <col min="12817" max="12817" width="16.5703125" style="108" customWidth="1"/>
    <col min="12818" max="12818" width="13.28515625" style="108" customWidth="1"/>
    <col min="12819" max="12819" width="16.5703125" style="108" customWidth="1"/>
    <col min="12820" max="12820" width="13.7109375" style="108" customWidth="1"/>
    <col min="12821" max="12821" width="15.7109375" style="108" customWidth="1"/>
    <col min="12822" max="12822" width="12.5703125" style="108" customWidth="1"/>
    <col min="12823" max="12823" width="19.140625" style="108" customWidth="1"/>
    <col min="12824" max="12824" width="12.28515625" style="108" customWidth="1"/>
    <col min="12825" max="12825" width="17.140625" style="108" customWidth="1"/>
    <col min="12826" max="12826" width="12.5703125" style="108" customWidth="1"/>
    <col min="12827" max="12827" width="17.7109375" style="108" customWidth="1"/>
    <col min="12828" max="12828" width="12.140625" style="108" customWidth="1"/>
    <col min="12829" max="12829" width="30.5703125" style="108" customWidth="1"/>
    <col min="12830" max="12833" width="8.140625" style="108" customWidth="1"/>
    <col min="12834" max="12834" width="9.42578125" style="108" customWidth="1"/>
    <col min="12835" max="12835" width="8.140625" style="108" customWidth="1"/>
    <col min="12836" max="12840" width="7.85546875" style="108" customWidth="1"/>
    <col min="12841" max="12841" width="11.28515625" style="108" customWidth="1"/>
    <col min="12842" max="12842" width="2.28515625" style="108" customWidth="1"/>
    <col min="12843" max="12843" width="19.42578125" style="108"/>
    <col min="12844" max="12869" width="11.28515625" style="108" customWidth="1"/>
    <col min="12870" max="12881" width="8.85546875" style="108" customWidth="1"/>
    <col min="12882" max="13059" width="19.42578125" style="108"/>
    <col min="13060" max="13062" width="11" style="108" customWidth="1"/>
    <col min="13063" max="13063" width="16.140625" style="108" customWidth="1"/>
    <col min="13064" max="13064" width="12.42578125" style="108" customWidth="1"/>
    <col min="13065" max="13065" width="14.28515625" style="108" customWidth="1"/>
    <col min="13066" max="13066" width="12" style="108" customWidth="1"/>
    <col min="13067" max="13067" width="16.7109375" style="108" customWidth="1"/>
    <col min="13068" max="13068" width="12" style="108" customWidth="1"/>
    <col min="13069" max="13069" width="16.28515625" style="108" customWidth="1"/>
    <col min="13070" max="13070" width="12.28515625" style="108" customWidth="1"/>
    <col min="13071" max="13071" width="17.42578125" style="108" customWidth="1"/>
    <col min="13072" max="13072" width="12" style="108" customWidth="1"/>
    <col min="13073" max="13073" width="16.5703125" style="108" customWidth="1"/>
    <col min="13074" max="13074" width="13.28515625" style="108" customWidth="1"/>
    <col min="13075" max="13075" width="16.5703125" style="108" customWidth="1"/>
    <col min="13076" max="13076" width="13.7109375" style="108" customWidth="1"/>
    <col min="13077" max="13077" width="15.7109375" style="108" customWidth="1"/>
    <col min="13078" max="13078" width="12.5703125" style="108" customWidth="1"/>
    <col min="13079" max="13079" width="19.140625" style="108" customWidth="1"/>
    <col min="13080" max="13080" width="12.28515625" style="108" customWidth="1"/>
    <col min="13081" max="13081" width="17.140625" style="108" customWidth="1"/>
    <col min="13082" max="13082" width="12.5703125" style="108" customWidth="1"/>
    <col min="13083" max="13083" width="17.7109375" style="108" customWidth="1"/>
    <col min="13084" max="13084" width="12.140625" style="108" customWidth="1"/>
    <col min="13085" max="13085" width="30.5703125" style="108" customWidth="1"/>
    <col min="13086" max="13089" width="8.140625" style="108" customWidth="1"/>
    <col min="13090" max="13090" width="9.42578125" style="108" customWidth="1"/>
    <col min="13091" max="13091" width="8.140625" style="108" customWidth="1"/>
    <col min="13092" max="13096" width="7.85546875" style="108" customWidth="1"/>
    <col min="13097" max="13097" width="11.28515625" style="108" customWidth="1"/>
    <col min="13098" max="13098" width="2.28515625" style="108" customWidth="1"/>
    <col min="13099" max="13099" width="19.42578125" style="108"/>
    <col min="13100" max="13125" width="11.28515625" style="108" customWidth="1"/>
    <col min="13126" max="13137" width="8.85546875" style="108" customWidth="1"/>
    <col min="13138" max="13315" width="19.42578125" style="108"/>
    <col min="13316" max="13318" width="11" style="108" customWidth="1"/>
    <col min="13319" max="13319" width="16.140625" style="108" customWidth="1"/>
    <col min="13320" max="13320" width="12.42578125" style="108" customWidth="1"/>
    <col min="13321" max="13321" width="14.28515625" style="108" customWidth="1"/>
    <col min="13322" max="13322" width="12" style="108" customWidth="1"/>
    <col min="13323" max="13323" width="16.7109375" style="108" customWidth="1"/>
    <col min="13324" max="13324" width="12" style="108" customWidth="1"/>
    <col min="13325" max="13325" width="16.28515625" style="108" customWidth="1"/>
    <col min="13326" max="13326" width="12.28515625" style="108" customWidth="1"/>
    <col min="13327" max="13327" width="17.42578125" style="108" customWidth="1"/>
    <col min="13328" max="13328" width="12" style="108" customWidth="1"/>
    <col min="13329" max="13329" width="16.5703125" style="108" customWidth="1"/>
    <col min="13330" max="13330" width="13.28515625" style="108" customWidth="1"/>
    <col min="13331" max="13331" width="16.5703125" style="108" customWidth="1"/>
    <col min="13332" max="13332" width="13.7109375" style="108" customWidth="1"/>
    <col min="13333" max="13333" width="15.7109375" style="108" customWidth="1"/>
    <col min="13334" max="13334" width="12.5703125" style="108" customWidth="1"/>
    <col min="13335" max="13335" width="19.140625" style="108" customWidth="1"/>
    <col min="13336" max="13336" width="12.28515625" style="108" customWidth="1"/>
    <col min="13337" max="13337" width="17.140625" style="108" customWidth="1"/>
    <col min="13338" max="13338" width="12.5703125" style="108" customWidth="1"/>
    <col min="13339" max="13339" width="17.7109375" style="108" customWidth="1"/>
    <col min="13340" max="13340" width="12.140625" style="108" customWidth="1"/>
    <col min="13341" max="13341" width="30.5703125" style="108" customWidth="1"/>
    <col min="13342" max="13345" width="8.140625" style="108" customWidth="1"/>
    <col min="13346" max="13346" width="9.42578125" style="108" customWidth="1"/>
    <col min="13347" max="13347" width="8.140625" style="108" customWidth="1"/>
    <col min="13348" max="13352" width="7.85546875" style="108" customWidth="1"/>
    <col min="13353" max="13353" width="11.28515625" style="108" customWidth="1"/>
    <col min="13354" max="13354" width="2.28515625" style="108" customWidth="1"/>
    <col min="13355" max="13355" width="19.42578125" style="108"/>
    <col min="13356" max="13381" width="11.28515625" style="108" customWidth="1"/>
    <col min="13382" max="13393" width="8.85546875" style="108" customWidth="1"/>
    <col min="13394" max="13571" width="19.42578125" style="108"/>
    <col min="13572" max="13574" width="11" style="108" customWidth="1"/>
    <col min="13575" max="13575" width="16.140625" style="108" customWidth="1"/>
    <col min="13576" max="13576" width="12.42578125" style="108" customWidth="1"/>
    <col min="13577" max="13577" width="14.28515625" style="108" customWidth="1"/>
    <col min="13578" max="13578" width="12" style="108" customWidth="1"/>
    <col min="13579" max="13579" width="16.7109375" style="108" customWidth="1"/>
    <col min="13580" max="13580" width="12" style="108" customWidth="1"/>
    <col min="13581" max="13581" width="16.28515625" style="108" customWidth="1"/>
    <col min="13582" max="13582" width="12.28515625" style="108" customWidth="1"/>
    <col min="13583" max="13583" width="17.42578125" style="108" customWidth="1"/>
    <col min="13584" max="13584" width="12" style="108" customWidth="1"/>
    <col min="13585" max="13585" width="16.5703125" style="108" customWidth="1"/>
    <col min="13586" max="13586" width="13.28515625" style="108" customWidth="1"/>
    <col min="13587" max="13587" width="16.5703125" style="108" customWidth="1"/>
    <col min="13588" max="13588" width="13.7109375" style="108" customWidth="1"/>
    <col min="13589" max="13589" width="15.7109375" style="108" customWidth="1"/>
    <col min="13590" max="13590" width="12.5703125" style="108" customWidth="1"/>
    <col min="13591" max="13591" width="19.140625" style="108" customWidth="1"/>
    <col min="13592" max="13592" width="12.28515625" style="108" customWidth="1"/>
    <col min="13593" max="13593" width="17.140625" style="108" customWidth="1"/>
    <col min="13594" max="13594" width="12.5703125" style="108" customWidth="1"/>
    <col min="13595" max="13595" width="17.7109375" style="108" customWidth="1"/>
    <col min="13596" max="13596" width="12.140625" style="108" customWidth="1"/>
    <col min="13597" max="13597" width="30.5703125" style="108" customWidth="1"/>
    <col min="13598" max="13601" width="8.140625" style="108" customWidth="1"/>
    <col min="13602" max="13602" width="9.42578125" style="108" customWidth="1"/>
    <col min="13603" max="13603" width="8.140625" style="108" customWidth="1"/>
    <col min="13604" max="13608" width="7.85546875" style="108" customWidth="1"/>
    <col min="13609" max="13609" width="11.28515625" style="108" customWidth="1"/>
    <col min="13610" max="13610" width="2.28515625" style="108" customWidth="1"/>
    <col min="13611" max="13611" width="19.42578125" style="108"/>
    <col min="13612" max="13637" width="11.28515625" style="108" customWidth="1"/>
    <col min="13638" max="13649" width="8.85546875" style="108" customWidth="1"/>
    <col min="13650" max="13827" width="19.42578125" style="108"/>
    <col min="13828" max="13830" width="11" style="108" customWidth="1"/>
    <col min="13831" max="13831" width="16.140625" style="108" customWidth="1"/>
    <col min="13832" max="13832" width="12.42578125" style="108" customWidth="1"/>
    <col min="13833" max="13833" width="14.28515625" style="108" customWidth="1"/>
    <col min="13834" max="13834" width="12" style="108" customWidth="1"/>
    <col min="13835" max="13835" width="16.7109375" style="108" customWidth="1"/>
    <col min="13836" max="13836" width="12" style="108" customWidth="1"/>
    <col min="13837" max="13837" width="16.28515625" style="108" customWidth="1"/>
    <col min="13838" max="13838" width="12.28515625" style="108" customWidth="1"/>
    <col min="13839" max="13839" width="17.42578125" style="108" customWidth="1"/>
    <col min="13840" max="13840" width="12" style="108" customWidth="1"/>
    <col min="13841" max="13841" width="16.5703125" style="108" customWidth="1"/>
    <col min="13842" max="13842" width="13.28515625" style="108" customWidth="1"/>
    <col min="13843" max="13843" width="16.5703125" style="108" customWidth="1"/>
    <col min="13844" max="13844" width="13.7109375" style="108" customWidth="1"/>
    <col min="13845" max="13845" width="15.7109375" style="108" customWidth="1"/>
    <col min="13846" max="13846" width="12.5703125" style="108" customWidth="1"/>
    <col min="13847" max="13847" width="19.140625" style="108" customWidth="1"/>
    <col min="13848" max="13848" width="12.28515625" style="108" customWidth="1"/>
    <col min="13849" max="13849" width="17.140625" style="108" customWidth="1"/>
    <col min="13850" max="13850" width="12.5703125" style="108" customWidth="1"/>
    <col min="13851" max="13851" width="17.7109375" style="108" customWidth="1"/>
    <col min="13852" max="13852" width="12.140625" style="108" customWidth="1"/>
    <col min="13853" max="13853" width="30.5703125" style="108" customWidth="1"/>
    <col min="13854" max="13857" width="8.140625" style="108" customWidth="1"/>
    <col min="13858" max="13858" width="9.42578125" style="108" customWidth="1"/>
    <col min="13859" max="13859" width="8.140625" style="108" customWidth="1"/>
    <col min="13860" max="13864" width="7.85546875" style="108" customWidth="1"/>
    <col min="13865" max="13865" width="11.28515625" style="108" customWidth="1"/>
    <col min="13866" max="13866" width="2.28515625" style="108" customWidth="1"/>
    <col min="13867" max="13867" width="19.42578125" style="108"/>
    <col min="13868" max="13893" width="11.28515625" style="108" customWidth="1"/>
    <col min="13894" max="13905" width="8.85546875" style="108" customWidth="1"/>
    <col min="13906" max="14083" width="19.42578125" style="108"/>
    <col min="14084" max="14086" width="11" style="108" customWidth="1"/>
    <col min="14087" max="14087" width="16.140625" style="108" customWidth="1"/>
    <col min="14088" max="14088" width="12.42578125" style="108" customWidth="1"/>
    <col min="14089" max="14089" width="14.28515625" style="108" customWidth="1"/>
    <col min="14090" max="14090" width="12" style="108" customWidth="1"/>
    <col min="14091" max="14091" width="16.7109375" style="108" customWidth="1"/>
    <col min="14092" max="14092" width="12" style="108" customWidth="1"/>
    <col min="14093" max="14093" width="16.28515625" style="108" customWidth="1"/>
    <col min="14094" max="14094" width="12.28515625" style="108" customWidth="1"/>
    <col min="14095" max="14095" width="17.42578125" style="108" customWidth="1"/>
    <col min="14096" max="14096" width="12" style="108" customWidth="1"/>
    <col min="14097" max="14097" width="16.5703125" style="108" customWidth="1"/>
    <col min="14098" max="14098" width="13.28515625" style="108" customWidth="1"/>
    <col min="14099" max="14099" width="16.5703125" style="108" customWidth="1"/>
    <col min="14100" max="14100" width="13.7109375" style="108" customWidth="1"/>
    <col min="14101" max="14101" width="15.7109375" style="108" customWidth="1"/>
    <col min="14102" max="14102" width="12.5703125" style="108" customWidth="1"/>
    <col min="14103" max="14103" width="19.140625" style="108" customWidth="1"/>
    <col min="14104" max="14104" width="12.28515625" style="108" customWidth="1"/>
    <col min="14105" max="14105" width="17.140625" style="108" customWidth="1"/>
    <col min="14106" max="14106" width="12.5703125" style="108" customWidth="1"/>
    <col min="14107" max="14107" width="17.7109375" style="108" customWidth="1"/>
    <col min="14108" max="14108" width="12.140625" style="108" customWidth="1"/>
    <col min="14109" max="14109" width="30.5703125" style="108" customWidth="1"/>
    <col min="14110" max="14113" width="8.140625" style="108" customWidth="1"/>
    <col min="14114" max="14114" width="9.42578125" style="108" customWidth="1"/>
    <col min="14115" max="14115" width="8.140625" style="108" customWidth="1"/>
    <col min="14116" max="14120" width="7.85546875" style="108" customWidth="1"/>
    <col min="14121" max="14121" width="11.28515625" style="108" customWidth="1"/>
    <col min="14122" max="14122" width="2.28515625" style="108" customWidth="1"/>
    <col min="14123" max="14123" width="19.42578125" style="108"/>
    <col min="14124" max="14149" width="11.28515625" style="108" customWidth="1"/>
    <col min="14150" max="14161" width="8.85546875" style="108" customWidth="1"/>
    <col min="14162" max="14339" width="19.42578125" style="108"/>
    <col min="14340" max="14342" width="11" style="108" customWidth="1"/>
    <col min="14343" max="14343" width="16.140625" style="108" customWidth="1"/>
    <col min="14344" max="14344" width="12.42578125" style="108" customWidth="1"/>
    <col min="14345" max="14345" width="14.28515625" style="108" customWidth="1"/>
    <col min="14346" max="14346" width="12" style="108" customWidth="1"/>
    <col min="14347" max="14347" width="16.7109375" style="108" customWidth="1"/>
    <col min="14348" max="14348" width="12" style="108" customWidth="1"/>
    <col min="14349" max="14349" width="16.28515625" style="108" customWidth="1"/>
    <col min="14350" max="14350" width="12.28515625" style="108" customWidth="1"/>
    <col min="14351" max="14351" width="17.42578125" style="108" customWidth="1"/>
    <col min="14352" max="14352" width="12" style="108" customWidth="1"/>
    <col min="14353" max="14353" width="16.5703125" style="108" customWidth="1"/>
    <col min="14354" max="14354" width="13.28515625" style="108" customWidth="1"/>
    <col min="14355" max="14355" width="16.5703125" style="108" customWidth="1"/>
    <col min="14356" max="14356" width="13.7109375" style="108" customWidth="1"/>
    <col min="14357" max="14357" width="15.7109375" style="108" customWidth="1"/>
    <col min="14358" max="14358" width="12.5703125" style="108" customWidth="1"/>
    <col min="14359" max="14359" width="19.140625" style="108" customWidth="1"/>
    <col min="14360" max="14360" width="12.28515625" style="108" customWidth="1"/>
    <col min="14361" max="14361" width="17.140625" style="108" customWidth="1"/>
    <col min="14362" max="14362" width="12.5703125" style="108" customWidth="1"/>
    <col min="14363" max="14363" width="17.7109375" style="108" customWidth="1"/>
    <col min="14364" max="14364" width="12.140625" style="108" customWidth="1"/>
    <col min="14365" max="14365" width="30.5703125" style="108" customWidth="1"/>
    <col min="14366" max="14369" width="8.140625" style="108" customWidth="1"/>
    <col min="14370" max="14370" width="9.42578125" style="108" customWidth="1"/>
    <col min="14371" max="14371" width="8.140625" style="108" customWidth="1"/>
    <col min="14372" max="14376" width="7.85546875" style="108" customWidth="1"/>
    <col min="14377" max="14377" width="11.28515625" style="108" customWidth="1"/>
    <col min="14378" max="14378" width="2.28515625" style="108" customWidth="1"/>
    <col min="14379" max="14379" width="19.42578125" style="108"/>
    <col min="14380" max="14405" width="11.28515625" style="108" customWidth="1"/>
    <col min="14406" max="14417" width="8.85546875" style="108" customWidth="1"/>
    <col min="14418" max="14595" width="19.42578125" style="108"/>
    <col min="14596" max="14598" width="11" style="108" customWidth="1"/>
    <col min="14599" max="14599" width="16.140625" style="108" customWidth="1"/>
    <col min="14600" max="14600" width="12.42578125" style="108" customWidth="1"/>
    <col min="14601" max="14601" width="14.28515625" style="108" customWidth="1"/>
    <col min="14602" max="14602" width="12" style="108" customWidth="1"/>
    <col min="14603" max="14603" width="16.7109375" style="108" customWidth="1"/>
    <col min="14604" max="14604" width="12" style="108" customWidth="1"/>
    <col min="14605" max="14605" width="16.28515625" style="108" customWidth="1"/>
    <col min="14606" max="14606" width="12.28515625" style="108" customWidth="1"/>
    <col min="14607" max="14607" width="17.42578125" style="108" customWidth="1"/>
    <col min="14608" max="14608" width="12" style="108" customWidth="1"/>
    <col min="14609" max="14609" width="16.5703125" style="108" customWidth="1"/>
    <col min="14610" max="14610" width="13.28515625" style="108" customWidth="1"/>
    <col min="14611" max="14611" width="16.5703125" style="108" customWidth="1"/>
    <col min="14612" max="14612" width="13.7109375" style="108" customWidth="1"/>
    <col min="14613" max="14613" width="15.7109375" style="108" customWidth="1"/>
    <col min="14614" max="14614" width="12.5703125" style="108" customWidth="1"/>
    <col min="14615" max="14615" width="19.140625" style="108" customWidth="1"/>
    <col min="14616" max="14616" width="12.28515625" style="108" customWidth="1"/>
    <col min="14617" max="14617" width="17.140625" style="108" customWidth="1"/>
    <col min="14618" max="14618" width="12.5703125" style="108" customWidth="1"/>
    <col min="14619" max="14619" width="17.7109375" style="108" customWidth="1"/>
    <col min="14620" max="14620" width="12.140625" style="108" customWidth="1"/>
    <col min="14621" max="14621" width="30.5703125" style="108" customWidth="1"/>
    <col min="14622" max="14625" width="8.140625" style="108" customWidth="1"/>
    <col min="14626" max="14626" width="9.42578125" style="108" customWidth="1"/>
    <col min="14627" max="14627" width="8.140625" style="108" customWidth="1"/>
    <col min="14628" max="14632" width="7.85546875" style="108" customWidth="1"/>
    <col min="14633" max="14633" width="11.28515625" style="108" customWidth="1"/>
    <col min="14634" max="14634" width="2.28515625" style="108" customWidth="1"/>
    <col min="14635" max="14635" width="19.42578125" style="108"/>
    <col min="14636" max="14661" width="11.28515625" style="108" customWidth="1"/>
    <col min="14662" max="14673" width="8.85546875" style="108" customWidth="1"/>
    <col min="14674" max="14851" width="19.42578125" style="108"/>
    <col min="14852" max="14854" width="11" style="108" customWidth="1"/>
    <col min="14855" max="14855" width="16.140625" style="108" customWidth="1"/>
    <col min="14856" max="14856" width="12.42578125" style="108" customWidth="1"/>
    <col min="14857" max="14857" width="14.28515625" style="108" customWidth="1"/>
    <col min="14858" max="14858" width="12" style="108" customWidth="1"/>
    <col min="14859" max="14859" width="16.7109375" style="108" customWidth="1"/>
    <col min="14860" max="14860" width="12" style="108" customWidth="1"/>
    <col min="14861" max="14861" width="16.28515625" style="108" customWidth="1"/>
    <col min="14862" max="14862" width="12.28515625" style="108" customWidth="1"/>
    <col min="14863" max="14863" width="17.42578125" style="108" customWidth="1"/>
    <col min="14864" max="14864" width="12" style="108" customWidth="1"/>
    <col min="14865" max="14865" width="16.5703125" style="108" customWidth="1"/>
    <col min="14866" max="14866" width="13.28515625" style="108" customWidth="1"/>
    <col min="14867" max="14867" width="16.5703125" style="108" customWidth="1"/>
    <col min="14868" max="14868" width="13.7109375" style="108" customWidth="1"/>
    <col min="14869" max="14869" width="15.7109375" style="108" customWidth="1"/>
    <col min="14870" max="14870" width="12.5703125" style="108" customWidth="1"/>
    <col min="14871" max="14871" width="19.140625" style="108" customWidth="1"/>
    <col min="14872" max="14872" width="12.28515625" style="108" customWidth="1"/>
    <col min="14873" max="14873" width="17.140625" style="108" customWidth="1"/>
    <col min="14874" max="14874" width="12.5703125" style="108" customWidth="1"/>
    <col min="14875" max="14875" width="17.7109375" style="108" customWidth="1"/>
    <col min="14876" max="14876" width="12.140625" style="108" customWidth="1"/>
    <col min="14877" max="14877" width="30.5703125" style="108" customWidth="1"/>
    <col min="14878" max="14881" width="8.140625" style="108" customWidth="1"/>
    <col min="14882" max="14882" width="9.42578125" style="108" customWidth="1"/>
    <col min="14883" max="14883" width="8.140625" style="108" customWidth="1"/>
    <col min="14884" max="14888" width="7.85546875" style="108" customWidth="1"/>
    <col min="14889" max="14889" width="11.28515625" style="108" customWidth="1"/>
    <col min="14890" max="14890" width="2.28515625" style="108" customWidth="1"/>
    <col min="14891" max="14891" width="19.42578125" style="108"/>
    <col min="14892" max="14917" width="11.28515625" style="108" customWidth="1"/>
    <col min="14918" max="14929" width="8.85546875" style="108" customWidth="1"/>
    <col min="14930" max="15107" width="19.42578125" style="108"/>
    <col min="15108" max="15110" width="11" style="108" customWidth="1"/>
    <col min="15111" max="15111" width="16.140625" style="108" customWidth="1"/>
    <col min="15112" max="15112" width="12.42578125" style="108" customWidth="1"/>
    <col min="15113" max="15113" width="14.28515625" style="108" customWidth="1"/>
    <col min="15114" max="15114" width="12" style="108" customWidth="1"/>
    <col min="15115" max="15115" width="16.7109375" style="108" customWidth="1"/>
    <col min="15116" max="15116" width="12" style="108" customWidth="1"/>
    <col min="15117" max="15117" width="16.28515625" style="108" customWidth="1"/>
    <col min="15118" max="15118" width="12.28515625" style="108" customWidth="1"/>
    <col min="15119" max="15119" width="17.42578125" style="108" customWidth="1"/>
    <col min="15120" max="15120" width="12" style="108" customWidth="1"/>
    <col min="15121" max="15121" width="16.5703125" style="108" customWidth="1"/>
    <col min="15122" max="15122" width="13.28515625" style="108" customWidth="1"/>
    <col min="15123" max="15123" width="16.5703125" style="108" customWidth="1"/>
    <col min="15124" max="15124" width="13.7109375" style="108" customWidth="1"/>
    <col min="15125" max="15125" width="15.7109375" style="108" customWidth="1"/>
    <col min="15126" max="15126" width="12.5703125" style="108" customWidth="1"/>
    <col min="15127" max="15127" width="19.140625" style="108" customWidth="1"/>
    <col min="15128" max="15128" width="12.28515625" style="108" customWidth="1"/>
    <col min="15129" max="15129" width="17.140625" style="108" customWidth="1"/>
    <col min="15130" max="15130" width="12.5703125" style="108" customWidth="1"/>
    <col min="15131" max="15131" width="17.7109375" style="108" customWidth="1"/>
    <col min="15132" max="15132" width="12.140625" style="108" customWidth="1"/>
    <col min="15133" max="15133" width="30.5703125" style="108" customWidth="1"/>
    <col min="15134" max="15137" width="8.140625" style="108" customWidth="1"/>
    <col min="15138" max="15138" width="9.42578125" style="108" customWidth="1"/>
    <col min="15139" max="15139" width="8.140625" style="108" customWidth="1"/>
    <col min="15140" max="15144" width="7.85546875" style="108" customWidth="1"/>
    <col min="15145" max="15145" width="11.28515625" style="108" customWidth="1"/>
    <col min="15146" max="15146" width="2.28515625" style="108" customWidth="1"/>
    <col min="15147" max="15147" width="19.42578125" style="108"/>
    <col min="15148" max="15173" width="11.28515625" style="108" customWidth="1"/>
    <col min="15174" max="15185" width="8.85546875" style="108" customWidth="1"/>
    <col min="15186" max="15363" width="19.42578125" style="108"/>
    <col min="15364" max="15366" width="11" style="108" customWidth="1"/>
    <col min="15367" max="15367" width="16.140625" style="108" customWidth="1"/>
    <col min="15368" max="15368" width="12.42578125" style="108" customWidth="1"/>
    <col min="15369" max="15369" width="14.28515625" style="108" customWidth="1"/>
    <col min="15370" max="15370" width="12" style="108" customWidth="1"/>
    <col min="15371" max="15371" width="16.7109375" style="108" customWidth="1"/>
    <col min="15372" max="15372" width="12" style="108" customWidth="1"/>
    <col min="15373" max="15373" width="16.28515625" style="108" customWidth="1"/>
    <col min="15374" max="15374" width="12.28515625" style="108" customWidth="1"/>
    <col min="15375" max="15375" width="17.42578125" style="108" customWidth="1"/>
    <col min="15376" max="15376" width="12" style="108" customWidth="1"/>
    <col min="15377" max="15377" width="16.5703125" style="108" customWidth="1"/>
    <col min="15378" max="15378" width="13.28515625" style="108" customWidth="1"/>
    <col min="15379" max="15379" width="16.5703125" style="108" customWidth="1"/>
    <col min="15380" max="15380" width="13.7109375" style="108" customWidth="1"/>
    <col min="15381" max="15381" width="15.7109375" style="108" customWidth="1"/>
    <col min="15382" max="15382" width="12.5703125" style="108" customWidth="1"/>
    <col min="15383" max="15383" width="19.140625" style="108" customWidth="1"/>
    <col min="15384" max="15384" width="12.28515625" style="108" customWidth="1"/>
    <col min="15385" max="15385" width="17.140625" style="108" customWidth="1"/>
    <col min="15386" max="15386" width="12.5703125" style="108" customWidth="1"/>
    <col min="15387" max="15387" width="17.7109375" style="108" customWidth="1"/>
    <col min="15388" max="15388" width="12.140625" style="108" customWidth="1"/>
    <col min="15389" max="15389" width="30.5703125" style="108" customWidth="1"/>
    <col min="15390" max="15393" width="8.140625" style="108" customWidth="1"/>
    <col min="15394" max="15394" width="9.42578125" style="108" customWidth="1"/>
    <col min="15395" max="15395" width="8.140625" style="108" customWidth="1"/>
    <col min="15396" max="15400" width="7.85546875" style="108" customWidth="1"/>
    <col min="15401" max="15401" width="11.28515625" style="108" customWidth="1"/>
    <col min="15402" max="15402" width="2.28515625" style="108" customWidth="1"/>
    <col min="15403" max="15403" width="19.42578125" style="108"/>
    <col min="15404" max="15429" width="11.28515625" style="108" customWidth="1"/>
    <col min="15430" max="15441" width="8.85546875" style="108" customWidth="1"/>
    <col min="15442" max="15619" width="19.42578125" style="108"/>
    <col min="15620" max="15622" width="11" style="108" customWidth="1"/>
    <col min="15623" max="15623" width="16.140625" style="108" customWidth="1"/>
    <col min="15624" max="15624" width="12.42578125" style="108" customWidth="1"/>
    <col min="15625" max="15625" width="14.28515625" style="108" customWidth="1"/>
    <col min="15626" max="15626" width="12" style="108" customWidth="1"/>
    <col min="15627" max="15627" width="16.7109375" style="108" customWidth="1"/>
    <col min="15628" max="15628" width="12" style="108" customWidth="1"/>
    <col min="15629" max="15629" width="16.28515625" style="108" customWidth="1"/>
    <col min="15630" max="15630" width="12.28515625" style="108" customWidth="1"/>
    <col min="15631" max="15631" width="17.42578125" style="108" customWidth="1"/>
    <col min="15632" max="15632" width="12" style="108" customWidth="1"/>
    <col min="15633" max="15633" width="16.5703125" style="108" customWidth="1"/>
    <col min="15634" max="15634" width="13.28515625" style="108" customWidth="1"/>
    <col min="15635" max="15635" width="16.5703125" style="108" customWidth="1"/>
    <col min="15636" max="15636" width="13.7109375" style="108" customWidth="1"/>
    <col min="15637" max="15637" width="15.7109375" style="108" customWidth="1"/>
    <col min="15638" max="15638" width="12.5703125" style="108" customWidth="1"/>
    <col min="15639" max="15639" width="19.140625" style="108" customWidth="1"/>
    <col min="15640" max="15640" width="12.28515625" style="108" customWidth="1"/>
    <col min="15641" max="15641" width="17.140625" style="108" customWidth="1"/>
    <col min="15642" max="15642" width="12.5703125" style="108" customWidth="1"/>
    <col min="15643" max="15643" width="17.7109375" style="108" customWidth="1"/>
    <col min="15644" max="15644" width="12.140625" style="108" customWidth="1"/>
    <col min="15645" max="15645" width="30.5703125" style="108" customWidth="1"/>
    <col min="15646" max="15649" width="8.140625" style="108" customWidth="1"/>
    <col min="15650" max="15650" width="9.42578125" style="108" customWidth="1"/>
    <col min="15651" max="15651" width="8.140625" style="108" customWidth="1"/>
    <col min="15652" max="15656" width="7.85546875" style="108" customWidth="1"/>
    <col min="15657" max="15657" width="11.28515625" style="108" customWidth="1"/>
    <col min="15658" max="15658" width="2.28515625" style="108" customWidth="1"/>
    <col min="15659" max="15659" width="19.42578125" style="108"/>
    <col min="15660" max="15685" width="11.28515625" style="108" customWidth="1"/>
    <col min="15686" max="15697" width="8.85546875" style="108" customWidth="1"/>
    <col min="15698" max="15875" width="19.42578125" style="108"/>
    <col min="15876" max="15878" width="11" style="108" customWidth="1"/>
    <col min="15879" max="15879" width="16.140625" style="108" customWidth="1"/>
    <col min="15880" max="15880" width="12.42578125" style="108" customWidth="1"/>
    <col min="15881" max="15881" width="14.28515625" style="108" customWidth="1"/>
    <col min="15882" max="15882" width="12" style="108" customWidth="1"/>
    <col min="15883" max="15883" width="16.7109375" style="108" customWidth="1"/>
    <col min="15884" max="15884" width="12" style="108" customWidth="1"/>
    <col min="15885" max="15885" width="16.28515625" style="108" customWidth="1"/>
    <col min="15886" max="15886" width="12.28515625" style="108" customWidth="1"/>
    <col min="15887" max="15887" width="17.42578125" style="108" customWidth="1"/>
    <col min="15888" max="15888" width="12" style="108" customWidth="1"/>
    <col min="15889" max="15889" width="16.5703125" style="108" customWidth="1"/>
    <col min="15890" max="15890" width="13.28515625" style="108" customWidth="1"/>
    <col min="15891" max="15891" width="16.5703125" style="108" customWidth="1"/>
    <col min="15892" max="15892" width="13.7109375" style="108" customWidth="1"/>
    <col min="15893" max="15893" width="15.7109375" style="108" customWidth="1"/>
    <col min="15894" max="15894" width="12.5703125" style="108" customWidth="1"/>
    <col min="15895" max="15895" width="19.140625" style="108" customWidth="1"/>
    <col min="15896" max="15896" width="12.28515625" style="108" customWidth="1"/>
    <col min="15897" max="15897" width="17.140625" style="108" customWidth="1"/>
    <col min="15898" max="15898" width="12.5703125" style="108" customWidth="1"/>
    <col min="15899" max="15899" width="17.7109375" style="108" customWidth="1"/>
    <col min="15900" max="15900" width="12.140625" style="108" customWidth="1"/>
    <col min="15901" max="15901" width="30.5703125" style="108" customWidth="1"/>
    <col min="15902" max="15905" width="8.140625" style="108" customWidth="1"/>
    <col min="15906" max="15906" width="9.42578125" style="108" customWidth="1"/>
    <col min="15907" max="15907" width="8.140625" style="108" customWidth="1"/>
    <col min="15908" max="15912" width="7.85546875" style="108" customWidth="1"/>
    <col min="15913" max="15913" width="11.28515625" style="108" customWidth="1"/>
    <col min="15914" max="15914" width="2.28515625" style="108" customWidth="1"/>
    <col min="15915" max="15915" width="19.42578125" style="108"/>
    <col min="15916" max="15941" width="11.28515625" style="108" customWidth="1"/>
    <col min="15942" max="15953" width="8.85546875" style="108" customWidth="1"/>
    <col min="15954" max="16131" width="19.42578125" style="108"/>
    <col min="16132" max="16134" width="11" style="108" customWidth="1"/>
    <col min="16135" max="16135" width="16.140625" style="108" customWidth="1"/>
    <col min="16136" max="16136" width="12.42578125" style="108" customWidth="1"/>
    <col min="16137" max="16137" width="14.28515625" style="108" customWidth="1"/>
    <col min="16138" max="16138" width="12" style="108" customWidth="1"/>
    <col min="16139" max="16139" width="16.7109375" style="108" customWidth="1"/>
    <col min="16140" max="16140" width="12" style="108" customWidth="1"/>
    <col min="16141" max="16141" width="16.28515625" style="108" customWidth="1"/>
    <col min="16142" max="16142" width="12.28515625" style="108" customWidth="1"/>
    <col min="16143" max="16143" width="17.42578125" style="108" customWidth="1"/>
    <col min="16144" max="16144" width="12" style="108" customWidth="1"/>
    <col min="16145" max="16145" width="16.5703125" style="108" customWidth="1"/>
    <col min="16146" max="16146" width="13.28515625" style="108" customWidth="1"/>
    <col min="16147" max="16147" width="16.5703125" style="108" customWidth="1"/>
    <col min="16148" max="16148" width="13.7109375" style="108" customWidth="1"/>
    <col min="16149" max="16149" width="15.7109375" style="108" customWidth="1"/>
    <col min="16150" max="16150" width="12.5703125" style="108" customWidth="1"/>
    <col min="16151" max="16151" width="19.140625" style="108" customWidth="1"/>
    <col min="16152" max="16152" width="12.28515625" style="108" customWidth="1"/>
    <col min="16153" max="16153" width="17.140625" style="108" customWidth="1"/>
    <col min="16154" max="16154" width="12.5703125" style="108" customWidth="1"/>
    <col min="16155" max="16155" width="17.7109375" style="108" customWidth="1"/>
    <col min="16156" max="16156" width="12.140625" style="108" customWidth="1"/>
    <col min="16157" max="16157" width="30.5703125" style="108" customWidth="1"/>
    <col min="16158" max="16161" width="8.140625" style="108" customWidth="1"/>
    <col min="16162" max="16162" width="9.42578125" style="108" customWidth="1"/>
    <col min="16163" max="16163" width="8.140625" style="108" customWidth="1"/>
    <col min="16164" max="16168" width="7.85546875" style="108" customWidth="1"/>
    <col min="16169" max="16169" width="11.28515625" style="108" customWidth="1"/>
    <col min="16170" max="16170" width="2.28515625" style="108" customWidth="1"/>
    <col min="16171" max="16171" width="19.42578125" style="108"/>
    <col min="16172" max="16197" width="11.28515625" style="108" customWidth="1"/>
    <col min="16198" max="16209" width="8.85546875" style="108" customWidth="1"/>
    <col min="16210" max="16384" width="19.42578125" style="108"/>
  </cols>
  <sheetData>
    <row r="1" spans="1:86" ht="15.95" customHeight="1">
      <c r="A1" s="1154" t="s">
        <v>0</v>
      </c>
      <c r="B1" s="1154"/>
      <c r="C1" s="1154"/>
      <c r="D1" s="1154"/>
      <c r="E1" s="1154"/>
      <c r="F1" s="1154"/>
      <c r="G1" s="1154"/>
      <c r="H1" s="1154"/>
      <c r="I1" s="1154"/>
      <c r="J1" s="1154"/>
      <c r="K1" s="1154"/>
      <c r="L1" s="1154"/>
      <c r="M1" s="1154"/>
      <c r="N1" s="1154"/>
      <c r="O1" s="1154"/>
      <c r="P1" s="1154"/>
      <c r="Q1" s="1154"/>
      <c r="R1" s="1154"/>
      <c r="S1" s="1154"/>
      <c r="T1" s="1154"/>
      <c r="U1" s="1154"/>
      <c r="V1" s="1154"/>
      <c r="W1" s="1154"/>
      <c r="X1" s="1154"/>
      <c r="Y1" s="1154"/>
      <c r="Z1" s="1154"/>
      <c r="AA1" s="1154"/>
      <c r="AB1" s="1154"/>
      <c r="AC1" s="1154"/>
      <c r="AD1" s="1154"/>
      <c r="AE1" s="1154"/>
      <c r="AF1" s="1154"/>
      <c r="AG1" s="1154"/>
      <c r="AH1" s="1154"/>
      <c r="AI1" s="1154"/>
      <c r="AJ1" s="1154"/>
      <c r="AK1" s="1154"/>
      <c r="AL1" s="1154"/>
      <c r="AM1" s="1154"/>
      <c r="AN1" s="1154"/>
      <c r="AO1" s="1154"/>
      <c r="AP1" s="1154"/>
      <c r="AQ1" s="1154"/>
      <c r="AR1" s="1154"/>
      <c r="AS1" s="1154"/>
      <c r="AT1" s="1154"/>
      <c r="AU1" s="1154"/>
      <c r="AV1" s="1154"/>
      <c r="AW1" s="1154"/>
      <c r="AX1" s="1154"/>
      <c r="AY1" s="1154"/>
      <c r="AZ1" s="1154"/>
      <c r="BA1" s="1154"/>
      <c r="BB1" s="1154"/>
      <c r="BC1" s="1154"/>
      <c r="BD1" s="1154"/>
      <c r="BE1" s="1154"/>
      <c r="BF1" s="1154"/>
      <c r="BG1" s="1154"/>
      <c r="BH1" s="1155"/>
      <c r="BI1" s="1154"/>
      <c r="BJ1" s="1154"/>
      <c r="BK1" s="1154"/>
      <c r="BL1" s="1154"/>
      <c r="BM1" s="1154"/>
      <c r="BN1" s="1154"/>
      <c r="BO1" s="1154"/>
      <c r="BP1" s="1154"/>
      <c r="BQ1" s="1154"/>
      <c r="BR1" s="1154"/>
      <c r="BS1" s="1154"/>
      <c r="BT1" s="1154"/>
      <c r="BU1" s="1154"/>
      <c r="BV1" s="1154"/>
      <c r="BW1" s="1154"/>
      <c r="BX1" s="1154"/>
      <c r="BY1" s="1154"/>
      <c r="BZ1" s="1154"/>
      <c r="CA1" s="1156" t="s">
        <v>1</v>
      </c>
      <c r="CB1" s="1156"/>
      <c r="CC1" s="1156"/>
    </row>
    <row r="2" spans="1:86" ht="15.95" customHeight="1">
      <c r="A2" s="1154" t="s">
        <v>2</v>
      </c>
      <c r="B2" s="1154"/>
      <c r="C2" s="1154"/>
      <c r="D2" s="1154"/>
      <c r="E2" s="1154"/>
      <c r="F2" s="1154"/>
      <c r="G2" s="1154"/>
      <c r="H2" s="1154"/>
      <c r="I2" s="1154"/>
      <c r="J2" s="1154"/>
      <c r="K2" s="1154"/>
      <c r="L2" s="1154"/>
      <c r="M2" s="1154"/>
      <c r="N2" s="1154"/>
      <c r="O2" s="1154"/>
      <c r="P2" s="1154"/>
      <c r="Q2" s="1154"/>
      <c r="R2" s="1154"/>
      <c r="S2" s="1154"/>
      <c r="T2" s="1154"/>
      <c r="U2" s="1154"/>
      <c r="V2" s="1154"/>
      <c r="W2" s="1154"/>
      <c r="X2" s="1154"/>
      <c r="Y2" s="1154"/>
      <c r="Z2" s="1154"/>
      <c r="AA2" s="1154"/>
      <c r="AB2" s="1154"/>
      <c r="AC2" s="1154"/>
      <c r="AD2" s="1154"/>
      <c r="AE2" s="1154"/>
      <c r="AF2" s="1154"/>
      <c r="AG2" s="1154"/>
      <c r="AH2" s="1154"/>
      <c r="AI2" s="1154"/>
      <c r="AJ2" s="1154"/>
      <c r="AK2" s="1154"/>
      <c r="AL2" s="1154"/>
      <c r="AM2" s="1154"/>
      <c r="AN2" s="1154"/>
      <c r="AO2" s="1154"/>
      <c r="AP2" s="1154"/>
      <c r="AQ2" s="1154"/>
      <c r="AR2" s="1154"/>
      <c r="AS2" s="1154"/>
      <c r="AT2" s="1154"/>
      <c r="AU2" s="1154"/>
      <c r="AV2" s="1154"/>
      <c r="AW2" s="1154"/>
      <c r="AX2" s="1154"/>
      <c r="AY2" s="1154"/>
      <c r="AZ2" s="1154"/>
      <c r="BA2" s="1154"/>
      <c r="BB2" s="1154"/>
      <c r="BC2" s="1154"/>
      <c r="BD2" s="1154"/>
      <c r="BE2" s="1154"/>
      <c r="BF2" s="1154"/>
      <c r="BG2" s="1154"/>
      <c r="BH2" s="1155"/>
      <c r="BI2" s="1154"/>
      <c r="BJ2" s="1154"/>
      <c r="BK2" s="1154"/>
      <c r="BL2" s="1154"/>
      <c r="BM2" s="1154"/>
      <c r="BN2" s="1154"/>
      <c r="BO2" s="1154"/>
      <c r="BP2" s="1154"/>
      <c r="BQ2" s="1154"/>
      <c r="BR2" s="1154"/>
      <c r="BS2" s="1154"/>
      <c r="BT2" s="1154"/>
      <c r="BU2" s="1154"/>
      <c r="BV2" s="1154"/>
      <c r="BW2" s="1154"/>
      <c r="BX2" s="1154"/>
      <c r="BY2" s="1154"/>
      <c r="BZ2" s="1154"/>
      <c r="CA2" s="1156" t="s">
        <v>3</v>
      </c>
      <c r="CB2" s="1156"/>
      <c r="CC2" s="1156"/>
    </row>
    <row r="3" spans="1:86" ht="26.1" customHeight="1">
      <c r="A3" s="1154"/>
      <c r="B3" s="1154"/>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1154"/>
      <c r="AC3" s="1154"/>
      <c r="AD3" s="1154"/>
      <c r="AE3" s="1154"/>
      <c r="AF3" s="1154"/>
      <c r="AG3" s="1154"/>
      <c r="AH3" s="1154"/>
      <c r="AI3" s="1154"/>
      <c r="AJ3" s="1154"/>
      <c r="AK3" s="1154"/>
      <c r="AL3" s="1154"/>
      <c r="AM3" s="1154"/>
      <c r="AN3" s="1154"/>
      <c r="AO3" s="1154"/>
      <c r="AP3" s="1154"/>
      <c r="AQ3" s="1154"/>
      <c r="AR3" s="1154"/>
      <c r="AS3" s="1154"/>
      <c r="AT3" s="1154"/>
      <c r="AU3" s="1154"/>
      <c r="AV3" s="1154"/>
      <c r="AW3" s="1154"/>
      <c r="AX3" s="1154"/>
      <c r="AY3" s="1154"/>
      <c r="AZ3" s="1154"/>
      <c r="BA3" s="1154"/>
      <c r="BB3" s="1154"/>
      <c r="BC3" s="1154"/>
      <c r="BD3" s="1154"/>
      <c r="BE3" s="1154"/>
      <c r="BF3" s="1154"/>
      <c r="BG3" s="1154"/>
      <c r="BH3" s="1155"/>
      <c r="BI3" s="1154"/>
      <c r="BJ3" s="1154"/>
      <c r="BK3" s="1154"/>
      <c r="BL3" s="1154"/>
      <c r="BM3" s="1154"/>
      <c r="BN3" s="1154"/>
      <c r="BO3" s="1154"/>
      <c r="BP3" s="1154"/>
      <c r="BQ3" s="1154"/>
      <c r="BR3" s="1154"/>
      <c r="BS3" s="1154"/>
      <c r="BT3" s="1154"/>
      <c r="BU3" s="1154"/>
      <c r="BV3" s="1154"/>
      <c r="BW3" s="1154"/>
      <c r="BX3" s="1154"/>
      <c r="BY3" s="1154"/>
      <c r="BZ3" s="1154"/>
      <c r="CA3" s="1156" t="s">
        <v>5</v>
      </c>
      <c r="CB3" s="1156"/>
      <c r="CC3" s="1156"/>
    </row>
    <row r="4" spans="1:86" ht="15.75" customHeight="1">
      <c r="A4" s="1154" t="s">
        <v>259</v>
      </c>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c r="AD4" s="1154"/>
      <c r="AE4" s="1154"/>
      <c r="AF4" s="1154"/>
      <c r="AG4" s="1154"/>
      <c r="AH4" s="1154"/>
      <c r="AI4" s="1154"/>
      <c r="AJ4" s="1154"/>
      <c r="AK4" s="1154"/>
      <c r="AL4" s="1154"/>
      <c r="AM4" s="1154"/>
      <c r="AN4" s="1154"/>
      <c r="AO4" s="1154"/>
      <c r="AP4" s="1154"/>
      <c r="AQ4" s="1154"/>
      <c r="AR4" s="1154"/>
      <c r="AS4" s="1154"/>
      <c r="AT4" s="1154"/>
      <c r="AU4" s="1154"/>
      <c r="AV4" s="1154"/>
      <c r="AW4" s="1154"/>
      <c r="AX4" s="1154"/>
      <c r="AY4" s="1154"/>
      <c r="AZ4" s="1154"/>
      <c r="BA4" s="1154"/>
      <c r="BB4" s="1154"/>
      <c r="BC4" s="1154"/>
      <c r="BD4" s="1154"/>
      <c r="BE4" s="1154"/>
      <c r="BF4" s="1154"/>
      <c r="BG4" s="1154"/>
      <c r="BH4" s="1155"/>
      <c r="BI4" s="1154"/>
      <c r="BJ4" s="1154"/>
      <c r="BK4" s="1154"/>
      <c r="BL4" s="1154"/>
      <c r="BM4" s="1154"/>
      <c r="BN4" s="1154"/>
      <c r="BO4" s="1154"/>
      <c r="BP4" s="1154"/>
      <c r="BQ4" s="1154"/>
      <c r="BR4" s="1154"/>
      <c r="BS4" s="1154"/>
      <c r="BT4" s="1154"/>
      <c r="BU4" s="1154"/>
      <c r="BV4" s="1154"/>
      <c r="BW4" s="1154"/>
      <c r="BX4" s="1154"/>
      <c r="BY4" s="1154"/>
      <c r="BZ4" s="1154"/>
      <c r="CA4" s="1157" t="s">
        <v>260</v>
      </c>
      <c r="CB4" s="1158"/>
      <c r="CC4" s="1159"/>
    </row>
    <row r="5" spans="1:86" ht="26.1" customHeight="1">
      <c r="A5" s="1160" t="s">
        <v>261</v>
      </c>
      <c r="B5" s="1160"/>
      <c r="C5" s="1160"/>
      <c r="D5" s="1160"/>
      <c r="E5" s="1160"/>
      <c r="F5" s="1160"/>
      <c r="G5" s="1160"/>
      <c r="H5" s="1160"/>
      <c r="I5" s="1160"/>
      <c r="J5" s="1160"/>
      <c r="K5" s="1160"/>
      <c r="L5" s="1160"/>
      <c r="M5" s="1160"/>
      <c r="N5" s="1160"/>
      <c r="O5" s="1160"/>
      <c r="P5" s="1160"/>
      <c r="Q5" s="1160"/>
      <c r="R5" s="1160"/>
      <c r="S5" s="1160"/>
      <c r="T5" s="1160"/>
      <c r="U5" s="1160"/>
      <c r="V5" s="1160"/>
      <c r="W5" s="1160"/>
      <c r="X5" s="1160"/>
      <c r="Y5" s="1160"/>
      <c r="Z5" s="1160"/>
      <c r="AA5" s="1160"/>
      <c r="AB5" s="1160"/>
      <c r="AC5" s="1160"/>
      <c r="AD5" s="1160"/>
      <c r="AE5" s="1160"/>
      <c r="AF5" s="1160"/>
      <c r="AG5" s="1160"/>
      <c r="AH5" s="1160"/>
      <c r="AI5" s="1160"/>
      <c r="AJ5" s="1160"/>
      <c r="AK5" s="1160"/>
      <c r="AL5" s="1160"/>
      <c r="AM5" s="1160"/>
      <c r="AO5" s="1160" t="s">
        <v>262</v>
      </c>
      <c r="AP5" s="1160"/>
      <c r="AQ5" s="1160"/>
      <c r="AR5" s="1160"/>
      <c r="AS5" s="1160"/>
      <c r="AT5" s="1160"/>
      <c r="AU5" s="1160"/>
      <c r="AV5" s="1160"/>
      <c r="AW5" s="1160"/>
      <c r="AX5" s="1160"/>
      <c r="AY5" s="1160"/>
      <c r="AZ5" s="1160"/>
      <c r="BA5" s="1160"/>
      <c r="BB5" s="1160"/>
      <c r="BC5" s="1160"/>
      <c r="BD5" s="1160"/>
      <c r="BE5" s="1160"/>
      <c r="BF5" s="1160"/>
      <c r="BG5" s="1160"/>
      <c r="BH5" s="1161"/>
      <c r="BI5" s="1160"/>
      <c r="BJ5" s="1160"/>
      <c r="BK5" s="1160"/>
      <c r="BL5" s="1160"/>
      <c r="BM5" s="1160"/>
      <c r="BN5" s="1160"/>
      <c r="BO5" s="1160"/>
      <c r="BP5" s="1160"/>
      <c r="BQ5" s="1160"/>
      <c r="BR5" s="1160"/>
      <c r="BS5" s="1160"/>
      <c r="BT5" s="1160"/>
      <c r="BU5" s="1160"/>
      <c r="BV5" s="1160"/>
      <c r="BW5" s="1160"/>
      <c r="BX5" s="1160"/>
      <c r="BY5" s="1160"/>
      <c r="BZ5" s="1160"/>
      <c r="CA5" s="1162"/>
      <c r="CB5" s="1162"/>
      <c r="CC5" s="1162"/>
    </row>
    <row r="6" spans="1:86" ht="28.5">
      <c r="A6" s="149" t="s">
        <v>263</v>
      </c>
      <c r="B6" s="1142" t="s">
        <v>1277</v>
      </c>
      <c r="C6" s="1142"/>
      <c r="D6" s="1142"/>
      <c r="E6" s="1142"/>
      <c r="F6" s="1142"/>
      <c r="G6" s="1142"/>
      <c r="H6" s="1142"/>
      <c r="I6" s="1142"/>
      <c r="J6" s="1142"/>
      <c r="K6" s="1142"/>
      <c r="L6" s="1142"/>
      <c r="M6" s="1142"/>
      <c r="N6" s="1142"/>
      <c r="O6" s="1142"/>
      <c r="P6" s="1142"/>
      <c r="Q6" s="1142"/>
      <c r="R6" s="1142"/>
      <c r="S6" s="1142"/>
      <c r="T6" s="1142"/>
      <c r="U6" s="1142"/>
      <c r="V6" s="1142"/>
      <c r="W6" s="1142"/>
      <c r="X6" s="1142"/>
      <c r="Y6" s="1142"/>
      <c r="Z6" s="1142"/>
      <c r="AA6" s="1142"/>
      <c r="AB6" s="1142"/>
      <c r="AC6" s="1142"/>
      <c r="AD6" s="1142"/>
      <c r="AE6" s="1142"/>
      <c r="AF6" s="1142"/>
      <c r="AG6" s="1142"/>
      <c r="AH6" s="1142"/>
      <c r="AI6" s="1142"/>
      <c r="AJ6" s="1142"/>
      <c r="AK6" s="1142"/>
      <c r="AL6" s="1142"/>
      <c r="AM6" s="1142"/>
      <c r="AN6" s="1142"/>
      <c r="AO6" s="1142"/>
      <c r="AP6" s="1142"/>
      <c r="AQ6" s="1142"/>
      <c r="AR6" s="1142"/>
      <c r="AS6" s="1142"/>
      <c r="AT6" s="1142"/>
      <c r="AU6" s="1142"/>
      <c r="AV6" s="1142"/>
      <c r="AW6" s="1142"/>
      <c r="AX6" s="1142"/>
      <c r="AY6" s="1142"/>
      <c r="AZ6" s="1142"/>
      <c r="BA6" s="1142"/>
      <c r="BB6" s="1142"/>
      <c r="BC6" s="1142"/>
      <c r="BD6" s="1142"/>
      <c r="BE6" s="1142"/>
      <c r="BF6" s="1142"/>
      <c r="BG6" s="1142"/>
      <c r="BH6" s="1143"/>
      <c r="BI6" s="1142"/>
      <c r="BJ6" s="1142"/>
      <c r="BK6" s="1142"/>
      <c r="BL6" s="1142"/>
      <c r="BM6" s="1142"/>
      <c r="BN6" s="1142"/>
      <c r="BO6" s="1142"/>
      <c r="BP6" s="1142"/>
      <c r="BQ6" s="1142"/>
      <c r="BR6" s="1142"/>
      <c r="BS6" s="1142"/>
      <c r="BT6" s="1142"/>
      <c r="BU6" s="1142"/>
      <c r="BV6" s="1142"/>
      <c r="BW6" s="1142"/>
      <c r="BX6" s="1142"/>
      <c r="BY6" s="1142"/>
      <c r="BZ6" s="1142"/>
      <c r="CA6" s="1142"/>
      <c r="CB6" s="1142"/>
      <c r="CC6" s="1142"/>
    </row>
    <row r="7" spans="1:86" ht="29.1" customHeight="1">
      <c r="A7" s="150" t="s">
        <v>264</v>
      </c>
      <c r="B7" s="1139" t="s">
        <v>24</v>
      </c>
      <c r="C7" s="1140"/>
      <c r="D7" s="1140"/>
      <c r="E7" s="1140"/>
      <c r="F7" s="1140"/>
      <c r="G7" s="1140"/>
      <c r="H7" s="1140"/>
      <c r="I7" s="1140"/>
      <c r="J7" s="1140"/>
      <c r="K7" s="1140"/>
      <c r="L7" s="1140"/>
      <c r="M7" s="1140"/>
      <c r="N7" s="1140"/>
      <c r="O7" s="1140"/>
      <c r="P7" s="1140"/>
      <c r="Q7" s="1140"/>
      <c r="R7" s="1140"/>
      <c r="S7" s="1140"/>
      <c r="T7" s="1140"/>
      <c r="U7" s="1140"/>
      <c r="V7" s="1140"/>
      <c r="W7" s="1140"/>
      <c r="X7" s="1140"/>
      <c r="Y7" s="1140"/>
      <c r="Z7" s="1140"/>
      <c r="AA7" s="1140"/>
      <c r="AB7" s="1140"/>
      <c r="AC7" s="1140"/>
      <c r="AD7" s="1140"/>
      <c r="AE7" s="1140"/>
      <c r="AF7" s="1140"/>
      <c r="AG7" s="1140"/>
      <c r="AH7" s="1140"/>
      <c r="AI7" s="1140"/>
      <c r="AJ7" s="1140"/>
      <c r="AK7" s="1140"/>
      <c r="AL7" s="1140"/>
      <c r="AM7" s="1140"/>
      <c r="AN7" s="1140"/>
      <c r="AO7" s="1140"/>
      <c r="AP7" s="1140"/>
      <c r="AQ7" s="1140"/>
      <c r="AR7" s="1140"/>
      <c r="AS7" s="1140"/>
      <c r="AT7" s="1140"/>
      <c r="AU7" s="1140"/>
      <c r="AV7" s="1140"/>
      <c r="AW7" s="1140"/>
      <c r="AX7" s="1140"/>
      <c r="AY7" s="1140"/>
      <c r="AZ7" s="1140"/>
      <c r="BA7" s="1140"/>
      <c r="BB7" s="1140"/>
      <c r="BC7" s="1140"/>
      <c r="BD7" s="1140"/>
      <c r="BE7" s="1140"/>
      <c r="BF7" s="1140"/>
      <c r="BG7" s="1140"/>
      <c r="BH7" s="1141"/>
      <c r="BI7" s="1140"/>
      <c r="BJ7" s="1140"/>
      <c r="BK7" s="1140"/>
      <c r="BL7" s="1140"/>
      <c r="BM7" s="1140"/>
      <c r="BN7" s="1140"/>
      <c r="BO7" s="1140"/>
      <c r="BP7" s="1140"/>
      <c r="BQ7" s="1140"/>
      <c r="BR7" s="1140"/>
      <c r="BS7" s="1140"/>
      <c r="BT7" s="1140"/>
      <c r="BU7" s="1140"/>
      <c r="BV7" s="1140"/>
      <c r="BW7" s="1140"/>
      <c r="BX7" s="1140"/>
      <c r="BY7" s="1140"/>
      <c r="BZ7" s="1140"/>
      <c r="CA7" s="1140"/>
      <c r="CB7" s="1140"/>
      <c r="CC7" s="805"/>
    </row>
    <row r="8" spans="1:86"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6" ht="30" customHeight="1">
      <c r="A9" s="1165" t="s">
        <v>265</v>
      </c>
      <c r="B9" s="1150" t="s">
        <v>30</v>
      </c>
      <c r="C9" s="1151"/>
      <c r="D9" s="1150" t="s">
        <v>31</v>
      </c>
      <c r="E9" s="1151"/>
      <c r="F9" s="1150" t="s">
        <v>32</v>
      </c>
      <c r="G9" s="1152"/>
      <c r="H9" s="1151"/>
      <c r="I9" s="1150" t="s">
        <v>33</v>
      </c>
      <c r="J9" s="1151"/>
      <c r="K9" s="1150" t="s">
        <v>34</v>
      </c>
      <c r="L9" s="1151"/>
      <c r="M9" s="1150" t="s">
        <v>35</v>
      </c>
      <c r="N9" s="1152"/>
      <c r="O9" s="1151"/>
      <c r="P9" s="1150" t="s">
        <v>36</v>
      </c>
      <c r="Q9" s="1151"/>
      <c r="R9" s="1150" t="s">
        <v>8</v>
      </c>
      <c r="S9" s="1151"/>
      <c r="T9" s="1150" t="s">
        <v>37</v>
      </c>
      <c r="U9" s="1152"/>
      <c r="V9" s="1151"/>
      <c r="W9" s="1150" t="s">
        <v>38</v>
      </c>
      <c r="X9" s="1151"/>
      <c r="Y9" s="1150" t="s">
        <v>39</v>
      </c>
      <c r="Z9" s="1151"/>
      <c r="AA9" s="1150" t="s">
        <v>40</v>
      </c>
      <c r="AB9" s="1152"/>
      <c r="AC9" s="1151"/>
      <c r="AD9" s="1150" t="s">
        <v>266</v>
      </c>
      <c r="AE9" s="1151"/>
      <c r="AF9" s="1150" t="s">
        <v>267</v>
      </c>
      <c r="AG9" s="1152"/>
      <c r="AH9" s="1152"/>
      <c r="AI9" s="1152"/>
      <c r="AJ9" s="1152"/>
      <c r="AK9" s="1151"/>
      <c r="AL9" s="1150" t="s">
        <v>268</v>
      </c>
      <c r="AM9" s="1152"/>
      <c r="AN9" s="1152"/>
      <c r="AO9" s="1152"/>
      <c r="AP9" s="1152"/>
      <c r="AQ9" s="1151"/>
      <c r="AS9" s="1165" t="s">
        <v>265</v>
      </c>
      <c r="AT9" s="1150" t="s">
        <v>30</v>
      </c>
      <c r="AU9" s="1151"/>
      <c r="AV9" s="1150" t="s">
        <v>31</v>
      </c>
      <c r="AW9" s="1151"/>
      <c r="AX9" s="1150" t="s">
        <v>32</v>
      </c>
      <c r="AY9" s="1152"/>
      <c r="AZ9" s="1151"/>
      <c r="BA9" s="1150" t="s">
        <v>33</v>
      </c>
      <c r="BB9" s="1151"/>
      <c r="BC9" s="1150" t="s">
        <v>34</v>
      </c>
      <c r="BD9" s="1151"/>
      <c r="BE9" s="1150" t="s">
        <v>35</v>
      </c>
      <c r="BF9" s="1152"/>
      <c r="BG9" s="1151"/>
      <c r="BH9" s="1167" t="s">
        <v>36</v>
      </c>
      <c r="BI9" s="1151"/>
      <c r="BJ9" s="1150" t="s">
        <v>8</v>
      </c>
      <c r="BK9" s="1151"/>
      <c r="BL9" s="1150" t="s">
        <v>37</v>
      </c>
      <c r="BM9" s="1152"/>
      <c r="BN9" s="1151"/>
      <c r="BO9" s="1150" t="s">
        <v>38</v>
      </c>
      <c r="BP9" s="1151"/>
      <c r="BQ9" s="1150" t="s">
        <v>39</v>
      </c>
      <c r="BR9" s="1151"/>
      <c r="BS9" s="1150" t="s">
        <v>40</v>
      </c>
      <c r="BT9" s="1151"/>
      <c r="BU9" s="1150" t="s">
        <v>266</v>
      </c>
      <c r="BV9" s="1151"/>
      <c r="BW9" s="1150" t="s">
        <v>267</v>
      </c>
      <c r="BX9" s="1152"/>
      <c r="BY9" s="1152"/>
      <c r="BZ9" s="1152"/>
      <c r="CA9" s="1152"/>
      <c r="CB9" s="1151"/>
      <c r="CC9" s="1150" t="s">
        <v>268</v>
      </c>
      <c r="CD9" s="1152"/>
      <c r="CE9" s="1152"/>
      <c r="CF9" s="1152"/>
      <c r="CG9" s="1152"/>
      <c r="CH9" s="1151"/>
    </row>
    <row r="10" spans="1:86" ht="36" customHeight="1">
      <c r="A10" s="1166"/>
      <c r="B10" s="620" t="s">
        <v>269</v>
      </c>
      <c r="C10" s="620" t="s">
        <v>270</v>
      </c>
      <c r="D10" s="620" t="s">
        <v>269</v>
      </c>
      <c r="E10" s="620" t="s">
        <v>270</v>
      </c>
      <c r="F10" s="620" t="s">
        <v>269</v>
      </c>
      <c r="G10" s="502" t="s">
        <v>271</v>
      </c>
      <c r="H10" s="620" t="s">
        <v>270</v>
      </c>
      <c r="I10" s="620" t="s">
        <v>269</v>
      </c>
      <c r="J10" s="620" t="s">
        <v>270</v>
      </c>
      <c r="K10" s="620" t="s">
        <v>269</v>
      </c>
      <c r="L10" s="620" t="s">
        <v>270</v>
      </c>
      <c r="M10" s="620" t="s">
        <v>269</v>
      </c>
      <c r="N10" s="502" t="s">
        <v>272</v>
      </c>
      <c r="O10" s="620" t="s">
        <v>270</v>
      </c>
      <c r="P10" s="620" t="s">
        <v>269</v>
      </c>
      <c r="Q10" s="620" t="s">
        <v>270</v>
      </c>
      <c r="R10" s="620" t="s">
        <v>269</v>
      </c>
      <c r="S10" s="620" t="s">
        <v>270</v>
      </c>
      <c r="T10" s="620" t="s">
        <v>269</v>
      </c>
      <c r="U10" s="502" t="s">
        <v>273</v>
      </c>
      <c r="V10" s="620" t="s">
        <v>270</v>
      </c>
      <c r="W10" s="620" t="s">
        <v>269</v>
      </c>
      <c r="X10" s="620" t="s">
        <v>270</v>
      </c>
      <c r="Y10" s="620" t="s">
        <v>269</v>
      </c>
      <c r="Z10" s="620" t="s">
        <v>270</v>
      </c>
      <c r="AA10" s="620" t="s">
        <v>269</v>
      </c>
      <c r="AB10" s="502" t="s">
        <v>273</v>
      </c>
      <c r="AC10" s="620" t="s">
        <v>270</v>
      </c>
      <c r="AD10" s="620" t="s">
        <v>269</v>
      </c>
      <c r="AE10" s="620" t="s">
        <v>270</v>
      </c>
      <c r="AF10" s="162" t="s">
        <v>274</v>
      </c>
      <c r="AG10" s="162" t="s">
        <v>275</v>
      </c>
      <c r="AH10" s="162" t="s">
        <v>276</v>
      </c>
      <c r="AI10" s="162" t="s">
        <v>277</v>
      </c>
      <c r="AJ10" s="163" t="s">
        <v>278</v>
      </c>
      <c r="AK10" s="162" t="s">
        <v>279</v>
      </c>
      <c r="AL10" s="620" t="s">
        <v>280</v>
      </c>
      <c r="AM10" s="143" t="s">
        <v>281</v>
      </c>
      <c r="AN10" s="620" t="s">
        <v>282</v>
      </c>
      <c r="AO10" s="620" t="s">
        <v>283</v>
      </c>
      <c r="AP10" s="620" t="s">
        <v>284</v>
      </c>
      <c r="AQ10" s="620" t="s">
        <v>285</v>
      </c>
      <c r="AS10" s="1166"/>
      <c r="AT10" s="620" t="s">
        <v>269</v>
      </c>
      <c r="AU10" s="620" t="s">
        <v>270</v>
      </c>
      <c r="AV10" s="620" t="s">
        <v>269</v>
      </c>
      <c r="AW10" s="620" t="s">
        <v>270</v>
      </c>
      <c r="AX10" s="620" t="s">
        <v>269</v>
      </c>
      <c r="AY10" s="502" t="s">
        <v>271</v>
      </c>
      <c r="AZ10" s="620" t="s">
        <v>270</v>
      </c>
      <c r="BA10" s="620" t="s">
        <v>269</v>
      </c>
      <c r="BB10" s="620" t="s">
        <v>270</v>
      </c>
      <c r="BC10" s="620" t="s">
        <v>269</v>
      </c>
      <c r="BD10" s="620" t="s">
        <v>270</v>
      </c>
      <c r="BE10" s="620" t="s">
        <v>269</v>
      </c>
      <c r="BF10" s="620" t="s">
        <v>272</v>
      </c>
      <c r="BG10" s="620" t="s">
        <v>270</v>
      </c>
      <c r="BH10" s="706" t="s">
        <v>269</v>
      </c>
      <c r="BI10" s="620" t="s">
        <v>270</v>
      </c>
      <c r="BJ10" s="620" t="s">
        <v>269</v>
      </c>
      <c r="BK10" s="620" t="s">
        <v>270</v>
      </c>
      <c r="BL10" s="620" t="s">
        <v>269</v>
      </c>
      <c r="BM10" s="620" t="s">
        <v>273</v>
      </c>
      <c r="BN10" s="620" t="s">
        <v>270</v>
      </c>
      <c r="BO10" s="620" t="s">
        <v>269</v>
      </c>
      <c r="BP10" s="620" t="s">
        <v>270</v>
      </c>
      <c r="BQ10" s="620" t="s">
        <v>269</v>
      </c>
      <c r="BR10" s="620" t="s">
        <v>270</v>
      </c>
      <c r="BS10" s="620" t="s">
        <v>269</v>
      </c>
      <c r="BT10" s="620" t="s">
        <v>270</v>
      </c>
      <c r="BU10" s="620" t="s">
        <v>269</v>
      </c>
      <c r="BV10" s="620" t="s">
        <v>270</v>
      </c>
      <c r="BW10" s="162" t="s">
        <v>274</v>
      </c>
      <c r="BX10" s="162" t="s">
        <v>275</v>
      </c>
      <c r="BY10" s="162" t="s">
        <v>276</v>
      </c>
      <c r="BZ10" s="162" t="s">
        <v>277</v>
      </c>
      <c r="CA10" s="163" t="s">
        <v>278</v>
      </c>
      <c r="CB10" s="162" t="s">
        <v>279</v>
      </c>
      <c r="CC10" s="160" t="s">
        <v>280</v>
      </c>
      <c r="CD10" s="161" t="s">
        <v>281</v>
      </c>
      <c r="CE10" s="160" t="s">
        <v>282</v>
      </c>
      <c r="CF10" s="160" t="s">
        <v>283</v>
      </c>
      <c r="CG10" s="160" t="s">
        <v>284</v>
      </c>
      <c r="CH10" s="160" t="s">
        <v>285</v>
      </c>
    </row>
    <row r="11" spans="1:86">
      <c r="A11" s="144" t="s">
        <v>286</v>
      </c>
      <c r="B11" s="144">
        <v>0</v>
      </c>
      <c r="C11" s="503"/>
      <c r="D11" s="144">
        <v>0</v>
      </c>
      <c r="E11" s="503"/>
      <c r="F11" s="144">
        <v>0</v>
      </c>
      <c r="G11" s="504">
        <f>+B11+D11+F11</f>
        <v>0</v>
      </c>
      <c r="H11" s="505">
        <f>SUM('[1]Meta 1'!Q22:S22)-(SUM(H12:H31))</f>
        <v>984621720</v>
      </c>
      <c r="I11" s="144">
        <v>0</v>
      </c>
      <c r="J11" s="503"/>
      <c r="K11" s="144">
        <v>0</v>
      </c>
      <c r="L11" s="503"/>
      <c r="M11" s="144">
        <v>0</v>
      </c>
      <c r="N11" s="504">
        <f>+G11+I11+K11+M11</f>
        <v>0</v>
      </c>
      <c r="O11" s="505">
        <f>SUM('[1]Meta 1'!Q22:V22)-(SUM(O12:O31))</f>
        <v>916033015.15999961</v>
      </c>
      <c r="P11" s="144">
        <v>0</v>
      </c>
      <c r="Q11" s="503"/>
      <c r="R11" s="145">
        <v>0</v>
      </c>
      <c r="S11" s="503"/>
      <c r="T11" s="145">
        <v>0</v>
      </c>
      <c r="U11" s="504">
        <f>+N11+P11+R11+T11</f>
        <v>0</v>
      </c>
      <c r="V11" s="506">
        <f>SUM('[1]Meta 1'!Q22:Y22)-SUM(V12:V31)</f>
        <v>548999027.15999985</v>
      </c>
      <c r="W11" s="145">
        <v>0</v>
      </c>
      <c r="X11" s="503"/>
      <c r="Y11" s="145">
        <v>0</v>
      </c>
      <c r="Z11" s="503"/>
      <c r="AA11" s="145">
        <v>0</v>
      </c>
      <c r="AB11" s="504">
        <f>+U11+W11+Y11+AA11</f>
        <v>0</v>
      </c>
      <c r="AC11" s="370">
        <f>SUM('[1]Meta 1'!Q22:AB22)-SUM(AC12:AC31)</f>
        <v>91.159999370574951</v>
      </c>
      <c r="AD11" s="165">
        <f t="shared" ref="AD11:AD31" si="0">B11+D11+F11+I11+K11+M11+P11+R11+T11+W11+Y11+AA11</f>
        <v>0</v>
      </c>
      <c r="AE11" s="609">
        <f>+AC11</f>
        <v>91.159999370574951</v>
      </c>
      <c r="AF11" s="164"/>
      <c r="AG11" s="164"/>
      <c r="AH11" s="164"/>
      <c r="AI11" s="164"/>
      <c r="AJ11" s="164"/>
      <c r="AK11" s="147"/>
      <c r="AL11" s="147"/>
      <c r="AM11" s="147"/>
      <c r="AN11" s="147"/>
      <c r="AO11" s="147"/>
      <c r="AP11" s="147"/>
      <c r="AQ11" s="148"/>
      <c r="AS11" s="144" t="s">
        <v>286</v>
      </c>
      <c r="AT11" s="144">
        <v>0</v>
      </c>
      <c r="AU11" s="507"/>
      <c r="AV11" s="144">
        <v>0</v>
      </c>
      <c r="AW11" s="503"/>
      <c r="AX11" s="144">
        <v>0</v>
      </c>
      <c r="AY11" s="504">
        <f>+AT11+AV11+AX11</f>
        <v>0</v>
      </c>
      <c r="AZ11" s="461">
        <f>SUM('[1]Meta 1'!Q23:S23)-SUM(AZ12:AZ31)</f>
        <v>834168930.5999999</v>
      </c>
      <c r="BA11" s="144">
        <v>0</v>
      </c>
      <c r="BB11" s="507"/>
      <c r="BC11" s="144">
        <v>0</v>
      </c>
      <c r="BD11" s="507"/>
      <c r="BE11" s="144">
        <v>0</v>
      </c>
      <c r="BF11" s="144">
        <f>BA11+BC11+BE11</f>
        <v>0</v>
      </c>
      <c r="BG11" s="144">
        <v>0</v>
      </c>
      <c r="BH11" s="144"/>
      <c r="BI11" s="507"/>
      <c r="BJ11" s="704">
        <v>0</v>
      </c>
      <c r="BK11" s="145"/>
      <c r="BL11" s="145">
        <v>0</v>
      </c>
      <c r="BM11" s="145">
        <f>BH11+BJ11+BL11</f>
        <v>0</v>
      </c>
      <c r="BN11" s="777"/>
      <c r="BO11" s="145"/>
      <c r="BP11" s="145"/>
      <c r="BQ11" s="145"/>
      <c r="BR11" s="145"/>
      <c r="BS11" s="145"/>
      <c r="BT11" s="145"/>
      <c r="BU11" s="165">
        <f t="shared" ref="BU11:BU31" si="1">AT11+AV11+AX11+BA11+BC11+BE11+BH11+BJ11+BL11+BO11+BQ11+BS11</f>
        <v>0</v>
      </c>
      <c r="BV11" s="610">
        <f t="shared" ref="BV11:BV31" si="2">AU11+AW11+AZ11+BB11+BD11+BG11+BI11+BK11+BN11+BP11+BR11+BT11</f>
        <v>834168930.5999999</v>
      </c>
      <c r="BW11" s="147"/>
      <c r="BX11" s="147"/>
      <c r="BY11" s="147"/>
      <c r="BZ11" s="147"/>
      <c r="CA11" s="147"/>
      <c r="CB11" s="147"/>
      <c r="CC11" s="147"/>
      <c r="CD11" s="147"/>
      <c r="CE11" s="147"/>
      <c r="CF11" s="147"/>
      <c r="CG11" s="147"/>
      <c r="CH11" s="148"/>
    </row>
    <row r="12" spans="1:86">
      <c r="A12" s="144" t="s">
        <v>287</v>
      </c>
      <c r="B12" s="144">
        <v>0</v>
      </c>
      <c r="C12" s="503"/>
      <c r="D12" s="144">
        <v>25</v>
      </c>
      <c r="E12" s="503"/>
      <c r="F12" s="144">
        <v>25</v>
      </c>
      <c r="G12" s="504">
        <f t="shared" ref="G12:G31" si="3">+B12+D12+F12</f>
        <v>50</v>
      </c>
      <c r="H12" s="371">
        <f>343124.4*(F12+D12+B12)</f>
        <v>17156220</v>
      </c>
      <c r="I12" s="144">
        <v>25</v>
      </c>
      <c r="J12" s="503"/>
      <c r="K12" s="144">
        <v>25</v>
      </c>
      <c r="L12" s="503"/>
      <c r="M12" s="144">
        <v>25</v>
      </c>
      <c r="N12" s="504">
        <f t="shared" ref="N12:N31" si="4">+G12+I12+K12+M12</f>
        <v>125</v>
      </c>
      <c r="O12" s="371">
        <f>343124.4*(B12+D12+F12+M12+K12+I12)</f>
        <v>42890550</v>
      </c>
      <c r="P12" s="144">
        <v>25</v>
      </c>
      <c r="Q12" s="503"/>
      <c r="R12" s="145">
        <v>25</v>
      </c>
      <c r="S12" s="503"/>
      <c r="T12" s="145">
        <v>25</v>
      </c>
      <c r="U12" s="504">
        <f t="shared" ref="U12:U31" si="5">+N12+P12+R12+T12</f>
        <v>200</v>
      </c>
      <c r="V12" s="371">
        <f>343124.4*(B12+D12+F12+I12+K12+M12+P12+R12+T12)</f>
        <v>68624880</v>
      </c>
      <c r="W12" s="145">
        <v>25</v>
      </c>
      <c r="X12" s="503"/>
      <c r="Y12" s="145">
        <v>25</v>
      </c>
      <c r="Z12" s="503"/>
      <c r="AA12" s="145">
        <v>10</v>
      </c>
      <c r="AB12" s="504">
        <f t="shared" ref="AB12:AB31" si="6">+U12+W12+Y12+AA12</f>
        <v>260</v>
      </c>
      <c r="AC12" s="371">
        <f>343124*(B12+D12+F12+I12+K12+M12+P12+R12+T12+W12+Y12+AA12)</f>
        <v>89212240</v>
      </c>
      <c r="AD12" s="165">
        <f t="shared" si="0"/>
        <v>260</v>
      </c>
      <c r="AE12" s="609">
        <f t="shared" ref="AE12:AE31" si="7">+AC12</f>
        <v>89212240</v>
      </c>
      <c r="AF12" s="164"/>
      <c r="AG12" s="164"/>
      <c r="AH12" s="164"/>
      <c r="AI12" s="164"/>
      <c r="AJ12" s="164"/>
      <c r="AK12" s="147"/>
      <c r="AL12" s="147"/>
      <c r="AM12" s="147"/>
      <c r="AN12" s="147"/>
      <c r="AO12" s="147"/>
      <c r="AP12" s="147"/>
      <c r="AQ12" s="147"/>
      <c r="AS12" s="144" t="s">
        <v>287</v>
      </c>
      <c r="AT12" s="144">
        <v>0</v>
      </c>
      <c r="AU12" s="507"/>
      <c r="AV12" s="144">
        <v>7</v>
      </c>
      <c r="AW12" s="503"/>
      <c r="AX12" s="144">
        <v>38</v>
      </c>
      <c r="AY12" s="504">
        <f t="shared" ref="AY12:AY31" si="8">+AT12+AV12+AX12</f>
        <v>45</v>
      </c>
      <c r="AZ12" s="461">
        <f>343124.4*(AV12+AX12)</f>
        <v>15440598.000000002</v>
      </c>
      <c r="BA12" s="144">
        <v>9</v>
      </c>
      <c r="BB12" s="507"/>
      <c r="BC12" s="144">
        <v>20</v>
      </c>
      <c r="BD12" s="507"/>
      <c r="BE12" s="144">
        <v>18</v>
      </c>
      <c r="BF12" s="144">
        <f t="shared" ref="BF12:BF31" si="9">BA12+BC12+BE12</f>
        <v>47</v>
      </c>
      <c r="BG12" s="660">
        <f>343124.4*BF12</f>
        <v>16126846.800000001</v>
      </c>
      <c r="BH12" s="144">
        <v>19</v>
      </c>
      <c r="BI12" s="507"/>
      <c r="BJ12" s="705">
        <v>24</v>
      </c>
      <c r="BK12" s="145"/>
      <c r="BL12" s="145">
        <v>26</v>
      </c>
      <c r="BM12" s="145">
        <f t="shared" ref="BM12:BM31" si="10">BH12+BJ12+BL12</f>
        <v>69</v>
      </c>
      <c r="BN12" s="777"/>
      <c r="BO12" s="145"/>
      <c r="BP12" s="145"/>
      <c r="BQ12" s="145"/>
      <c r="BR12" s="145"/>
      <c r="BS12" s="145"/>
      <c r="BT12" s="145"/>
      <c r="BU12" s="165">
        <f t="shared" si="1"/>
        <v>161</v>
      </c>
      <c r="BV12" s="610">
        <f t="shared" si="2"/>
        <v>31567444.800000004</v>
      </c>
      <c r="BW12" s="147"/>
      <c r="BX12" s="147"/>
      <c r="BY12" s="147"/>
      <c r="BZ12" s="147"/>
      <c r="CA12" s="147"/>
      <c r="CB12" s="147"/>
      <c r="CC12" s="147"/>
      <c r="CD12" s="147"/>
      <c r="CE12" s="147"/>
      <c r="CF12" s="147"/>
      <c r="CG12" s="147"/>
      <c r="CH12" s="147"/>
    </row>
    <row r="13" spans="1:86">
      <c r="A13" s="144" t="s">
        <v>288</v>
      </c>
      <c r="B13" s="144">
        <v>0</v>
      </c>
      <c r="C13" s="503"/>
      <c r="D13" s="144">
        <v>20</v>
      </c>
      <c r="E13" s="503"/>
      <c r="F13" s="144">
        <v>20</v>
      </c>
      <c r="G13" s="504">
        <f t="shared" si="3"/>
        <v>40</v>
      </c>
      <c r="H13" s="371">
        <f t="shared" ref="H13:H31" si="11">343124.4*(F13+D13+B13)</f>
        <v>13724976</v>
      </c>
      <c r="I13" s="144">
        <v>20</v>
      </c>
      <c r="J13" s="503"/>
      <c r="K13" s="144">
        <v>20</v>
      </c>
      <c r="L13" s="503"/>
      <c r="M13" s="144">
        <v>20</v>
      </c>
      <c r="N13" s="504">
        <f t="shared" si="4"/>
        <v>100</v>
      </c>
      <c r="O13" s="371">
        <f t="shared" ref="O13:O31" si="12">343124.4*(B13+D13+F13+M13+K13+I13)</f>
        <v>34312440</v>
      </c>
      <c r="P13" s="144">
        <v>20</v>
      </c>
      <c r="Q13" s="503"/>
      <c r="R13" s="145">
        <v>20</v>
      </c>
      <c r="S13" s="503"/>
      <c r="T13" s="145">
        <v>20</v>
      </c>
      <c r="U13" s="504">
        <f t="shared" si="5"/>
        <v>160</v>
      </c>
      <c r="V13" s="371">
        <f t="shared" ref="V13:V31" si="13">343124.4*(B13+D13+F13+I13+K13+M13+P13+R13+T13)</f>
        <v>54899904</v>
      </c>
      <c r="W13" s="145">
        <v>20</v>
      </c>
      <c r="X13" s="503"/>
      <c r="Y13" s="145">
        <v>20</v>
      </c>
      <c r="Z13" s="503"/>
      <c r="AA13" s="145">
        <v>10</v>
      </c>
      <c r="AB13" s="504">
        <f t="shared" si="6"/>
        <v>210</v>
      </c>
      <c r="AC13" s="371">
        <f t="shared" ref="AC13:AC31" si="14">343124.4*(B13+D13+F13+I13+K13+M13+P13+R13+T13+W13+Y13+AA13)</f>
        <v>72056124</v>
      </c>
      <c r="AD13" s="165">
        <f t="shared" si="0"/>
        <v>210</v>
      </c>
      <c r="AE13" s="609">
        <f t="shared" si="7"/>
        <v>72056124</v>
      </c>
      <c r="AF13" s="164"/>
      <c r="AG13" s="164"/>
      <c r="AH13" s="164"/>
      <c r="AI13" s="164"/>
      <c r="AJ13" s="164"/>
      <c r="AK13" s="147"/>
      <c r="AL13" s="147"/>
      <c r="AM13" s="147"/>
      <c r="AN13" s="147"/>
      <c r="AO13" s="147"/>
      <c r="AP13" s="147"/>
      <c r="AQ13" s="147"/>
      <c r="AS13" s="144" t="s">
        <v>288</v>
      </c>
      <c r="AT13" s="144">
        <v>0</v>
      </c>
      <c r="AU13" s="507"/>
      <c r="AV13" s="144">
        <v>9</v>
      </c>
      <c r="AW13" s="503"/>
      <c r="AX13" s="144">
        <v>10</v>
      </c>
      <c r="AY13" s="504">
        <f t="shared" si="8"/>
        <v>19</v>
      </c>
      <c r="AZ13" s="461">
        <f t="shared" ref="AZ13:AZ31" si="15">343124.4*(AV13+AX13)</f>
        <v>6519363.6000000006</v>
      </c>
      <c r="BA13" s="144">
        <v>4</v>
      </c>
      <c r="BB13" s="507"/>
      <c r="BC13" s="144">
        <v>10</v>
      </c>
      <c r="BD13" s="507"/>
      <c r="BE13" s="144">
        <v>22</v>
      </c>
      <c r="BF13" s="144">
        <f t="shared" si="9"/>
        <v>36</v>
      </c>
      <c r="BG13" s="660">
        <f t="shared" ref="BG13:BG31" si="16">343124.4*BF13</f>
        <v>12352478.4</v>
      </c>
      <c r="BH13" s="144">
        <v>13</v>
      </c>
      <c r="BI13" s="507"/>
      <c r="BJ13" s="705">
        <v>15</v>
      </c>
      <c r="BK13" s="145"/>
      <c r="BL13" s="145">
        <v>8</v>
      </c>
      <c r="BM13" s="145">
        <f t="shared" si="10"/>
        <v>36</v>
      </c>
      <c r="BN13" s="777"/>
      <c r="BO13" s="145"/>
      <c r="BP13" s="145"/>
      <c r="BQ13" s="145"/>
      <c r="BR13" s="145"/>
      <c r="BS13" s="145"/>
      <c r="BT13" s="145"/>
      <c r="BU13" s="165">
        <f t="shared" si="1"/>
        <v>91</v>
      </c>
      <c r="BV13" s="610">
        <f t="shared" si="2"/>
        <v>18871842</v>
      </c>
      <c r="BW13" s="147"/>
      <c r="BX13" s="147"/>
      <c r="BY13" s="147"/>
      <c r="BZ13" s="147"/>
      <c r="CA13" s="147"/>
      <c r="CB13" s="147"/>
      <c r="CC13" s="147"/>
      <c r="CD13" s="147"/>
      <c r="CE13" s="147"/>
      <c r="CF13" s="147"/>
      <c r="CG13" s="147"/>
      <c r="CH13" s="147"/>
    </row>
    <row r="14" spans="1:86">
      <c r="A14" s="144" t="s">
        <v>289</v>
      </c>
      <c r="B14" s="144">
        <v>0</v>
      </c>
      <c r="C14" s="503"/>
      <c r="D14" s="144">
        <v>10</v>
      </c>
      <c r="E14" s="503"/>
      <c r="F14" s="144">
        <v>10</v>
      </c>
      <c r="G14" s="504">
        <f t="shared" si="3"/>
        <v>20</v>
      </c>
      <c r="H14" s="371">
        <f t="shared" si="11"/>
        <v>6862488</v>
      </c>
      <c r="I14" s="144">
        <v>10</v>
      </c>
      <c r="J14" s="503"/>
      <c r="K14" s="144">
        <v>10</v>
      </c>
      <c r="L14" s="503"/>
      <c r="M14" s="144">
        <v>10</v>
      </c>
      <c r="N14" s="504">
        <f t="shared" si="4"/>
        <v>50</v>
      </c>
      <c r="O14" s="371">
        <f t="shared" si="12"/>
        <v>17156220</v>
      </c>
      <c r="P14" s="144">
        <v>10</v>
      </c>
      <c r="Q14" s="503"/>
      <c r="R14" s="145">
        <v>10</v>
      </c>
      <c r="S14" s="503"/>
      <c r="T14" s="145">
        <v>10</v>
      </c>
      <c r="U14" s="504">
        <f t="shared" si="5"/>
        <v>80</v>
      </c>
      <c r="V14" s="371">
        <f t="shared" si="13"/>
        <v>27449952</v>
      </c>
      <c r="W14" s="145">
        <v>10</v>
      </c>
      <c r="X14" s="503"/>
      <c r="Y14" s="145">
        <v>10</v>
      </c>
      <c r="Z14" s="503"/>
      <c r="AA14" s="145">
        <v>10</v>
      </c>
      <c r="AB14" s="504">
        <f t="shared" si="6"/>
        <v>110</v>
      </c>
      <c r="AC14" s="371">
        <f t="shared" si="14"/>
        <v>37743684</v>
      </c>
      <c r="AD14" s="165">
        <f t="shared" si="0"/>
        <v>110</v>
      </c>
      <c r="AE14" s="609">
        <f t="shared" si="7"/>
        <v>37743684</v>
      </c>
      <c r="AF14" s="164"/>
      <c r="AG14" s="164"/>
      <c r="AH14" s="164"/>
      <c r="AI14" s="164"/>
      <c r="AJ14" s="164"/>
      <c r="AK14" s="147"/>
      <c r="AL14" s="147"/>
      <c r="AM14" s="147"/>
      <c r="AN14" s="147"/>
      <c r="AO14" s="147"/>
      <c r="AP14" s="147"/>
      <c r="AQ14" s="147"/>
      <c r="AS14" s="144" t="s">
        <v>289</v>
      </c>
      <c r="AT14" s="144">
        <v>0</v>
      </c>
      <c r="AU14" s="507"/>
      <c r="AV14" s="144">
        <v>7</v>
      </c>
      <c r="AW14" s="503"/>
      <c r="AX14" s="144">
        <v>20</v>
      </c>
      <c r="AY14" s="504">
        <f t="shared" si="8"/>
        <v>27</v>
      </c>
      <c r="AZ14" s="461">
        <f t="shared" si="15"/>
        <v>9264358.8000000007</v>
      </c>
      <c r="BA14" s="144">
        <v>4</v>
      </c>
      <c r="BB14" s="507"/>
      <c r="BC14" s="144">
        <v>14</v>
      </c>
      <c r="BD14" s="507"/>
      <c r="BE14" s="144">
        <v>15</v>
      </c>
      <c r="BF14" s="144">
        <f t="shared" si="9"/>
        <v>33</v>
      </c>
      <c r="BG14" s="660">
        <f t="shared" si="16"/>
        <v>11323105.200000001</v>
      </c>
      <c r="BH14" s="144">
        <v>18</v>
      </c>
      <c r="BI14" s="507"/>
      <c r="BJ14" s="705">
        <v>21</v>
      </c>
      <c r="BK14" s="145"/>
      <c r="BL14" s="145">
        <v>35</v>
      </c>
      <c r="BM14" s="145">
        <f t="shared" si="10"/>
        <v>74</v>
      </c>
      <c r="BN14" s="777"/>
      <c r="BO14" s="145"/>
      <c r="BP14" s="145"/>
      <c r="BQ14" s="145"/>
      <c r="BR14" s="145"/>
      <c r="BS14" s="145"/>
      <c r="BT14" s="145"/>
      <c r="BU14" s="165">
        <f t="shared" si="1"/>
        <v>134</v>
      </c>
      <c r="BV14" s="610">
        <f t="shared" si="2"/>
        <v>20587464</v>
      </c>
      <c r="BW14" s="147"/>
      <c r="BX14" s="147"/>
      <c r="BY14" s="147"/>
      <c r="BZ14" s="147"/>
      <c r="CA14" s="147"/>
      <c r="CB14" s="147"/>
      <c r="CC14" s="147"/>
      <c r="CD14" s="147"/>
      <c r="CE14" s="147"/>
      <c r="CF14" s="147"/>
      <c r="CG14" s="147"/>
      <c r="CH14" s="147"/>
    </row>
    <row r="15" spans="1:86">
      <c r="A15" s="144" t="s">
        <v>290</v>
      </c>
      <c r="B15" s="144">
        <v>0</v>
      </c>
      <c r="C15" s="503"/>
      <c r="D15" s="144">
        <v>40</v>
      </c>
      <c r="E15" s="503"/>
      <c r="F15" s="144">
        <v>60</v>
      </c>
      <c r="G15" s="504">
        <f t="shared" si="3"/>
        <v>100</v>
      </c>
      <c r="H15" s="371">
        <f t="shared" si="11"/>
        <v>34312440</v>
      </c>
      <c r="I15" s="144">
        <v>60</v>
      </c>
      <c r="J15" s="503"/>
      <c r="K15" s="144">
        <v>60</v>
      </c>
      <c r="L15" s="503"/>
      <c r="M15" s="144">
        <v>60</v>
      </c>
      <c r="N15" s="504">
        <f t="shared" si="4"/>
        <v>280</v>
      </c>
      <c r="O15" s="371">
        <f t="shared" si="12"/>
        <v>96074832</v>
      </c>
      <c r="P15" s="144">
        <v>60</v>
      </c>
      <c r="Q15" s="503"/>
      <c r="R15" s="145">
        <v>60</v>
      </c>
      <c r="S15" s="503"/>
      <c r="T15" s="145">
        <v>60</v>
      </c>
      <c r="U15" s="504">
        <f t="shared" si="5"/>
        <v>460</v>
      </c>
      <c r="V15" s="371">
        <f t="shared" si="13"/>
        <v>157837224</v>
      </c>
      <c r="W15" s="145">
        <v>60</v>
      </c>
      <c r="X15" s="503"/>
      <c r="Y15" s="145">
        <v>60</v>
      </c>
      <c r="Z15" s="503"/>
      <c r="AA15" s="145">
        <v>11</v>
      </c>
      <c r="AB15" s="504">
        <f t="shared" si="6"/>
        <v>591</v>
      </c>
      <c r="AC15" s="371">
        <f t="shared" si="14"/>
        <v>202786520.40000001</v>
      </c>
      <c r="AD15" s="165">
        <f t="shared" si="0"/>
        <v>591</v>
      </c>
      <c r="AE15" s="609">
        <f t="shared" si="7"/>
        <v>202786520.40000001</v>
      </c>
      <c r="AF15" s="164"/>
      <c r="AG15" s="164"/>
      <c r="AH15" s="164"/>
      <c r="AI15" s="164"/>
      <c r="AJ15" s="164"/>
      <c r="AK15" s="147"/>
      <c r="AL15" s="147"/>
      <c r="AM15" s="147"/>
      <c r="AN15" s="147"/>
      <c r="AO15" s="147"/>
      <c r="AP15" s="147"/>
      <c r="AQ15" s="147"/>
      <c r="AS15" s="144" t="s">
        <v>290</v>
      </c>
      <c r="AT15" s="144">
        <v>0</v>
      </c>
      <c r="AU15" s="507"/>
      <c r="AV15" s="144">
        <v>28</v>
      </c>
      <c r="AW15" s="503"/>
      <c r="AX15" s="144">
        <v>110</v>
      </c>
      <c r="AY15" s="504">
        <f t="shared" si="8"/>
        <v>138</v>
      </c>
      <c r="AZ15" s="461">
        <f t="shared" si="15"/>
        <v>47351167.200000003</v>
      </c>
      <c r="BA15" s="144">
        <v>17</v>
      </c>
      <c r="BB15" s="507"/>
      <c r="BC15" s="144">
        <v>24</v>
      </c>
      <c r="BD15" s="507"/>
      <c r="BE15" s="144">
        <v>90</v>
      </c>
      <c r="BF15" s="144">
        <f t="shared" si="9"/>
        <v>131</v>
      </c>
      <c r="BG15" s="660">
        <f t="shared" si="16"/>
        <v>44949296.400000006</v>
      </c>
      <c r="BH15" s="144">
        <v>49</v>
      </c>
      <c r="BI15" s="507"/>
      <c r="BJ15" s="705">
        <v>45</v>
      </c>
      <c r="BK15" s="145"/>
      <c r="BL15" s="145">
        <v>115</v>
      </c>
      <c r="BM15" s="145">
        <f t="shared" si="10"/>
        <v>209</v>
      </c>
      <c r="BN15" s="777"/>
      <c r="BO15" s="145"/>
      <c r="BP15" s="145"/>
      <c r="BQ15" s="145"/>
      <c r="BR15" s="145"/>
      <c r="BS15" s="145"/>
      <c r="BT15" s="145"/>
      <c r="BU15" s="165">
        <f t="shared" si="1"/>
        <v>478</v>
      </c>
      <c r="BV15" s="610">
        <f t="shared" si="2"/>
        <v>92300463.600000009</v>
      </c>
      <c r="BW15" s="147"/>
      <c r="BX15" s="147"/>
      <c r="BY15" s="147"/>
      <c r="BZ15" s="147"/>
      <c r="CA15" s="147"/>
      <c r="CB15" s="147"/>
      <c r="CC15" s="147"/>
      <c r="CD15" s="147"/>
      <c r="CE15" s="147"/>
      <c r="CF15" s="147"/>
      <c r="CG15" s="147"/>
      <c r="CH15" s="147"/>
    </row>
    <row r="16" spans="1:86">
      <c r="A16" s="144" t="s">
        <v>291</v>
      </c>
      <c r="B16" s="144">
        <v>0</v>
      </c>
      <c r="C16" s="503"/>
      <c r="D16" s="144">
        <v>40</v>
      </c>
      <c r="E16" s="503"/>
      <c r="F16" s="144">
        <v>103</v>
      </c>
      <c r="G16" s="504">
        <f t="shared" si="3"/>
        <v>143</v>
      </c>
      <c r="H16" s="371">
        <f t="shared" si="11"/>
        <v>49066789.200000003</v>
      </c>
      <c r="I16" s="144">
        <v>103</v>
      </c>
      <c r="J16" s="503"/>
      <c r="K16" s="144">
        <v>103</v>
      </c>
      <c r="L16" s="503"/>
      <c r="M16" s="144">
        <v>103</v>
      </c>
      <c r="N16" s="504">
        <f t="shared" si="4"/>
        <v>452</v>
      </c>
      <c r="O16" s="371">
        <f t="shared" si="12"/>
        <v>155092228.80000001</v>
      </c>
      <c r="P16" s="144">
        <v>103</v>
      </c>
      <c r="Q16" s="503"/>
      <c r="R16" s="145">
        <v>103</v>
      </c>
      <c r="S16" s="503"/>
      <c r="T16" s="145">
        <v>103</v>
      </c>
      <c r="U16" s="504">
        <f t="shared" si="5"/>
        <v>761</v>
      </c>
      <c r="V16" s="371">
        <f t="shared" si="13"/>
        <v>261117668.40000001</v>
      </c>
      <c r="W16" s="145">
        <v>103</v>
      </c>
      <c r="X16" s="503"/>
      <c r="Y16" s="145">
        <v>103</v>
      </c>
      <c r="Z16" s="503"/>
      <c r="AA16" s="145">
        <v>11</v>
      </c>
      <c r="AB16" s="504">
        <f t="shared" si="6"/>
        <v>978</v>
      </c>
      <c r="AC16" s="371">
        <f t="shared" si="14"/>
        <v>335575663.20000005</v>
      </c>
      <c r="AD16" s="165">
        <f t="shared" si="0"/>
        <v>978</v>
      </c>
      <c r="AE16" s="609">
        <f t="shared" si="7"/>
        <v>335575663.20000005</v>
      </c>
      <c r="AF16" s="164"/>
      <c r="AG16" s="164"/>
      <c r="AH16" s="164"/>
      <c r="AI16" s="164"/>
      <c r="AJ16" s="164"/>
      <c r="AK16" s="147"/>
      <c r="AL16" s="147"/>
      <c r="AM16" s="147"/>
      <c r="AN16" s="147"/>
      <c r="AO16" s="147"/>
      <c r="AP16" s="147"/>
      <c r="AQ16" s="147"/>
      <c r="AS16" s="144" t="s">
        <v>291</v>
      </c>
      <c r="AT16" s="144">
        <v>0</v>
      </c>
      <c r="AU16" s="507"/>
      <c r="AV16" s="144">
        <v>57</v>
      </c>
      <c r="AW16" s="503"/>
      <c r="AX16" s="144">
        <v>77</v>
      </c>
      <c r="AY16" s="504">
        <f t="shared" si="8"/>
        <v>134</v>
      </c>
      <c r="AZ16" s="461">
        <f t="shared" si="15"/>
        <v>45978669.600000001</v>
      </c>
      <c r="BA16" s="144">
        <v>16</v>
      </c>
      <c r="BB16" s="507"/>
      <c r="BC16" s="144">
        <v>24</v>
      </c>
      <c r="BD16" s="507"/>
      <c r="BE16" s="144">
        <v>30</v>
      </c>
      <c r="BF16" s="144">
        <f t="shared" si="9"/>
        <v>70</v>
      </c>
      <c r="BG16" s="660">
        <f t="shared" si="16"/>
        <v>24018708</v>
      </c>
      <c r="BH16" s="144">
        <v>29</v>
      </c>
      <c r="BI16" s="507"/>
      <c r="BJ16" s="705">
        <v>33</v>
      </c>
      <c r="BK16" s="145"/>
      <c r="BL16" s="145">
        <v>22</v>
      </c>
      <c r="BM16" s="145">
        <f t="shared" si="10"/>
        <v>84</v>
      </c>
      <c r="BN16" s="777"/>
      <c r="BO16" s="145"/>
      <c r="BP16" s="145"/>
      <c r="BQ16" s="145"/>
      <c r="BR16" s="145"/>
      <c r="BS16" s="145"/>
      <c r="BT16" s="145"/>
      <c r="BU16" s="165">
        <f t="shared" si="1"/>
        <v>288</v>
      </c>
      <c r="BV16" s="610">
        <f t="shared" si="2"/>
        <v>69997377.599999994</v>
      </c>
      <c r="BW16" s="147"/>
      <c r="BX16" s="147"/>
      <c r="BY16" s="147"/>
      <c r="BZ16" s="147"/>
      <c r="CA16" s="147"/>
      <c r="CB16" s="147"/>
      <c r="CC16" s="147"/>
      <c r="CD16" s="147"/>
      <c r="CE16" s="147"/>
      <c r="CF16" s="147"/>
      <c r="CG16" s="147"/>
      <c r="CH16" s="147"/>
    </row>
    <row r="17" spans="1:86">
      <c r="A17" s="144" t="s">
        <v>292</v>
      </c>
      <c r="B17" s="144">
        <v>0</v>
      </c>
      <c r="C17" s="503"/>
      <c r="D17" s="144">
        <v>25</v>
      </c>
      <c r="E17" s="503"/>
      <c r="F17" s="144">
        <v>25</v>
      </c>
      <c r="G17" s="504">
        <f t="shared" si="3"/>
        <v>50</v>
      </c>
      <c r="H17" s="371">
        <f t="shared" si="11"/>
        <v>17156220</v>
      </c>
      <c r="I17" s="144">
        <v>25</v>
      </c>
      <c r="J17" s="503"/>
      <c r="K17" s="144">
        <v>25</v>
      </c>
      <c r="L17" s="503"/>
      <c r="M17" s="144">
        <v>25</v>
      </c>
      <c r="N17" s="504">
        <f t="shared" si="4"/>
        <v>125</v>
      </c>
      <c r="O17" s="371">
        <f t="shared" si="12"/>
        <v>42890550</v>
      </c>
      <c r="P17" s="144">
        <v>25</v>
      </c>
      <c r="Q17" s="503"/>
      <c r="R17" s="145">
        <v>25</v>
      </c>
      <c r="S17" s="503"/>
      <c r="T17" s="145">
        <v>25</v>
      </c>
      <c r="U17" s="504">
        <f t="shared" si="5"/>
        <v>200</v>
      </c>
      <c r="V17" s="371">
        <f t="shared" si="13"/>
        <v>68624880</v>
      </c>
      <c r="W17" s="145">
        <v>25</v>
      </c>
      <c r="X17" s="503"/>
      <c r="Y17" s="145">
        <v>25</v>
      </c>
      <c r="Z17" s="503"/>
      <c r="AA17" s="145">
        <v>10</v>
      </c>
      <c r="AB17" s="504">
        <f t="shared" si="6"/>
        <v>260</v>
      </c>
      <c r="AC17" s="371">
        <f t="shared" si="14"/>
        <v>89212344</v>
      </c>
      <c r="AD17" s="165">
        <f t="shared" si="0"/>
        <v>260</v>
      </c>
      <c r="AE17" s="609">
        <f t="shared" si="7"/>
        <v>89212344</v>
      </c>
      <c r="AF17" s="164"/>
      <c r="AG17" s="164"/>
      <c r="AH17" s="164"/>
      <c r="AI17" s="164"/>
      <c r="AJ17" s="164"/>
      <c r="AK17" s="147"/>
      <c r="AL17" s="147"/>
      <c r="AM17" s="147"/>
      <c r="AN17" s="147"/>
      <c r="AO17" s="147"/>
      <c r="AP17" s="147"/>
      <c r="AQ17" s="147"/>
      <c r="AS17" s="144" t="s">
        <v>292</v>
      </c>
      <c r="AT17" s="144">
        <v>0</v>
      </c>
      <c r="AU17" s="507"/>
      <c r="AV17" s="144">
        <v>11</v>
      </c>
      <c r="AW17" s="503"/>
      <c r="AX17" s="144">
        <v>15</v>
      </c>
      <c r="AY17" s="504">
        <f t="shared" si="8"/>
        <v>26</v>
      </c>
      <c r="AZ17" s="461">
        <f t="shared" si="15"/>
        <v>8921234.4000000004</v>
      </c>
      <c r="BA17" s="144">
        <v>18</v>
      </c>
      <c r="BB17" s="507"/>
      <c r="BC17" s="144">
        <v>20</v>
      </c>
      <c r="BD17" s="507"/>
      <c r="BE17" s="144">
        <v>25</v>
      </c>
      <c r="BF17" s="144">
        <f t="shared" si="9"/>
        <v>63</v>
      </c>
      <c r="BG17" s="660">
        <f t="shared" si="16"/>
        <v>21616837.200000003</v>
      </c>
      <c r="BH17" s="144">
        <v>13</v>
      </c>
      <c r="BI17" s="507"/>
      <c r="BJ17" s="705">
        <v>18</v>
      </c>
      <c r="BK17" s="145"/>
      <c r="BL17" s="145">
        <v>14</v>
      </c>
      <c r="BM17" s="145">
        <f t="shared" si="10"/>
        <v>45</v>
      </c>
      <c r="BN17" s="777"/>
      <c r="BO17" s="145"/>
      <c r="BP17" s="145"/>
      <c r="BQ17" s="145"/>
      <c r="BR17" s="145"/>
      <c r="BS17" s="145"/>
      <c r="BT17" s="145"/>
      <c r="BU17" s="165">
        <f t="shared" si="1"/>
        <v>134</v>
      </c>
      <c r="BV17" s="610">
        <f t="shared" si="2"/>
        <v>30538071.600000001</v>
      </c>
      <c r="BW17" s="147"/>
      <c r="BX17" s="147"/>
      <c r="BY17" s="147"/>
      <c r="BZ17" s="147"/>
      <c r="CA17" s="147"/>
      <c r="CB17" s="147"/>
      <c r="CC17" s="147"/>
      <c r="CD17" s="147"/>
      <c r="CE17" s="147"/>
      <c r="CF17" s="147"/>
      <c r="CG17" s="147"/>
      <c r="CH17" s="147"/>
    </row>
    <row r="18" spans="1:86">
      <c r="A18" s="144" t="s">
        <v>293</v>
      </c>
      <c r="B18" s="144">
        <v>0</v>
      </c>
      <c r="C18" s="503"/>
      <c r="D18" s="144">
        <v>50</v>
      </c>
      <c r="E18" s="503"/>
      <c r="F18" s="144">
        <v>65</v>
      </c>
      <c r="G18" s="504">
        <f t="shared" si="3"/>
        <v>115</v>
      </c>
      <c r="H18" s="371">
        <f t="shared" si="11"/>
        <v>39459306</v>
      </c>
      <c r="I18" s="144">
        <v>65</v>
      </c>
      <c r="J18" s="503"/>
      <c r="K18" s="144">
        <v>65</v>
      </c>
      <c r="L18" s="503"/>
      <c r="M18" s="144">
        <v>65</v>
      </c>
      <c r="N18" s="504">
        <f t="shared" si="4"/>
        <v>310</v>
      </c>
      <c r="O18" s="371">
        <f t="shared" si="12"/>
        <v>106368564</v>
      </c>
      <c r="P18" s="144">
        <v>65</v>
      </c>
      <c r="Q18" s="503"/>
      <c r="R18" s="145">
        <v>65</v>
      </c>
      <c r="S18" s="503"/>
      <c r="T18" s="145">
        <v>65</v>
      </c>
      <c r="U18" s="504">
        <f t="shared" si="5"/>
        <v>505</v>
      </c>
      <c r="V18" s="371">
        <f t="shared" si="13"/>
        <v>173277822</v>
      </c>
      <c r="W18" s="145">
        <v>65</v>
      </c>
      <c r="X18" s="503"/>
      <c r="Y18" s="145">
        <v>65</v>
      </c>
      <c r="Z18" s="503"/>
      <c r="AA18" s="145">
        <v>11</v>
      </c>
      <c r="AB18" s="504">
        <f t="shared" si="6"/>
        <v>646</v>
      </c>
      <c r="AC18" s="371">
        <f t="shared" si="14"/>
        <v>221658362.40000001</v>
      </c>
      <c r="AD18" s="165">
        <f t="shared" si="0"/>
        <v>646</v>
      </c>
      <c r="AE18" s="609">
        <f t="shared" si="7"/>
        <v>221658362.40000001</v>
      </c>
      <c r="AF18" s="164"/>
      <c r="AG18" s="164"/>
      <c r="AH18" s="164"/>
      <c r="AI18" s="164"/>
      <c r="AJ18" s="164"/>
      <c r="AK18" s="147"/>
      <c r="AL18" s="147"/>
      <c r="AM18" s="147"/>
      <c r="AN18" s="147"/>
      <c r="AO18" s="147"/>
      <c r="AP18" s="147"/>
      <c r="AQ18" s="147"/>
      <c r="AS18" s="144" t="s">
        <v>293</v>
      </c>
      <c r="AT18" s="144">
        <v>0</v>
      </c>
      <c r="AU18" s="507"/>
      <c r="AV18" s="144">
        <v>111</v>
      </c>
      <c r="AW18" s="503"/>
      <c r="AX18" s="144">
        <v>118</v>
      </c>
      <c r="AY18" s="504">
        <f t="shared" si="8"/>
        <v>229</v>
      </c>
      <c r="AZ18" s="461">
        <f t="shared" si="15"/>
        <v>78575487.600000009</v>
      </c>
      <c r="BA18" s="144">
        <v>19</v>
      </c>
      <c r="BB18" s="507"/>
      <c r="BC18" s="144">
        <v>87</v>
      </c>
      <c r="BD18" s="507"/>
      <c r="BE18" s="144">
        <v>53</v>
      </c>
      <c r="BF18" s="144">
        <f t="shared" si="9"/>
        <v>159</v>
      </c>
      <c r="BG18" s="660">
        <f t="shared" si="16"/>
        <v>54556779.600000001</v>
      </c>
      <c r="BH18" s="144">
        <v>45</v>
      </c>
      <c r="BI18" s="507"/>
      <c r="BJ18" s="705">
        <v>49</v>
      </c>
      <c r="BK18" s="145"/>
      <c r="BL18" s="145">
        <v>38</v>
      </c>
      <c r="BM18" s="145">
        <f t="shared" si="10"/>
        <v>132</v>
      </c>
      <c r="BN18" s="777"/>
      <c r="BO18" s="145"/>
      <c r="BP18" s="145"/>
      <c r="BQ18" s="145"/>
      <c r="BR18" s="145"/>
      <c r="BS18" s="145"/>
      <c r="BT18" s="145"/>
      <c r="BU18" s="165">
        <f t="shared" si="1"/>
        <v>520</v>
      </c>
      <c r="BV18" s="610">
        <f t="shared" si="2"/>
        <v>133132267.20000002</v>
      </c>
      <c r="BW18" s="147"/>
      <c r="BX18" s="147"/>
      <c r="BY18" s="147"/>
      <c r="BZ18" s="147"/>
      <c r="CA18" s="147"/>
      <c r="CB18" s="147"/>
      <c r="CC18" s="147"/>
      <c r="CD18" s="147"/>
      <c r="CE18" s="147"/>
      <c r="CF18" s="147"/>
      <c r="CG18" s="147"/>
      <c r="CH18" s="147"/>
    </row>
    <row r="19" spans="1:86">
      <c r="A19" s="144" t="s">
        <v>294</v>
      </c>
      <c r="B19" s="144">
        <v>0</v>
      </c>
      <c r="C19" s="503"/>
      <c r="D19" s="144">
        <v>50</v>
      </c>
      <c r="E19" s="503"/>
      <c r="F19" s="144">
        <v>70</v>
      </c>
      <c r="G19" s="504">
        <f t="shared" si="3"/>
        <v>120</v>
      </c>
      <c r="H19" s="371">
        <f t="shared" si="11"/>
        <v>41174928</v>
      </c>
      <c r="I19" s="144">
        <v>70</v>
      </c>
      <c r="J19" s="503"/>
      <c r="K19" s="144">
        <v>70</v>
      </c>
      <c r="L19" s="503"/>
      <c r="M19" s="144">
        <v>70</v>
      </c>
      <c r="N19" s="504">
        <f t="shared" si="4"/>
        <v>330</v>
      </c>
      <c r="O19" s="371">
        <f t="shared" si="12"/>
        <v>113231052.00000001</v>
      </c>
      <c r="P19" s="144">
        <v>70</v>
      </c>
      <c r="Q19" s="503"/>
      <c r="R19" s="145">
        <v>70</v>
      </c>
      <c r="S19" s="503"/>
      <c r="T19" s="145">
        <v>70</v>
      </c>
      <c r="U19" s="504">
        <f t="shared" si="5"/>
        <v>540</v>
      </c>
      <c r="V19" s="371">
        <f t="shared" si="13"/>
        <v>185287176</v>
      </c>
      <c r="W19" s="145">
        <v>70</v>
      </c>
      <c r="X19" s="503"/>
      <c r="Y19" s="145">
        <v>70</v>
      </c>
      <c r="Z19" s="503"/>
      <c r="AA19" s="145">
        <v>11</v>
      </c>
      <c r="AB19" s="504">
        <f t="shared" si="6"/>
        <v>691</v>
      </c>
      <c r="AC19" s="371">
        <f t="shared" si="14"/>
        <v>237098960.40000001</v>
      </c>
      <c r="AD19" s="165">
        <f t="shared" si="0"/>
        <v>691</v>
      </c>
      <c r="AE19" s="609">
        <f t="shared" si="7"/>
        <v>237098960.40000001</v>
      </c>
      <c r="AF19" s="164"/>
      <c r="AG19" s="164"/>
      <c r="AH19" s="164"/>
      <c r="AI19" s="164"/>
      <c r="AJ19" s="164"/>
      <c r="AK19" s="147"/>
      <c r="AL19" s="147"/>
      <c r="AM19" s="147"/>
      <c r="AN19" s="147"/>
      <c r="AO19" s="147"/>
      <c r="AP19" s="147"/>
      <c r="AQ19" s="147"/>
      <c r="AS19" s="144" t="s">
        <v>294</v>
      </c>
      <c r="AT19" s="144">
        <v>0</v>
      </c>
      <c r="AU19" s="507"/>
      <c r="AV19" s="144">
        <v>44</v>
      </c>
      <c r="AW19" s="503"/>
      <c r="AX19" s="144">
        <v>73</v>
      </c>
      <c r="AY19" s="504">
        <f t="shared" si="8"/>
        <v>117</v>
      </c>
      <c r="AZ19" s="461">
        <f t="shared" si="15"/>
        <v>40145554.800000004</v>
      </c>
      <c r="BA19" s="144">
        <v>144</v>
      </c>
      <c r="BB19" s="507"/>
      <c r="BC19" s="144">
        <v>149</v>
      </c>
      <c r="BD19" s="507"/>
      <c r="BE19" s="144">
        <v>50</v>
      </c>
      <c r="BF19" s="144">
        <f t="shared" si="9"/>
        <v>343</v>
      </c>
      <c r="BG19" s="660">
        <f t="shared" si="16"/>
        <v>117691669.2</v>
      </c>
      <c r="BH19" s="144">
        <v>68</v>
      </c>
      <c r="BI19" s="507"/>
      <c r="BJ19" s="705">
        <v>48</v>
      </c>
      <c r="BK19" s="145"/>
      <c r="BL19" s="145">
        <v>60</v>
      </c>
      <c r="BM19" s="145">
        <f t="shared" si="10"/>
        <v>176</v>
      </c>
      <c r="BN19" s="777"/>
      <c r="BO19" s="145"/>
      <c r="BP19" s="145"/>
      <c r="BQ19" s="145"/>
      <c r="BR19" s="145"/>
      <c r="BS19" s="145"/>
      <c r="BT19" s="145"/>
      <c r="BU19" s="165">
        <f t="shared" si="1"/>
        <v>636</v>
      </c>
      <c r="BV19" s="610">
        <f t="shared" si="2"/>
        <v>157837224</v>
      </c>
      <c r="BW19" s="147"/>
      <c r="BX19" s="147"/>
      <c r="BY19" s="147"/>
      <c r="BZ19" s="147"/>
      <c r="CA19" s="147"/>
      <c r="CB19" s="147"/>
      <c r="CC19" s="147"/>
      <c r="CD19" s="147"/>
      <c r="CE19" s="147"/>
      <c r="CF19" s="147"/>
      <c r="CG19" s="147"/>
      <c r="CH19" s="147"/>
    </row>
    <row r="20" spans="1:86">
      <c r="A20" s="144" t="s">
        <v>295</v>
      </c>
      <c r="B20" s="144">
        <v>0</v>
      </c>
      <c r="C20" s="503"/>
      <c r="D20" s="144">
        <v>25</v>
      </c>
      <c r="E20" s="503"/>
      <c r="F20" s="144">
        <v>25</v>
      </c>
      <c r="G20" s="504">
        <f t="shared" si="3"/>
        <v>50</v>
      </c>
      <c r="H20" s="371">
        <f t="shared" si="11"/>
        <v>17156220</v>
      </c>
      <c r="I20" s="144">
        <v>25</v>
      </c>
      <c r="J20" s="503"/>
      <c r="K20" s="144">
        <v>25</v>
      </c>
      <c r="L20" s="503"/>
      <c r="M20" s="144">
        <v>25</v>
      </c>
      <c r="N20" s="504">
        <f t="shared" si="4"/>
        <v>125</v>
      </c>
      <c r="O20" s="371">
        <f t="shared" si="12"/>
        <v>42890550</v>
      </c>
      <c r="P20" s="144">
        <v>25</v>
      </c>
      <c r="Q20" s="503"/>
      <c r="R20" s="145">
        <v>25</v>
      </c>
      <c r="S20" s="503"/>
      <c r="T20" s="145">
        <v>25</v>
      </c>
      <c r="U20" s="504">
        <f t="shared" si="5"/>
        <v>200</v>
      </c>
      <c r="V20" s="371">
        <f t="shared" si="13"/>
        <v>68624880</v>
      </c>
      <c r="W20" s="145">
        <v>25</v>
      </c>
      <c r="X20" s="503"/>
      <c r="Y20" s="145">
        <v>25</v>
      </c>
      <c r="Z20" s="503"/>
      <c r="AA20" s="145">
        <v>10</v>
      </c>
      <c r="AB20" s="504">
        <f t="shared" si="6"/>
        <v>260</v>
      </c>
      <c r="AC20" s="371">
        <f t="shared" si="14"/>
        <v>89212344</v>
      </c>
      <c r="AD20" s="165">
        <f t="shared" si="0"/>
        <v>260</v>
      </c>
      <c r="AE20" s="609">
        <f t="shared" si="7"/>
        <v>89212344</v>
      </c>
      <c r="AF20" s="164"/>
      <c r="AG20" s="164"/>
      <c r="AH20" s="164"/>
      <c r="AI20" s="164"/>
      <c r="AJ20" s="164"/>
      <c r="AK20" s="147"/>
      <c r="AL20" s="147"/>
      <c r="AM20" s="147"/>
      <c r="AN20" s="147"/>
      <c r="AO20" s="147"/>
      <c r="AP20" s="147"/>
      <c r="AQ20" s="147"/>
      <c r="AS20" s="144" t="s">
        <v>295</v>
      </c>
      <c r="AT20" s="144">
        <v>0</v>
      </c>
      <c r="AU20" s="507"/>
      <c r="AV20" s="144">
        <v>11</v>
      </c>
      <c r="AW20" s="503"/>
      <c r="AX20" s="144">
        <v>65</v>
      </c>
      <c r="AY20" s="504">
        <f t="shared" si="8"/>
        <v>76</v>
      </c>
      <c r="AZ20" s="461">
        <f t="shared" si="15"/>
        <v>26077454.400000002</v>
      </c>
      <c r="BA20" s="144">
        <v>46</v>
      </c>
      <c r="BB20" s="507"/>
      <c r="BC20" s="144">
        <v>20</v>
      </c>
      <c r="BD20" s="507"/>
      <c r="BE20" s="144">
        <v>33</v>
      </c>
      <c r="BF20" s="144">
        <f t="shared" si="9"/>
        <v>99</v>
      </c>
      <c r="BG20" s="660">
        <f t="shared" si="16"/>
        <v>33969315.600000001</v>
      </c>
      <c r="BH20" s="144">
        <v>27</v>
      </c>
      <c r="BI20" s="507"/>
      <c r="BJ20" s="705">
        <v>40</v>
      </c>
      <c r="BK20" s="145"/>
      <c r="BL20" s="145">
        <v>33</v>
      </c>
      <c r="BM20" s="145">
        <f t="shared" si="10"/>
        <v>100</v>
      </c>
      <c r="BN20" s="777"/>
      <c r="BO20" s="145"/>
      <c r="BP20" s="145"/>
      <c r="BQ20" s="145"/>
      <c r="BR20" s="145"/>
      <c r="BS20" s="145"/>
      <c r="BT20" s="145"/>
      <c r="BU20" s="165">
        <f t="shared" si="1"/>
        <v>275</v>
      </c>
      <c r="BV20" s="610">
        <f t="shared" si="2"/>
        <v>60046770</v>
      </c>
      <c r="BW20" s="147"/>
      <c r="BX20" s="147"/>
      <c r="BY20" s="147"/>
      <c r="BZ20" s="147"/>
      <c r="CA20" s="147"/>
      <c r="CB20" s="147"/>
      <c r="CC20" s="147"/>
      <c r="CD20" s="147"/>
      <c r="CE20" s="147"/>
      <c r="CF20" s="147"/>
      <c r="CG20" s="147"/>
      <c r="CH20" s="147"/>
    </row>
    <row r="21" spans="1:86">
      <c r="A21" s="144" t="s">
        <v>296</v>
      </c>
      <c r="B21" s="144">
        <v>0</v>
      </c>
      <c r="C21" s="503"/>
      <c r="D21" s="144">
        <v>50</v>
      </c>
      <c r="E21" s="503"/>
      <c r="F21" s="144">
        <v>60</v>
      </c>
      <c r="G21" s="504">
        <f t="shared" si="3"/>
        <v>110</v>
      </c>
      <c r="H21" s="371">
        <f t="shared" si="11"/>
        <v>37743684</v>
      </c>
      <c r="I21" s="144">
        <v>60</v>
      </c>
      <c r="J21" s="503"/>
      <c r="K21" s="144">
        <v>60</v>
      </c>
      <c r="L21" s="503"/>
      <c r="M21" s="144">
        <v>60</v>
      </c>
      <c r="N21" s="504">
        <f t="shared" si="4"/>
        <v>290</v>
      </c>
      <c r="O21" s="371">
        <f t="shared" si="12"/>
        <v>99506076</v>
      </c>
      <c r="P21" s="144">
        <v>60</v>
      </c>
      <c r="Q21" s="503"/>
      <c r="R21" s="145">
        <v>60</v>
      </c>
      <c r="S21" s="503"/>
      <c r="T21" s="145">
        <v>60</v>
      </c>
      <c r="U21" s="504">
        <f t="shared" si="5"/>
        <v>470</v>
      </c>
      <c r="V21" s="371">
        <f t="shared" si="13"/>
        <v>161268468</v>
      </c>
      <c r="W21" s="145">
        <v>60</v>
      </c>
      <c r="X21" s="503"/>
      <c r="Y21" s="145">
        <v>60</v>
      </c>
      <c r="Z21" s="503"/>
      <c r="AA21" s="145">
        <v>11</v>
      </c>
      <c r="AB21" s="504">
        <f t="shared" si="6"/>
        <v>601</v>
      </c>
      <c r="AC21" s="371">
        <f t="shared" si="14"/>
        <v>206217764.40000001</v>
      </c>
      <c r="AD21" s="165">
        <f t="shared" si="0"/>
        <v>601</v>
      </c>
      <c r="AE21" s="609">
        <f t="shared" si="7"/>
        <v>206217764.40000001</v>
      </c>
      <c r="AF21" s="164"/>
      <c r="AG21" s="164"/>
      <c r="AH21" s="164"/>
      <c r="AI21" s="164"/>
      <c r="AJ21" s="164"/>
      <c r="AK21" s="147"/>
      <c r="AL21" s="147"/>
      <c r="AM21" s="147"/>
      <c r="AN21" s="147"/>
      <c r="AO21" s="147"/>
      <c r="AP21" s="147"/>
      <c r="AQ21" s="147"/>
      <c r="AS21" s="144" t="s">
        <v>296</v>
      </c>
      <c r="AT21" s="144">
        <v>0</v>
      </c>
      <c r="AU21" s="507"/>
      <c r="AV21" s="144">
        <v>24</v>
      </c>
      <c r="AW21" s="503"/>
      <c r="AX21" s="144">
        <v>47</v>
      </c>
      <c r="AY21" s="504">
        <f t="shared" si="8"/>
        <v>71</v>
      </c>
      <c r="AZ21" s="461">
        <f t="shared" si="15"/>
        <v>24361832.400000002</v>
      </c>
      <c r="BA21" s="144">
        <v>82</v>
      </c>
      <c r="BB21" s="507"/>
      <c r="BC21" s="144">
        <v>105</v>
      </c>
      <c r="BD21" s="507"/>
      <c r="BE21" s="144">
        <v>87</v>
      </c>
      <c r="BF21" s="144">
        <f t="shared" si="9"/>
        <v>274</v>
      </c>
      <c r="BG21" s="660">
        <f t="shared" si="16"/>
        <v>94016085.600000009</v>
      </c>
      <c r="BH21" s="144">
        <v>50</v>
      </c>
      <c r="BI21" s="507"/>
      <c r="BJ21" s="705">
        <v>122</v>
      </c>
      <c r="BK21" s="145"/>
      <c r="BL21" s="145">
        <v>64</v>
      </c>
      <c r="BM21" s="145">
        <f t="shared" si="10"/>
        <v>236</v>
      </c>
      <c r="BN21" s="777"/>
      <c r="BO21" s="145"/>
      <c r="BP21" s="145"/>
      <c r="BQ21" s="145"/>
      <c r="BR21" s="145"/>
      <c r="BS21" s="145"/>
      <c r="BT21" s="145"/>
      <c r="BU21" s="165">
        <f t="shared" si="1"/>
        <v>581</v>
      </c>
      <c r="BV21" s="610">
        <f t="shared" si="2"/>
        <v>118377918.00000001</v>
      </c>
      <c r="BW21" s="147"/>
      <c r="BX21" s="147"/>
      <c r="BY21" s="147"/>
      <c r="BZ21" s="147"/>
      <c r="CA21" s="147"/>
      <c r="CB21" s="147"/>
      <c r="CC21" s="147"/>
      <c r="CD21" s="147"/>
      <c r="CE21" s="147"/>
      <c r="CF21" s="147"/>
      <c r="CG21" s="147"/>
      <c r="CH21" s="147"/>
    </row>
    <row r="22" spans="1:86">
      <c r="A22" s="144" t="s">
        <v>297</v>
      </c>
      <c r="B22" s="144">
        <v>0</v>
      </c>
      <c r="C22" s="503"/>
      <c r="D22" s="144">
        <v>50</v>
      </c>
      <c r="E22" s="503"/>
      <c r="F22" s="144">
        <v>70</v>
      </c>
      <c r="G22" s="504">
        <f t="shared" si="3"/>
        <v>120</v>
      </c>
      <c r="H22" s="371">
        <f t="shared" si="11"/>
        <v>41174928</v>
      </c>
      <c r="I22" s="144">
        <v>70</v>
      </c>
      <c r="J22" s="503"/>
      <c r="K22" s="144">
        <v>70</v>
      </c>
      <c r="L22" s="503"/>
      <c r="M22" s="144">
        <v>70</v>
      </c>
      <c r="N22" s="504">
        <f t="shared" si="4"/>
        <v>330</v>
      </c>
      <c r="O22" s="371">
        <f t="shared" si="12"/>
        <v>113231052.00000001</v>
      </c>
      <c r="P22" s="144">
        <v>70</v>
      </c>
      <c r="Q22" s="503"/>
      <c r="R22" s="145">
        <v>70</v>
      </c>
      <c r="S22" s="503"/>
      <c r="T22" s="145">
        <v>70</v>
      </c>
      <c r="U22" s="504">
        <f t="shared" si="5"/>
        <v>540</v>
      </c>
      <c r="V22" s="371">
        <f t="shared" si="13"/>
        <v>185287176</v>
      </c>
      <c r="W22" s="145">
        <v>70</v>
      </c>
      <c r="X22" s="503"/>
      <c r="Y22" s="145">
        <v>70</v>
      </c>
      <c r="Z22" s="503"/>
      <c r="AA22" s="145">
        <v>11</v>
      </c>
      <c r="AB22" s="504">
        <f t="shared" si="6"/>
        <v>691</v>
      </c>
      <c r="AC22" s="371">
        <f t="shared" si="14"/>
        <v>237098960.40000001</v>
      </c>
      <c r="AD22" s="165">
        <f t="shared" si="0"/>
        <v>691</v>
      </c>
      <c r="AE22" s="609">
        <f t="shared" si="7"/>
        <v>237098960.40000001</v>
      </c>
      <c r="AF22" s="164"/>
      <c r="AG22" s="164"/>
      <c r="AH22" s="164"/>
      <c r="AI22" s="164"/>
      <c r="AJ22" s="164"/>
      <c r="AK22" s="147"/>
      <c r="AL22" s="147"/>
      <c r="AM22" s="147"/>
      <c r="AN22" s="147"/>
      <c r="AO22" s="147"/>
      <c r="AP22" s="147"/>
      <c r="AQ22" s="147"/>
      <c r="AS22" s="144" t="s">
        <v>297</v>
      </c>
      <c r="AT22" s="144">
        <v>0</v>
      </c>
      <c r="AU22" s="507"/>
      <c r="AV22" s="144">
        <v>94</v>
      </c>
      <c r="AW22" s="503"/>
      <c r="AX22" s="144">
        <v>103</v>
      </c>
      <c r="AY22" s="504">
        <f t="shared" si="8"/>
        <v>197</v>
      </c>
      <c r="AZ22" s="461">
        <f t="shared" si="15"/>
        <v>67595506.800000012</v>
      </c>
      <c r="BA22" s="144">
        <v>158</v>
      </c>
      <c r="BB22" s="507"/>
      <c r="BC22" s="144">
        <v>136</v>
      </c>
      <c r="BD22" s="507"/>
      <c r="BE22" s="144">
        <v>79</v>
      </c>
      <c r="BF22" s="144">
        <f t="shared" si="9"/>
        <v>373</v>
      </c>
      <c r="BG22" s="660">
        <f t="shared" si="16"/>
        <v>127985401.2</v>
      </c>
      <c r="BH22" s="144">
        <v>140</v>
      </c>
      <c r="BI22" s="507"/>
      <c r="BJ22" s="705">
        <v>87</v>
      </c>
      <c r="BK22" s="145"/>
      <c r="BL22" s="145">
        <v>102</v>
      </c>
      <c r="BM22" s="145">
        <f t="shared" si="10"/>
        <v>329</v>
      </c>
      <c r="BN22" s="777"/>
      <c r="BO22" s="145"/>
      <c r="BP22" s="145"/>
      <c r="BQ22" s="145"/>
      <c r="BR22" s="145"/>
      <c r="BS22" s="145"/>
      <c r="BT22" s="145"/>
      <c r="BU22" s="165">
        <f t="shared" si="1"/>
        <v>899</v>
      </c>
      <c r="BV22" s="610">
        <f t="shared" si="2"/>
        <v>195580908</v>
      </c>
      <c r="BW22" s="147"/>
      <c r="BX22" s="147"/>
      <c r="BY22" s="147"/>
      <c r="BZ22" s="147"/>
      <c r="CA22" s="147"/>
      <c r="CB22" s="147"/>
      <c r="CC22" s="147"/>
      <c r="CD22" s="147"/>
      <c r="CE22" s="147"/>
      <c r="CF22" s="147"/>
      <c r="CG22" s="147"/>
      <c r="CH22" s="147"/>
    </row>
    <row r="23" spans="1:86">
      <c r="A23" s="144" t="s">
        <v>298</v>
      </c>
      <c r="B23" s="144">
        <v>0</v>
      </c>
      <c r="C23" s="503"/>
      <c r="D23" s="144">
        <v>10</v>
      </c>
      <c r="E23" s="503"/>
      <c r="F23" s="144">
        <v>10</v>
      </c>
      <c r="G23" s="504">
        <f t="shared" si="3"/>
        <v>20</v>
      </c>
      <c r="H23" s="371">
        <f t="shared" si="11"/>
        <v>6862488</v>
      </c>
      <c r="I23" s="144">
        <v>10</v>
      </c>
      <c r="J23" s="503"/>
      <c r="K23" s="144">
        <v>10</v>
      </c>
      <c r="L23" s="503"/>
      <c r="M23" s="144">
        <v>10</v>
      </c>
      <c r="N23" s="504">
        <f t="shared" si="4"/>
        <v>50</v>
      </c>
      <c r="O23" s="371">
        <f t="shared" si="12"/>
        <v>17156220</v>
      </c>
      <c r="P23" s="144">
        <v>10</v>
      </c>
      <c r="Q23" s="503"/>
      <c r="R23" s="145">
        <v>10</v>
      </c>
      <c r="S23" s="503"/>
      <c r="T23" s="145">
        <v>10</v>
      </c>
      <c r="U23" s="504">
        <f t="shared" si="5"/>
        <v>80</v>
      </c>
      <c r="V23" s="371">
        <f t="shared" si="13"/>
        <v>27449952</v>
      </c>
      <c r="W23" s="145">
        <v>10</v>
      </c>
      <c r="X23" s="503"/>
      <c r="Y23" s="145">
        <v>10</v>
      </c>
      <c r="Z23" s="503"/>
      <c r="AA23" s="145">
        <v>10</v>
      </c>
      <c r="AB23" s="504">
        <f t="shared" si="6"/>
        <v>110</v>
      </c>
      <c r="AC23" s="371">
        <f t="shared" si="14"/>
        <v>37743684</v>
      </c>
      <c r="AD23" s="165">
        <f t="shared" si="0"/>
        <v>110</v>
      </c>
      <c r="AE23" s="609">
        <f t="shared" si="7"/>
        <v>37743684</v>
      </c>
      <c r="AF23" s="164"/>
      <c r="AG23" s="164"/>
      <c r="AH23" s="164"/>
      <c r="AI23" s="164"/>
      <c r="AJ23" s="164"/>
      <c r="AK23" s="147"/>
      <c r="AL23" s="147"/>
      <c r="AM23" s="147"/>
      <c r="AN23" s="147"/>
      <c r="AO23" s="147"/>
      <c r="AP23" s="147"/>
      <c r="AQ23" s="147"/>
      <c r="AS23" s="144" t="s">
        <v>298</v>
      </c>
      <c r="AT23" s="144">
        <v>0</v>
      </c>
      <c r="AU23" s="507"/>
      <c r="AV23" s="144">
        <v>8</v>
      </c>
      <c r="AW23" s="503"/>
      <c r="AX23" s="144">
        <v>16</v>
      </c>
      <c r="AY23" s="504">
        <f t="shared" si="8"/>
        <v>24</v>
      </c>
      <c r="AZ23" s="461">
        <f t="shared" si="15"/>
        <v>8234985.6000000006</v>
      </c>
      <c r="BA23" s="144">
        <v>4</v>
      </c>
      <c r="BB23" s="507"/>
      <c r="BC23" s="144">
        <v>8</v>
      </c>
      <c r="BD23" s="507"/>
      <c r="BE23" s="144">
        <v>16</v>
      </c>
      <c r="BF23" s="144">
        <f t="shared" si="9"/>
        <v>28</v>
      </c>
      <c r="BG23" s="660">
        <f t="shared" si="16"/>
        <v>9607483.2000000011</v>
      </c>
      <c r="BH23" s="144">
        <v>13</v>
      </c>
      <c r="BI23" s="507"/>
      <c r="BJ23" s="705">
        <v>12</v>
      </c>
      <c r="BK23" s="145"/>
      <c r="BL23" s="145">
        <v>9</v>
      </c>
      <c r="BM23" s="145">
        <f t="shared" si="10"/>
        <v>34</v>
      </c>
      <c r="BN23" s="777"/>
      <c r="BO23" s="145"/>
      <c r="BP23" s="145"/>
      <c r="BQ23" s="145"/>
      <c r="BR23" s="145"/>
      <c r="BS23" s="145"/>
      <c r="BT23" s="145"/>
      <c r="BU23" s="165">
        <f t="shared" si="1"/>
        <v>86</v>
      </c>
      <c r="BV23" s="610">
        <f t="shared" si="2"/>
        <v>17842468.800000001</v>
      </c>
      <c r="BW23" s="147"/>
      <c r="BX23" s="147"/>
      <c r="BY23" s="147"/>
      <c r="BZ23" s="147"/>
      <c r="CA23" s="147"/>
      <c r="CB23" s="147"/>
      <c r="CC23" s="147"/>
      <c r="CD23" s="147"/>
      <c r="CE23" s="147"/>
      <c r="CF23" s="147"/>
      <c r="CG23" s="147"/>
      <c r="CH23" s="147"/>
    </row>
    <row r="24" spans="1:86">
      <c r="A24" s="144" t="s">
        <v>299</v>
      </c>
      <c r="B24" s="144">
        <v>0</v>
      </c>
      <c r="C24" s="503"/>
      <c r="D24" s="144">
        <v>10</v>
      </c>
      <c r="E24" s="503"/>
      <c r="F24" s="144">
        <v>10</v>
      </c>
      <c r="G24" s="504">
        <f t="shared" si="3"/>
        <v>20</v>
      </c>
      <c r="H24" s="371">
        <f t="shared" si="11"/>
        <v>6862488</v>
      </c>
      <c r="I24" s="144">
        <v>10</v>
      </c>
      <c r="J24" s="503"/>
      <c r="K24" s="144">
        <v>10</v>
      </c>
      <c r="L24" s="503"/>
      <c r="M24" s="144">
        <v>10</v>
      </c>
      <c r="N24" s="504">
        <f t="shared" si="4"/>
        <v>50</v>
      </c>
      <c r="O24" s="371">
        <f t="shared" si="12"/>
        <v>17156220</v>
      </c>
      <c r="P24" s="144">
        <v>10</v>
      </c>
      <c r="Q24" s="503"/>
      <c r="R24" s="145">
        <v>10</v>
      </c>
      <c r="S24" s="503"/>
      <c r="T24" s="145">
        <v>10</v>
      </c>
      <c r="U24" s="504">
        <f t="shared" si="5"/>
        <v>80</v>
      </c>
      <c r="V24" s="371">
        <f t="shared" si="13"/>
        <v>27449952</v>
      </c>
      <c r="W24" s="145">
        <v>10</v>
      </c>
      <c r="X24" s="503"/>
      <c r="Y24" s="145">
        <v>10</v>
      </c>
      <c r="Z24" s="503"/>
      <c r="AA24" s="145">
        <v>10</v>
      </c>
      <c r="AB24" s="504">
        <f t="shared" si="6"/>
        <v>110</v>
      </c>
      <c r="AC24" s="371">
        <f t="shared" si="14"/>
        <v>37743684</v>
      </c>
      <c r="AD24" s="165">
        <f t="shared" si="0"/>
        <v>110</v>
      </c>
      <c r="AE24" s="609">
        <f t="shared" si="7"/>
        <v>37743684</v>
      </c>
      <c r="AF24" s="164"/>
      <c r="AG24" s="164"/>
      <c r="AH24" s="164"/>
      <c r="AI24" s="164"/>
      <c r="AJ24" s="164"/>
      <c r="AK24" s="147"/>
      <c r="AL24" s="147"/>
      <c r="AM24" s="147"/>
      <c r="AN24" s="147"/>
      <c r="AO24" s="147"/>
      <c r="AP24" s="147"/>
      <c r="AQ24" s="147"/>
      <c r="AS24" s="144" t="s">
        <v>299</v>
      </c>
      <c r="AT24" s="144">
        <v>0</v>
      </c>
      <c r="AU24" s="507"/>
      <c r="AV24" s="144">
        <v>15</v>
      </c>
      <c r="AW24" s="503"/>
      <c r="AX24" s="144">
        <v>10</v>
      </c>
      <c r="AY24" s="504">
        <f t="shared" si="8"/>
        <v>25</v>
      </c>
      <c r="AZ24" s="461">
        <f t="shared" si="15"/>
        <v>8578110</v>
      </c>
      <c r="BA24" s="144">
        <v>7</v>
      </c>
      <c r="BB24" s="507"/>
      <c r="BC24" s="144">
        <v>12</v>
      </c>
      <c r="BD24" s="507"/>
      <c r="BE24" s="144">
        <v>19</v>
      </c>
      <c r="BF24" s="144">
        <f t="shared" si="9"/>
        <v>38</v>
      </c>
      <c r="BG24" s="660">
        <f t="shared" si="16"/>
        <v>13038727.200000001</v>
      </c>
      <c r="BH24" s="144">
        <v>17</v>
      </c>
      <c r="BI24" s="507"/>
      <c r="BJ24" s="705">
        <v>12</v>
      </c>
      <c r="BK24" s="145"/>
      <c r="BL24" s="145">
        <v>14</v>
      </c>
      <c r="BM24" s="145">
        <f t="shared" si="10"/>
        <v>43</v>
      </c>
      <c r="BN24" s="777"/>
      <c r="BO24" s="145"/>
      <c r="BP24" s="145"/>
      <c r="BQ24" s="145"/>
      <c r="BR24" s="145"/>
      <c r="BS24" s="145"/>
      <c r="BT24" s="145"/>
      <c r="BU24" s="165">
        <f t="shared" si="1"/>
        <v>106</v>
      </c>
      <c r="BV24" s="610">
        <f t="shared" si="2"/>
        <v>21616837.200000003</v>
      </c>
      <c r="BW24" s="147"/>
      <c r="BX24" s="147"/>
      <c r="BY24" s="147"/>
      <c r="BZ24" s="147"/>
      <c r="CA24" s="147"/>
      <c r="CB24" s="147"/>
      <c r="CC24" s="147"/>
      <c r="CD24" s="147"/>
      <c r="CE24" s="147"/>
      <c r="CF24" s="147"/>
      <c r="CG24" s="147"/>
      <c r="CH24" s="147"/>
    </row>
    <row r="25" spans="1:86">
      <c r="A25" s="144" t="s">
        <v>300</v>
      </c>
      <c r="B25" s="144">
        <v>0</v>
      </c>
      <c r="C25" s="503"/>
      <c r="D25" s="144">
        <v>10</v>
      </c>
      <c r="E25" s="503"/>
      <c r="F25" s="144">
        <v>10</v>
      </c>
      <c r="G25" s="504">
        <f t="shared" si="3"/>
        <v>20</v>
      </c>
      <c r="H25" s="371">
        <f t="shared" si="11"/>
        <v>6862488</v>
      </c>
      <c r="I25" s="144">
        <v>10</v>
      </c>
      <c r="J25" s="503"/>
      <c r="K25" s="144">
        <v>10</v>
      </c>
      <c r="L25" s="503"/>
      <c r="M25" s="144">
        <v>10</v>
      </c>
      <c r="N25" s="504">
        <f t="shared" si="4"/>
        <v>50</v>
      </c>
      <c r="O25" s="371">
        <f t="shared" si="12"/>
        <v>17156220</v>
      </c>
      <c r="P25" s="144">
        <v>10</v>
      </c>
      <c r="Q25" s="503"/>
      <c r="R25" s="145">
        <v>10</v>
      </c>
      <c r="S25" s="503"/>
      <c r="T25" s="145">
        <v>10</v>
      </c>
      <c r="U25" s="504">
        <f t="shared" si="5"/>
        <v>80</v>
      </c>
      <c r="V25" s="371">
        <f t="shared" si="13"/>
        <v>27449952</v>
      </c>
      <c r="W25" s="145">
        <v>10</v>
      </c>
      <c r="X25" s="503"/>
      <c r="Y25" s="145">
        <v>10</v>
      </c>
      <c r="Z25" s="503"/>
      <c r="AA25" s="145">
        <v>10</v>
      </c>
      <c r="AB25" s="504">
        <f t="shared" si="6"/>
        <v>110</v>
      </c>
      <c r="AC25" s="371">
        <f t="shared" si="14"/>
        <v>37743684</v>
      </c>
      <c r="AD25" s="165">
        <f t="shared" si="0"/>
        <v>110</v>
      </c>
      <c r="AE25" s="609">
        <f t="shared" si="7"/>
        <v>37743684</v>
      </c>
      <c r="AF25" s="164"/>
      <c r="AG25" s="164"/>
      <c r="AH25" s="164"/>
      <c r="AI25" s="164"/>
      <c r="AJ25" s="164"/>
      <c r="AK25" s="147"/>
      <c r="AL25" s="147"/>
      <c r="AM25" s="147"/>
      <c r="AN25" s="147"/>
      <c r="AO25" s="147"/>
      <c r="AP25" s="147"/>
      <c r="AQ25" s="147"/>
      <c r="AS25" s="144" t="s">
        <v>300</v>
      </c>
      <c r="AT25" s="144">
        <v>0</v>
      </c>
      <c r="AU25" s="507"/>
      <c r="AV25" s="144">
        <v>9</v>
      </c>
      <c r="AW25" s="503"/>
      <c r="AX25" s="144">
        <v>6</v>
      </c>
      <c r="AY25" s="504">
        <f t="shared" si="8"/>
        <v>15</v>
      </c>
      <c r="AZ25" s="461">
        <f t="shared" si="15"/>
        <v>5146866</v>
      </c>
      <c r="BA25" s="144">
        <v>16</v>
      </c>
      <c r="BB25" s="507"/>
      <c r="BC25" s="144">
        <v>11</v>
      </c>
      <c r="BD25" s="507"/>
      <c r="BE25" s="144">
        <v>34</v>
      </c>
      <c r="BF25" s="144">
        <f t="shared" si="9"/>
        <v>61</v>
      </c>
      <c r="BG25" s="660">
        <f t="shared" si="16"/>
        <v>20930588.400000002</v>
      </c>
      <c r="BH25" s="144">
        <v>19</v>
      </c>
      <c r="BI25" s="507"/>
      <c r="BJ25" s="705">
        <v>16</v>
      </c>
      <c r="BK25" s="145"/>
      <c r="BL25" s="145">
        <v>12</v>
      </c>
      <c r="BM25" s="145">
        <f t="shared" si="10"/>
        <v>47</v>
      </c>
      <c r="BN25" s="777"/>
      <c r="BO25" s="145"/>
      <c r="BP25" s="145"/>
      <c r="BQ25" s="145"/>
      <c r="BR25" s="145"/>
      <c r="BS25" s="145"/>
      <c r="BT25" s="145"/>
      <c r="BU25" s="165">
        <f t="shared" si="1"/>
        <v>123</v>
      </c>
      <c r="BV25" s="610">
        <f t="shared" si="2"/>
        <v>26077454.400000002</v>
      </c>
      <c r="BW25" s="147"/>
      <c r="BX25" s="147"/>
      <c r="BY25" s="147"/>
      <c r="BZ25" s="147"/>
      <c r="CA25" s="147"/>
      <c r="CB25" s="147"/>
      <c r="CC25" s="147"/>
      <c r="CD25" s="147"/>
      <c r="CE25" s="147"/>
      <c r="CF25" s="147"/>
      <c r="CG25" s="147"/>
      <c r="CH25" s="147"/>
    </row>
    <row r="26" spans="1:86">
      <c r="A26" s="144" t="s">
        <v>301</v>
      </c>
      <c r="B26" s="144">
        <v>0</v>
      </c>
      <c r="C26" s="503"/>
      <c r="D26" s="144">
        <v>5</v>
      </c>
      <c r="E26" s="503"/>
      <c r="F26" s="144">
        <v>5</v>
      </c>
      <c r="G26" s="504">
        <f t="shared" si="3"/>
        <v>10</v>
      </c>
      <c r="H26" s="371">
        <f t="shared" si="11"/>
        <v>3431244</v>
      </c>
      <c r="I26" s="144">
        <v>5</v>
      </c>
      <c r="J26" s="503"/>
      <c r="K26" s="144">
        <v>5</v>
      </c>
      <c r="L26" s="503"/>
      <c r="M26" s="144">
        <v>5</v>
      </c>
      <c r="N26" s="504">
        <f t="shared" si="4"/>
        <v>25</v>
      </c>
      <c r="O26" s="371">
        <f t="shared" si="12"/>
        <v>8578110</v>
      </c>
      <c r="P26" s="144">
        <v>5</v>
      </c>
      <c r="Q26" s="503"/>
      <c r="R26" s="145">
        <v>5</v>
      </c>
      <c r="S26" s="503"/>
      <c r="T26" s="145">
        <v>5</v>
      </c>
      <c r="U26" s="504">
        <f t="shared" si="5"/>
        <v>40</v>
      </c>
      <c r="V26" s="371">
        <f t="shared" si="13"/>
        <v>13724976</v>
      </c>
      <c r="W26" s="145">
        <v>5</v>
      </c>
      <c r="X26" s="503"/>
      <c r="Y26" s="145">
        <v>5</v>
      </c>
      <c r="Z26" s="503"/>
      <c r="AA26" s="145">
        <v>10</v>
      </c>
      <c r="AB26" s="504">
        <f t="shared" si="6"/>
        <v>60</v>
      </c>
      <c r="AC26" s="371">
        <f t="shared" si="14"/>
        <v>20587464</v>
      </c>
      <c r="AD26" s="165">
        <f t="shared" si="0"/>
        <v>60</v>
      </c>
      <c r="AE26" s="609">
        <f t="shared" si="7"/>
        <v>20587464</v>
      </c>
      <c r="AF26" s="164"/>
      <c r="AG26" s="164"/>
      <c r="AH26" s="164"/>
      <c r="AI26" s="164"/>
      <c r="AJ26" s="164"/>
      <c r="AK26" s="147"/>
      <c r="AL26" s="147"/>
      <c r="AM26" s="147"/>
      <c r="AN26" s="147"/>
      <c r="AO26" s="147"/>
      <c r="AP26" s="147"/>
      <c r="AQ26" s="147"/>
      <c r="AS26" s="144" t="s">
        <v>301</v>
      </c>
      <c r="AT26" s="144">
        <v>0</v>
      </c>
      <c r="AU26" s="507"/>
      <c r="AV26" s="144">
        <v>9</v>
      </c>
      <c r="AW26" s="503"/>
      <c r="AX26" s="144">
        <v>4</v>
      </c>
      <c r="AY26" s="504">
        <f t="shared" si="8"/>
        <v>13</v>
      </c>
      <c r="AZ26" s="461">
        <f t="shared" si="15"/>
        <v>4460617.2</v>
      </c>
      <c r="BA26" s="144">
        <v>5</v>
      </c>
      <c r="BB26" s="507"/>
      <c r="BC26" s="144">
        <v>22</v>
      </c>
      <c r="BD26" s="507"/>
      <c r="BE26" s="144">
        <v>22</v>
      </c>
      <c r="BF26" s="144">
        <f t="shared" si="9"/>
        <v>49</v>
      </c>
      <c r="BG26" s="660">
        <f t="shared" si="16"/>
        <v>16813095.600000001</v>
      </c>
      <c r="BH26" s="144">
        <v>31</v>
      </c>
      <c r="BI26" s="507"/>
      <c r="BJ26" s="705">
        <v>27</v>
      </c>
      <c r="BK26" s="145"/>
      <c r="BL26" s="145">
        <v>26</v>
      </c>
      <c r="BM26" s="145">
        <f t="shared" si="10"/>
        <v>84</v>
      </c>
      <c r="BN26" s="777"/>
      <c r="BO26" s="145"/>
      <c r="BP26" s="145"/>
      <c r="BQ26" s="145"/>
      <c r="BR26" s="145"/>
      <c r="BS26" s="145"/>
      <c r="BT26" s="145"/>
      <c r="BU26" s="165">
        <f t="shared" si="1"/>
        <v>146</v>
      </c>
      <c r="BV26" s="610">
        <f t="shared" si="2"/>
        <v>21273712.800000001</v>
      </c>
      <c r="BW26" s="147"/>
      <c r="BX26" s="147"/>
      <c r="BY26" s="147"/>
      <c r="BZ26" s="147"/>
      <c r="CA26" s="147"/>
      <c r="CB26" s="147"/>
      <c r="CC26" s="147"/>
      <c r="CD26" s="147"/>
      <c r="CE26" s="147"/>
      <c r="CF26" s="147"/>
      <c r="CG26" s="147"/>
      <c r="CH26" s="147"/>
    </row>
    <row r="27" spans="1:86">
      <c r="A27" s="144" t="s">
        <v>302</v>
      </c>
      <c r="B27" s="144">
        <v>0</v>
      </c>
      <c r="C27" s="503"/>
      <c r="D27" s="144">
        <v>15</v>
      </c>
      <c r="E27" s="503"/>
      <c r="F27" s="144">
        <v>15</v>
      </c>
      <c r="G27" s="504">
        <f t="shared" si="3"/>
        <v>30</v>
      </c>
      <c r="H27" s="371">
        <f t="shared" si="11"/>
        <v>10293732</v>
      </c>
      <c r="I27" s="144">
        <v>15</v>
      </c>
      <c r="J27" s="503"/>
      <c r="K27" s="144">
        <v>15</v>
      </c>
      <c r="L27" s="503"/>
      <c r="M27" s="144">
        <v>15</v>
      </c>
      <c r="N27" s="504">
        <f t="shared" si="4"/>
        <v>75</v>
      </c>
      <c r="O27" s="371">
        <f t="shared" si="12"/>
        <v>25734330</v>
      </c>
      <c r="P27" s="144">
        <v>15</v>
      </c>
      <c r="Q27" s="503"/>
      <c r="R27" s="145">
        <v>15</v>
      </c>
      <c r="S27" s="503"/>
      <c r="T27" s="145">
        <v>15</v>
      </c>
      <c r="U27" s="504">
        <f t="shared" si="5"/>
        <v>120</v>
      </c>
      <c r="V27" s="371">
        <f t="shared" si="13"/>
        <v>41174928</v>
      </c>
      <c r="W27" s="145">
        <v>15</v>
      </c>
      <c r="X27" s="503"/>
      <c r="Y27" s="145">
        <v>15</v>
      </c>
      <c r="Z27" s="503"/>
      <c r="AA27" s="145">
        <v>10</v>
      </c>
      <c r="AB27" s="504">
        <f t="shared" si="6"/>
        <v>160</v>
      </c>
      <c r="AC27" s="371">
        <f t="shared" si="14"/>
        <v>54899904</v>
      </c>
      <c r="AD27" s="165">
        <f t="shared" si="0"/>
        <v>160</v>
      </c>
      <c r="AE27" s="609">
        <f t="shared" si="7"/>
        <v>54899904</v>
      </c>
      <c r="AF27" s="164"/>
      <c r="AG27" s="164"/>
      <c r="AH27" s="164"/>
      <c r="AI27" s="164"/>
      <c r="AJ27" s="164"/>
      <c r="AK27" s="147"/>
      <c r="AL27" s="147"/>
      <c r="AM27" s="147"/>
      <c r="AN27" s="147"/>
      <c r="AO27" s="147"/>
      <c r="AP27" s="147"/>
      <c r="AQ27" s="147"/>
      <c r="AS27" s="144" t="s">
        <v>302</v>
      </c>
      <c r="AT27" s="144">
        <v>0</v>
      </c>
      <c r="AU27" s="507"/>
      <c r="AV27" s="144">
        <v>5</v>
      </c>
      <c r="AW27" s="503"/>
      <c r="AX27" s="144">
        <v>34</v>
      </c>
      <c r="AY27" s="504">
        <f t="shared" si="8"/>
        <v>39</v>
      </c>
      <c r="AZ27" s="461">
        <f t="shared" si="15"/>
        <v>13381851.600000001</v>
      </c>
      <c r="BA27" s="144">
        <v>25</v>
      </c>
      <c r="BB27" s="507"/>
      <c r="BC27" s="144">
        <v>13</v>
      </c>
      <c r="BD27" s="507"/>
      <c r="BE27" s="144">
        <v>8</v>
      </c>
      <c r="BF27" s="144">
        <f t="shared" si="9"/>
        <v>46</v>
      </c>
      <c r="BG27" s="660">
        <f t="shared" si="16"/>
        <v>15783722.4</v>
      </c>
      <c r="BH27" s="144">
        <v>29</v>
      </c>
      <c r="BI27" s="507"/>
      <c r="BJ27" s="705">
        <v>15</v>
      </c>
      <c r="BK27" s="145"/>
      <c r="BL27" s="145">
        <v>16</v>
      </c>
      <c r="BM27" s="145">
        <f t="shared" si="10"/>
        <v>60</v>
      </c>
      <c r="BN27" s="777"/>
      <c r="BO27" s="145"/>
      <c r="BP27" s="145"/>
      <c r="BQ27" s="145"/>
      <c r="BR27" s="145"/>
      <c r="BS27" s="145"/>
      <c r="BT27" s="145"/>
      <c r="BU27" s="165">
        <f t="shared" si="1"/>
        <v>145</v>
      </c>
      <c r="BV27" s="610">
        <f t="shared" si="2"/>
        <v>29165574</v>
      </c>
      <c r="BW27" s="147"/>
      <c r="BX27" s="147"/>
      <c r="BY27" s="147"/>
      <c r="BZ27" s="147"/>
      <c r="CA27" s="147"/>
      <c r="CB27" s="147"/>
      <c r="CC27" s="147"/>
      <c r="CD27" s="147"/>
      <c r="CE27" s="147"/>
      <c r="CF27" s="147"/>
      <c r="CG27" s="147"/>
      <c r="CH27" s="147"/>
    </row>
    <row r="28" spans="1:86">
      <c r="A28" s="144" t="s">
        <v>303</v>
      </c>
      <c r="B28" s="144">
        <v>0</v>
      </c>
      <c r="C28" s="503"/>
      <c r="D28" s="144">
        <v>5</v>
      </c>
      <c r="E28" s="503"/>
      <c r="F28" s="144">
        <v>5</v>
      </c>
      <c r="G28" s="504">
        <f t="shared" si="3"/>
        <v>10</v>
      </c>
      <c r="H28" s="371">
        <f t="shared" si="11"/>
        <v>3431244</v>
      </c>
      <c r="I28" s="144">
        <v>5</v>
      </c>
      <c r="J28" s="503"/>
      <c r="K28" s="144">
        <v>5</v>
      </c>
      <c r="L28" s="503"/>
      <c r="M28" s="144">
        <v>5</v>
      </c>
      <c r="N28" s="504">
        <f t="shared" si="4"/>
        <v>25</v>
      </c>
      <c r="O28" s="371">
        <f t="shared" si="12"/>
        <v>8578110</v>
      </c>
      <c r="P28" s="144">
        <v>5</v>
      </c>
      <c r="Q28" s="503"/>
      <c r="R28" s="145">
        <v>5</v>
      </c>
      <c r="S28" s="503"/>
      <c r="T28" s="145">
        <v>5</v>
      </c>
      <c r="U28" s="504">
        <f t="shared" si="5"/>
        <v>40</v>
      </c>
      <c r="V28" s="371">
        <f t="shared" si="13"/>
        <v>13724976</v>
      </c>
      <c r="W28" s="145">
        <v>5</v>
      </c>
      <c r="X28" s="503"/>
      <c r="Y28" s="145">
        <v>5</v>
      </c>
      <c r="Z28" s="503"/>
      <c r="AA28" s="145">
        <v>10</v>
      </c>
      <c r="AB28" s="504">
        <f t="shared" si="6"/>
        <v>60</v>
      </c>
      <c r="AC28" s="371">
        <f t="shared" si="14"/>
        <v>20587464</v>
      </c>
      <c r="AD28" s="165">
        <f t="shared" si="0"/>
        <v>60</v>
      </c>
      <c r="AE28" s="609">
        <f t="shared" si="7"/>
        <v>20587464</v>
      </c>
      <c r="AF28" s="164"/>
      <c r="AG28" s="164"/>
      <c r="AH28" s="164"/>
      <c r="AI28" s="164"/>
      <c r="AJ28" s="164"/>
      <c r="AK28" s="147"/>
      <c r="AL28" s="147"/>
      <c r="AM28" s="147"/>
      <c r="AN28" s="147"/>
      <c r="AO28" s="147"/>
      <c r="AP28" s="147"/>
      <c r="AQ28" s="147"/>
      <c r="AS28" s="144" t="s">
        <v>303</v>
      </c>
      <c r="AT28" s="144">
        <v>0</v>
      </c>
      <c r="AU28" s="507"/>
      <c r="AV28" s="144">
        <v>1</v>
      </c>
      <c r="AW28" s="503"/>
      <c r="AX28" s="144">
        <v>17</v>
      </c>
      <c r="AY28" s="504">
        <f t="shared" si="8"/>
        <v>18</v>
      </c>
      <c r="AZ28" s="461">
        <f t="shared" si="15"/>
        <v>6176239.2000000002</v>
      </c>
      <c r="BA28" s="144">
        <v>1</v>
      </c>
      <c r="BB28" s="507"/>
      <c r="BC28" s="144">
        <v>12</v>
      </c>
      <c r="BD28" s="507"/>
      <c r="BE28" s="144">
        <v>12</v>
      </c>
      <c r="BF28" s="144">
        <f t="shared" si="9"/>
        <v>25</v>
      </c>
      <c r="BG28" s="660">
        <f t="shared" si="16"/>
        <v>8578110</v>
      </c>
      <c r="BH28" s="144">
        <v>7</v>
      </c>
      <c r="BI28" s="507"/>
      <c r="BJ28" s="705">
        <v>4</v>
      </c>
      <c r="BK28" s="145"/>
      <c r="BL28" s="145">
        <v>13</v>
      </c>
      <c r="BM28" s="145">
        <f t="shared" si="10"/>
        <v>24</v>
      </c>
      <c r="BN28" s="777"/>
      <c r="BO28" s="145"/>
      <c r="BP28" s="145"/>
      <c r="BQ28" s="145"/>
      <c r="BR28" s="145"/>
      <c r="BS28" s="145"/>
      <c r="BT28" s="145"/>
      <c r="BU28" s="165">
        <f t="shared" si="1"/>
        <v>67</v>
      </c>
      <c r="BV28" s="610">
        <f t="shared" si="2"/>
        <v>14754349.199999999</v>
      </c>
      <c r="BW28" s="147"/>
      <c r="BX28" s="147"/>
      <c r="BY28" s="147"/>
      <c r="BZ28" s="147"/>
      <c r="CA28" s="147"/>
      <c r="CB28" s="147"/>
      <c r="CC28" s="147"/>
      <c r="CD28" s="147"/>
      <c r="CE28" s="147"/>
      <c r="CF28" s="147"/>
      <c r="CG28" s="147"/>
      <c r="CH28" s="147"/>
    </row>
    <row r="29" spans="1:86">
      <c r="A29" s="144" t="s">
        <v>304</v>
      </c>
      <c r="B29" s="144">
        <v>0</v>
      </c>
      <c r="C29" s="503"/>
      <c r="D29" s="144">
        <v>30</v>
      </c>
      <c r="E29" s="503"/>
      <c r="F29" s="144">
        <v>55</v>
      </c>
      <c r="G29" s="504">
        <f t="shared" si="3"/>
        <v>85</v>
      </c>
      <c r="H29" s="371">
        <f t="shared" si="11"/>
        <v>29165574.000000004</v>
      </c>
      <c r="I29" s="144">
        <v>55</v>
      </c>
      <c r="J29" s="503"/>
      <c r="K29" s="144">
        <v>55</v>
      </c>
      <c r="L29" s="503"/>
      <c r="M29" s="144">
        <v>55</v>
      </c>
      <c r="N29" s="504">
        <f t="shared" si="4"/>
        <v>250</v>
      </c>
      <c r="O29" s="371">
        <f t="shared" si="12"/>
        <v>85781100</v>
      </c>
      <c r="P29" s="144">
        <v>55</v>
      </c>
      <c r="Q29" s="503"/>
      <c r="R29" s="145">
        <v>55</v>
      </c>
      <c r="S29" s="503"/>
      <c r="T29" s="145">
        <v>55</v>
      </c>
      <c r="U29" s="504">
        <f t="shared" si="5"/>
        <v>415</v>
      </c>
      <c r="V29" s="371">
        <f t="shared" si="13"/>
        <v>142396626</v>
      </c>
      <c r="W29" s="145">
        <v>55</v>
      </c>
      <c r="X29" s="503"/>
      <c r="Y29" s="145">
        <v>55</v>
      </c>
      <c r="Z29" s="503"/>
      <c r="AA29" s="145">
        <v>11</v>
      </c>
      <c r="AB29" s="504">
        <f t="shared" si="6"/>
        <v>536</v>
      </c>
      <c r="AC29" s="371">
        <f t="shared" si="14"/>
        <v>183914678.40000001</v>
      </c>
      <c r="AD29" s="165">
        <f t="shared" si="0"/>
        <v>536</v>
      </c>
      <c r="AE29" s="609">
        <f t="shared" si="7"/>
        <v>183914678.40000001</v>
      </c>
      <c r="AF29" s="164"/>
      <c r="AG29" s="164"/>
      <c r="AH29" s="164"/>
      <c r="AI29" s="164"/>
      <c r="AJ29" s="164"/>
      <c r="AK29" s="147"/>
      <c r="AL29" s="147"/>
      <c r="AM29" s="147"/>
      <c r="AN29" s="147"/>
      <c r="AO29" s="147"/>
      <c r="AP29" s="147"/>
      <c r="AQ29" s="147"/>
      <c r="AS29" s="144" t="s">
        <v>304</v>
      </c>
      <c r="AT29" s="144">
        <v>0</v>
      </c>
      <c r="AU29" s="507"/>
      <c r="AV29" s="144">
        <v>11</v>
      </c>
      <c r="AW29" s="503"/>
      <c r="AX29" s="144">
        <v>89</v>
      </c>
      <c r="AY29" s="504">
        <f t="shared" si="8"/>
        <v>100</v>
      </c>
      <c r="AZ29" s="461">
        <f t="shared" si="15"/>
        <v>34312440</v>
      </c>
      <c r="BA29" s="144">
        <v>26</v>
      </c>
      <c r="BB29" s="507"/>
      <c r="BC29" s="144">
        <v>35</v>
      </c>
      <c r="BD29" s="507"/>
      <c r="BE29" s="144">
        <v>45</v>
      </c>
      <c r="BF29" s="144">
        <f t="shared" si="9"/>
        <v>106</v>
      </c>
      <c r="BG29" s="660">
        <f t="shared" si="16"/>
        <v>36371186.400000006</v>
      </c>
      <c r="BH29" s="144">
        <v>47</v>
      </c>
      <c r="BI29" s="507"/>
      <c r="BJ29" s="705">
        <v>34</v>
      </c>
      <c r="BK29" s="145"/>
      <c r="BL29" s="145">
        <v>44</v>
      </c>
      <c r="BM29" s="145">
        <f t="shared" si="10"/>
        <v>125</v>
      </c>
      <c r="BN29" s="777"/>
      <c r="BO29" s="145"/>
      <c r="BP29" s="145"/>
      <c r="BQ29" s="145"/>
      <c r="BR29" s="145"/>
      <c r="BS29" s="145"/>
      <c r="BT29" s="145"/>
      <c r="BU29" s="165">
        <f t="shared" si="1"/>
        <v>331</v>
      </c>
      <c r="BV29" s="610">
        <f t="shared" si="2"/>
        <v>70683626.400000006</v>
      </c>
      <c r="BW29" s="147"/>
      <c r="BX29" s="147"/>
      <c r="BY29" s="147"/>
      <c r="BZ29" s="147"/>
      <c r="CA29" s="147"/>
      <c r="CB29" s="147"/>
      <c r="CC29" s="147"/>
      <c r="CD29" s="147"/>
      <c r="CE29" s="147"/>
      <c r="CF29" s="147"/>
      <c r="CG29" s="147"/>
      <c r="CH29" s="147"/>
    </row>
    <row r="30" spans="1:86">
      <c r="A30" s="144" t="s">
        <v>305</v>
      </c>
      <c r="B30" s="144">
        <v>0</v>
      </c>
      <c r="C30" s="503"/>
      <c r="D30" s="144">
        <v>30</v>
      </c>
      <c r="E30" s="503"/>
      <c r="F30" s="144">
        <v>55</v>
      </c>
      <c r="G30" s="504">
        <f t="shared" si="3"/>
        <v>85</v>
      </c>
      <c r="H30" s="371">
        <f t="shared" si="11"/>
        <v>29165574.000000004</v>
      </c>
      <c r="I30" s="144">
        <v>55</v>
      </c>
      <c r="J30" s="503"/>
      <c r="K30" s="144">
        <v>55</v>
      </c>
      <c r="L30" s="503"/>
      <c r="M30" s="144">
        <v>55</v>
      </c>
      <c r="N30" s="504">
        <f t="shared" si="4"/>
        <v>250</v>
      </c>
      <c r="O30" s="371">
        <f t="shared" si="12"/>
        <v>85781100</v>
      </c>
      <c r="P30" s="144">
        <v>55</v>
      </c>
      <c r="Q30" s="503"/>
      <c r="R30" s="145">
        <v>55</v>
      </c>
      <c r="S30" s="503"/>
      <c r="T30" s="145">
        <v>55</v>
      </c>
      <c r="U30" s="504">
        <f t="shared" si="5"/>
        <v>415</v>
      </c>
      <c r="V30" s="371">
        <f t="shared" si="13"/>
        <v>142396626</v>
      </c>
      <c r="W30" s="145">
        <v>55</v>
      </c>
      <c r="X30" s="503"/>
      <c r="Y30" s="145">
        <v>55</v>
      </c>
      <c r="Z30" s="503"/>
      <c r="AA30" s="145">
        <v>11</v>
      </c>
      <c r="AB30" s="504">
        <f t="shared" si="6"/>
        <v>536</v>
      </c>
      <c r="AC30" s="371">
        <f t="shared" si="14"/>
        <v>183914678.40000001</v>
      </c>
      <c r="AD30" s="165">
        <f t="shared" si="0"/>
        <v>536</v>
      </c>
      <c r="AE30" s="609">
        <f t="shared" si="7"/>
        <v>183914678.40000001</v>
      </c>
      <c r="AF30" s="164"/>
      <c r="AG30" s="164"/>
      <c r="AH30" s="164"/>
      <c r="AI30" s="164"/>
      <c r="AJ30" s="164"/>
      <c r="AK30" s="147"/>
      <c r="AL30" s="147"/>
      <c r="AM30" s="147"/>
      <c r="AN30" s="147"/>
      <c r="AO30" s="147"/>
      <c r="AP30" s="147"/>
      <c r="AQ30" s="147"/>
      <c r="AS30" s="144" t="s">
        <v>305</v>
      </c>
      <c r="AT30" s="144">
        <v>0</v>
      </c>
      <c r="AU30" s="507"/>
      <c r="AV30" s="144">
        <v>69</v>
      </c>
      <c r="AW30" s="503"/>
      <c r="AX30" s="144">
        <v>96</v>
      </c>
      <c r="AY30" s="504">
        <f t="shared" si="8"/>
        <v>165</v>
      </c>
      <c r="AZ30" s="461">
        <f t="shared" si="15"/>
        <v>56615526.000000007</v>
      </c>
      <c r="BA30" s="144">
        <v>136</v>
      </c>
      <c r="BB30" s="507"/>
      <c r="BC30" s="144">
        <v>200</v>
      </c>
      <c r="BD30" s="507"/>
      <c r="BE30" s="144">
        <v>43</v>
      </c>
      <c r="BF30" s="144">
        <f t="shared" si="9"/>
        <v>379</v>
      </c>
      <c r="BG30" s="660">
        <f t="shared" si="16"/>
        <v>130044147.60000001</v>
      </c>
      <c r="BH30" s="144">
        <v>102</v>
      </c>
      <c r="BI30" s="507"/>
      <c r="BJ30" s="705">
        <v>107</v>
      </c>
      <c r="BK30" s="145"/>
      <c r="BL30" s="145">
        <v>77</v>
      </c>
      <c r="BM30" s="145">
        <f t="shared" si="10"/>
        <v>286</v>
      </c>
      <c r="BN30" s="777"/>
      <c r="BO30" s="145"/>
      <c r="BP30" s="145"/>
      <c r="BQ30" s="145"/>
      <c r="BR30" s="145"/>
      <c r="BS30" s="145"/>
      <c r="BT30" s="145"/>
      <c r="BU30" s="165">
        <f t="shared" si="1"/>
        <v>830</v>
      </c>
      <c r="BV30" s="610">
        <f t="shared" si="2"/>
        <v>186659673.60000002</v>
      </c>
      <c r="BW30" s="147"/>
      <c r="BX30" s="147"/>
      <c r="BY30" s="147"/>
      <c r="BZ30" s="147"/>
      <c r="CA30" s="147"/>
      <c r="CB30" s="147"/>
      <c r="CC30" s="147"/>
      <c r="CD30" s="147"/>
      <c r="CE30" s="147"/>
      <c r="CF30" s="147"/>
      <c r="CG30" s="147"/>
      <c r="CH30" s="147"/>
    </row>
    <row r="31" spans="1:86">
      <c r="A31" s="144" t="s">
        <v>306</v>
      </c>
      <c r="B31" s="144">
        <v>0</v>
      </c>
      <c r="C31" s="503"/>
      <c r="D31" s="144">
        <v>0</v>
      </c>
      <c r="E31" s="503"/>
      <c r="F31" s="144">
        <v>2</v>
      </c>
      <c r="G31" s="504">
        <f t="shared" si="3"/>
        <v>2</v>
      </c>
      <c r="H31" s="371">
        <f t="shared" si="11"/>
        <v>686248.8</v>
      </c>
      <c r="I31" s="144">
        <v>2</v>
      </c>
      <c r="J31" s="503"/>
      <c r="K31" s="144">
        <v>2</v>
      </c>
      <c r="L31" s="503"/>
      <c r="M31" s="144">
        <v>2</v>
      </c>
      <c r="N31" s="504">
        <f t="shared" si="4"/>
        <v>8</v>
      </c>
      <c r="O31" s="371">
        <f t="shared" si="12"/>
        <v>2744995.2</v>
      </c>
      <c r="P31" s="144">
        <v>2</v>
      </c>
      <c r="Q31" s="503"/>
      <c r="R31" s="145">
        <v>2</v>
      </c>
      <c r="S31" s="503"/>
      <c r="T31" s="145">
        <v>2</v>
      </c>
      <c r="U31" s="504">
        <f t="shared" si="5"/>
        <v>14</v>
      </c>
      <c r="V31" s="371">
        <f t="shared" si="13"/>
        <v>4803741.6000000006</v>
      </c>
      <c r="W31" s="145">
        <v>2</v>
      </c>
      <c r="X31" s="503"/>
      <c r="Y31" s="145">
        <v>2</v>
      </c>
      <c r="Z31" s="503"/>
      <c r="AA31" s="145">
        <v>2</v>
      </c>
      <c r="AB31" s="504">
        <f t="shared" si="6"/>
        <v>20</v>
      </c>
      <c r="AC31" s="371">
        <f t="shared" si="14"/>
        <v>6862488</v>
      </c>
      <c r="AD31" s="165">
        <f t="shared" si="0"/>
        <v>20</v>
      </c>
      <c r="AE31" s="609">
        <f t="shared" si="7"/>
        <v>6862488</v>
      </c>
      <c r="AF31" s="164"/>
      <c r="AG31" s="164"/>
      <c r="AH31" s="164"/>
      <c r="AI31" s="164"/>
      <c r="AJ31" s="164"/>
      <c r="AK31" s="147"/>
      <c r="AL31" s="147"/>
      <c r="AM31" s="147"/>
      <c r="AN31" s="147"/>
      <c r="AO31" s="147"/>
      <c r="AP31" s="147"/>
      <c r="AQ31" s="147"/>
      <c r="AS31" s="144" t="s">
        <v>306</v>
      </c>
      <c r="AT31" s="144">
        <v>0</v>
      </c>
      <c r="AU31" s="507"/>
      <c r="AV31" s="144">
        <v>1</v>
      </c>
      <c r="AW31" s="503"/>
      <c r="AX31" s="144">
        <v>2</v>
      </c>
      <c r="AY31" s="504">
        <f t="shared" si="8"/>
        <v>3</v>
      </c>
      <c r="AZ31" s="461">
        <f t="shared" si="15"/>
        <v>1029373.2000000001</v>
      </c>
      <c r="BA31" s="144">
        <v>3</v>
      </c>
      <c r="BB31" s="507"/>
      <c r="BC31" s="144">
        <v>0</v>
      </c>
      <c r="BD31" s="507"/>
      <c r="BE31" s="144">
        <v>0</v>
      </c>
      <c r="BF31" s="144">
        <f t="shared" si="9"/>
        <v>3</v>
      </c>
      <c r="BG31" s="660">
        <f t="shared" si="16"/>
        <v>1029373.2000000001</v>
      </c>
      <c r="BH31" s="144">
        <v>2</v>
      </c>
      <c r="BI31" s="507"/>
      <c r="BJ31" s="705">
        <v>0</v>
      </c>
      <c r="BK31" s="145"/>
      <c r="BL31" s="145">
        <v>0</v>
      </c>
      <c r="BM31" s="145">
        <f t="shared" si="10"/>
        <v>2</v>
      </c>
      <c r="BN31" s="777"/>
      <c r="BO31" s="145"/>
      <c r="BP31" s="145"/>
      <c r="BQ31" s="145"/>
      <c r="BR31" s="145"/>
      <c r="BS31" s="145"/>
      <c r="BT31" s="145"/>
      <c r="BU31" s="165">
        <f t="shared" si="1"/>
        <v>8</v>
      </c>
      <c r="BV31" s="610">
        <f t="shared" si="2"/>
        <v>2058746.4000000001</v>
      </c>
      <c r="BW31" s="147"/>
      <c r="BX31" s="147"/>
      <c r="BY31" s="147"/>
      <c r="BZ31" s="147"/>
      <c r="CA31" s="147"/>
      <c r="CB31" s="147"/>
      <c r="CC31" s="147"/>
      <c r="CD31" s="147"/>
      <c r="CE31" s="147"/>
      <c r="CF31" s="147"/>
      <c r="CG31" s="147"/>
      <c r="CH31" s="147"/>
    </row>
    <row r="32" spans="1:86">
      <c r="A32" s="611" t="s">
        <v>307</v>
      </c>
      <c r="B32" s="146">
        <f>SUM(B11:B31)</f>
        <v>0</v>
      </c>
      <c r="C32" s="146">
        <f t="shared" ref="C32:AQ32" si="17">SUM(C11:C31)</f>
        <v>0</v>
      </c>
      <c r="D32" s="146">
        <f t="shared" si="17"/>
        <v>500</v>
      </c>
      <c r="E32" s="612">
        <f t="shared" si="17"/>
        <v>0</v>
      </c>
      <c r="F32" s="146">
        <f t="shared" si="17"/>
        <v>700</v>
      </c>
      <c r="G32" s="613">
        <f t="shared" si="17"/>
        <v>1200</v>
      </c>
      <c r="H32" s="612">
        <f t="shared" si="17"/>
        <v>1396371000</v>
      </c>
      <c r="I32" s="146">
        <f t="shared" si="17"/>
        <v>700</v>
      </c>
      <c r="J32" s="612">
        <f t="shared" si="17"/>
        <v>0</v>
      </c>
      <c r="K32" s="146">
        <f t="shared" si="17"/>
        <v>700</v>
      </c>
      <c r="L32" s="612">
        <f t="shared" si="17"/>
        <v>0</v>
      </c>
      <c r="M32" s="146">
        <f t="shared" si="17"/>
        <v>700</v>
      </c>
      <c r="N32" s="613">
        <f t="shared" si="17"/>
        <v>3300</v>
      </c>
      <c r="O32" s="612">
        <f t="shared" si="17"/>
        <v>2048343535.1599996</v>
      </c>
      <c r="P32" s="146">
        <f t="shared" si="17"/>
        <v>700</v>
      </c>
      <c r="Q32" s="612">
        <f t="shared" si="17"/>
        <v>0</v>
      </c>
      <c r="R32" s="146">
        <f t="shared" si="17"/>
        <v>700</v>
      </c>
      <c r="S32" s="612">
        <f t="shared" si="17"/>
        <v>0</v>
      </c>
      <c r="T32" s="146">
        <f t="shared" si="17"/>
        <v>700</v>
      </c>
      <c r="U32" s="613">
        <f t="shared" si="17"/>
        <v>5400</v>
      </c>
      <c r="V32" s="612">
        <f t="shared" si="17"/>
        <v>2401870787.1599998</v>
      </c>
      <c r="W32" s="146">
        <f t="shared" si="17"/>
        <v>700</v>
      </c>
      <c r="X32" s="612">
        <f t="shared" si="17"/>
        <v>0</v>
      </c>
      <c r="Y32" s="146">
        <f t="shared" si="17"/>
        <v>700</v>
      </c>
      <c r="Z32" s="612">
        <f t="shared" si="17"/>
        <v>0</v>
      </c>
      <c r="AA32" s="146">
        <f t="shared" si="17"/>
        <v>200</v>
      </c>
      <c r="AB32" s="613">
        <f t="shared" si="17"/>
        <v>7000</v>
      </c>
      <c r="AC32" s="612">
        <f t="shared" si="17"/>
        <v>2401870787.1599998</v>
      </c>
      <c r="AD32" s="146">
        <f t="shared" si="17"/>
        <v>7000</v>
      </c>
      <c r="AE32" s="609">
        <f t="shared" si="17"/>
        <v>2401870787.1599998</v>
      </c>
      <c r="AF32" s="146">
        <f t="shared" si="17"/>
        <v>0</v>
      </c>
      <c r="AG32" s="146">
        <f t="shared" si="17"/>
        <v>0</v>
      </c>
      <c r="AH32" s="146">
        <f t="shared" si="17"/>
        <v>0</v>
      </c>
      <c r="AI32" s="146">
        <f t="shared" si="17"/>
        <v>0</v>
      </c>
      <c r="AJ32" s="146">
        <f t="shared" si="17"/>
        <v>0</v>
      </c>
      <c r="AK32" s="146">
        <f t="shared" si="17"/>
        <v>0</v>
      </c>
      <c r="AL32" s="146">
        <f t="shared" si="17"/>
        <v>0</v>
      </c>
      <c r="AM32" s="146">
        <f t="shared" si="17"/>
        <v>0</v>
      </c>
      <c r="AN32" s="146">
        <f t="shared" si="17"/>
        <v>0</v>
      </c>
      <c r="AO32" s="146">
        <f t="shared" si="17"/>
        <v>0</v>
      </c>
      <c r="AP32" s="146">
        <f t="shared" si="17"/>
        <v>0</v>
      </c>
      <c r="AQ32" s="146">
        <f t="shared" si="17"/>
        <v>0</v>
      </c>
      <c r="AS32" s="611" t="s">
        <v>307</v>
      </c>
      <c r="AT32" s="146">
        <f t="shared" ref="AT32:BV32" si="18">SUM(AT11:AT31)</f>
        <v>0</v>
      </c>
      <c r="AU32" s="146">
        <f t="shared" si="18"/>
        <v>0</v>
      </c>
      <c r="AV32" s="146">
        <f t="shared" si="18"/>
        <v>531</v>
      </c>
      <c r="AW32" s="614"/>
      <c r="AX32" s="146">
        <f t="shared" si="18"/>
        <v>950</v>
      </c>
      <c r="AY32" s="613">
        <f t="shared" si="18"/>
        <v>1481</v>
      </c>
      <c r="AZ32" s="612">
        <f t="shared" si="18"/>
        <v>1342336167</v>
      </c>
      <c r="BA32" s="146">
        <f t="shared" si="18"/>
        <v>740</v>
      </c>
      <c r="BB32" s="146">
        <f t="shared" si="18"/>
        <v>0</v>
      </c>
      <c r="BC32" s="146">
        <f t="shared" si="18"/>
        <v>922</v>
      </c>
      <c r="BD32" s="146">
        <f t="shared" si="18"/>
        <v>0</v>
      </c>
      <c r="BE32" s="146">
        <f t="shared" si="18"/>
        <v>701</v>
      </c>
      <c r="BF32" s="146">
        <f t="shared" si="18"/>
        <v>2363</v>
      </c>
      <c r="BG32" s="658">
        <f t="shared" si="18"/>
        <v>810802957.20000017</v>
      </c>
      <c r="BH32" s="707">
        <f t="shared" si="18"/>
        <v>738</v>
      </c>
      <c r="BI32" s="146">
        <f t="shared" si="18"/>
        <v>0</v>
      </c>
      <c r="BJ32" s="146">
        <f t="shared" si="18"/>
        <v>729</v>
      </c>
      <c r="BK32" s="146">
        <f t="shared" si="18"/>
        <v>0</v>
      </c>
      <c r="BL32" s="146">
        <f t="shared" si="18"/>
        <v>728</v>
      </c>
      <c r="BM32" s="146">
        <f>SUM(BM11:BM31)</f>
        <v>2195</v>
      </c>
      <c r="BN32" s="146">
        <f t="shared" si="18"/>
        <v>0</v>
      </c>
      <c r="BO32" s="146">
        <f t="shared" si="18"/>
        <v>0</v>
      </c>
      <c r="BP32" s="146">
        <f t="shared" si="18"/>
        <v>0</v>
      </c>
      <c r="BQ32" s="146">
        <f t="shared" si="18"/>
        <v>0</v>
      </c>
      <c r="BR32" s="146">
        <f t="shared" si="18"/>
        <v>0</v>
      </c>
      <c r="BS32" s="146">
        <f t="shared" si="18"/>
        <v>0</v>
      </c>
      <c r="BT32" s="146">
        <f t="shared" si="18"/>
        <v>0</v>
      </c>
      <c r="BU32" s="615">
        <f t="shared" si="18"/>
        <v>6039</v>
      </c>
      <c r="BV32" s="661">
        <f t="shared" si="18"/>
        <v>2153139124.2000003</v>
      </c>
      <c r="BW32" s="146">
        <f t="shared" ref="BW32:CH32" si="19">SUM(BW11:BW31)</f>
        <v>0</v>
      </c>
      <c r="BX32" s="146">
        <f t="shared" si="19"/>
        <v>0</v>
      </c>
      <c r="BY32" s="146">
        <f t="shared" si="19"/>
        <v>0</v>
      </c>
      <c r="BZ32" s="146">
        <f t="shared" si="19"/>
        <v>0</v>
      </c>
      <c r="CA32" s="146">
        <f t="shared" si="19"/>
        <v>0</v>
      </c>
      <c r="CB32" s="146">
        <f t="shared" si="19"/>
        <v>0</v>
      </c>
      <c r="CC32" s="146">
        <f t="shared" si="19"/>
        <v>0</v>
      </c>
      <c r="CD32" s="146">
        <f t="shared" si="19"/>
        <v>0</v>
      </c>
      <c r="CE32" s="146">
        <f t="shared" si="19"/>
        <v>0</v>
      </c>
      <c r="CF32" s="146">
        <f t="shared" si="19"/>
        <v>0</v>
      </c>
      <c r="CG32" s="146">
        <f t="shared" si="19"/>
        <v>0</v>
      </c>
      <c r="CH32" s="146">
        <f t="shared" si="19"/>
        <v>0</v>
      </c>
    </row>
    <row r="33" spans="1:86" ht="89.25" hidden="1" customHeight="1">
      <c r="A33" s="426"/>
      <c r="B33" s="427"/>
      <c r="C33" s="427"/>
      <c r="D33" s="427"/>
      <c r="E33" s="508"/>
      <c r="F33" s="427"/>
      <c r="G33" s="427"/>
      <c r="H33" s="428"/>
      <c r="I33" s="427"/>
      <c r="J33" s="508"/>
      <c r="K33" s="427"/>
      <c r="L33" s="428"/>
      <c r="M33" s="427"/>
      <c r="N33" s="427"/>
      <c r="O33" s="428"/>
      <c r="P33" s="427"/>
      <c r="Q33" s="428"/>
      <c r="R33" s="427"/>
      <c r="S33" s="428"/>
      <c r="T33" s="427"/>
      <c r="U33" s="427"/>
      <c r="V33" s="428"/>
      <c r="W33" s="427"/>
      <c r="X33" s="428"/>
      <c r="Y33" s="427"/>
      <c r="Z33" s="428"/>
      <c r="AA33" s="427"/>
      <c r="AB33" s="427"/>
      <c r="AC33" s="428"/>
      <c r="AD33" s="427"/>
      <c r="AE33" s="429"/>
      <c r="AF33" s="427"/>
      <c r="AG33" s="427"/>
      <c r="AH33" s="427"/>
      <c r="AI33" s="427"/>
      <c r="AJ33" s="427"/>
      <c r="AK33" s="427"/>
      <c r="AL33" s="427"/>
      <c r="AM33" s="427"/>
      <c r="AN33" s="427"/>
      <c r="AO33" s="427"/>
      <c r="AP33" s="427"/>
      <c r="AQ33" s="427"/>
      <c r="AS33" s="426"/>
      <c r="AT33" s="427"/>
      <c r="AU33" s="427"/>
      <c r="AV33" s="586" t="s">
        <v>308</v>
      </c>
      <c r="AW33" s="587" t="s">
        <v>309</v>
      </c>
      <c r="AX33" s="586"/>
      <c r="AY33" s="586"/>
      <c r="AZ33" s="586"/>
      <c r="BA33" s="586" t="s">
        <v>308</v>
      </c>
      <c r="BB33" s="587" t="s">
        <v>309</v>
      </c>
      <c r="BC33" s="427"/>
      <c r="BD33" s="427"/>
      <c r="BE33" s="427"/>
      <c r="BF33" s="427"/>
      <c r="BG33" s="427"/>
      <c r="BH33" s="708"/>
      <c r="BI33" s="427"/>
      <c r="BJ33" s="427"/>
      <c r="BK33" s="427"/>
      <c r="BL33" s="427"/>
      <c r="BM33" s="427"/>
      <c r="BN33" s="427"/>
      <c r="BO33" s="427"/>
      <c r="BP33" s="427"/>
      <c r="BQ33" s="427"/>
      <c r="BR33" s="427"/>
      <c r="BS33" s="427"/>
      <c r="BT33" s="427"/>
      <c r="BU33" s="430"/>
      <c r="BV33" s="431"/>
      <c r="BW33" s="427"/>
      <c r="BX33" s="427"/>
      <c r="BY33" s="427"/>
      <c r="BZ33" s="427"/>
      <c r="CA33" s="427"/>
      <c r="CB33" s="427"/>
      <c r="CC33" s="427"/>
      <c r="CD33" s="427"/>
      <c r="CE33" s="427"/>
      <c r="CF33" s="427"/>
      <c r="CG33" s="427"/>
      <c r="CH33" s="427"/>
    </row>
    <row r="35" spans="1:86" ht="28.5">
      <c r="A35" s="149" t="s">
        <v>263</v>
      </c>
      <c r="B35" s="1142" t="s">
        <v>1277</v>
      </c>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2"/>
      <c r="AN35" s="1142"/>
      <c r="AO35" s="1142"/>
      <c r="AP35" s="1142"/>
      <c r="AQ35" s="1142"/>
      <c r="AR35" s="1142"/>
      <c r="AS35" s="1142"/>
      <c r="AT35" s="1142"/>
      <c r="AU35" s="1142"/>
      <c r="AV35" s="1142"/>
      <c r="AW35" s="1142"/>
      <c r="AX35" s="1142"/>
      <c r="AY35" s="1142"/>
      <c r="AZ35" s="1142"/>
      <c r="BA35" s="1142"/>
      <c r="BB35" s="1142"/>
      <c r="BC35" s="1142"/>
      <c r="BD35" s="1142"/>
      <c r="BE35" s="1142"/>
      <c r="BF35" s="1142"/>
      <c r="BG35" s="1142"/>
      <c r="BH35" s="1143"/>
      <c r="BI35" s="1142"/>
      <c r="BJ35" s="1142"/>
      <c r="BK35" s="1142"/>
      <c r="BL35" s="1142"/>
      <c r="BM35" s="1142"/>
      <c r="BN35" s="1142"/>
      <c r="BO35" s="1142"/>
      <c r="BP35" s="1142"/>
      <c r="BQ35" s="1142"/>
      <c r="BR35" s="1142"/>
      <c r="BS35" s="1142"/>
      <c r="BT35" s="1142"/>
      <c r="BU35" s="1142"/>
      <c r="BV35" s="1142"/>
      <c r="BW35" s="1142"/>
      <c r="BX35" s="1142"/>
      <c r="BY35" s="1142"/>
      <c r="BZ35" s="1142"/>
      <c r="CA35" s="1142"/>
      <c r="CB35" s="1142"/>
      <c r="CC35" s="1142"/>
    </row>
    <row r="36" spans="1:86" ht="29.1" customHeight="1">
      <c r="A36" s="150" t="s">
        <v>264</v>
      </c>
      <c r="B36" s="1144" t="s">
        <v>310</v>
      </c>
      <c r="C36" s="1145"/>
      <c r="D36" s="1145"/>
      <c r="E36" s="1145"/>
      <c r="F36" s="1145"/>
      <c r="G36" s="1145"/>
      <c r="H36" s="1145"/>
      <c r="I36" s="1145"/>
      <c r="J36" s="1145"/>
      <c r="K36" s="1145"/>
      <c r="L36" s="1145"/>
      <c r="M36" s="1145"/>
      <c r="N36" s="1145"/>
      <c r="O36" s="1145"/>
      <c r="P36" s="1145"/>
      <c r="Q36" s="1145"/>
      <c r="R36" s="1145"/>
      <c r="S36" s="1145"/>
      <c r="T36" s="1145"/>
      <c r="U36" s="1145"/>
      <c r="V36" s="1145"/>
      <c r="W36" s="1145"/>
      <c r="X36" s="1145"/>
      <c r="Y36" s="1145"/>
      <c r="Z36" s="1145"/>
      <c r="AA36" s="1145"/>
      <c r="AB36" s="1145"/>
      <c r="AC36" s="1145"/>
      <c r="AD36" s="1145"/>
      <c r="AE36" s="1145"/>
      <c r="AF36" s="1145"/>
      <c r="AG36" s="1145"/>
      <c r="AH36" s="1145"/>
      <c r="AI36" s="1145"/>
      <c r="AJ36" s="1145"/>
      <c r="AK36" s="1145"/>
      <c r="AL36" s="1145"/>
      <c r="AM36" s="1145"/>
      <c r="AN36" s="1145"/>
      <c r="AO36" s="1145"/>
      <c r="AP36" s="1145"/>
      <c r="AQ36" s="1145"/>
      <c r="AR36" s="1145"/>
      <c r="AS36" s="1145"/>
      <c r="AT36" s="1145"/>
      <c r="AU36" s="1145"/>
      <c r="AV36" s="1145"/>
      <c r="AW36" s="1145"/>
      <c r="AX36" s="1145"/>
      <c r="AY36" s="1145"/>
      <c r="AZ36" s="1145"/>
      <c r="BA36" s="1145"/>
      <c r="BB36" s="1145"/>
      <c r="BC36" s="1145"/>
      <c r="BD36" s="1145"/>
      <c r="BE36" s="1145"/>
      <c r="BF36" s="1145"/>
      <c r="BG36" s="1145"/>
      <c r="BH36" s="1146"/>
      <c r="BI36" s="1145"/>
      <c r="BJ36" s="1145"/>
      <c r="BK36" s="1145"/>
      <c r="BL36" s="1145"/>
      <c r="BM36" s="1145"/>
      <c r="BN36" s="1145"/>
      <c r="BO36" s="1145"/>
      <c r="BP36" s="1145"/>
      <c r="BQ36" s="1145"/>
      <c r="BR36" s="1145"/>
      <c r="BS36" s="1145"/>
      <c r="BT36" s="1145"/>
      <c r="BU36" s="1145"/>
      <c r="BV36" s="1145"/>
      <c r="BW36" s="1145"/>
      <c r="BX36" s="1145"/>
      <c r="BY36" s="1145"/>
      <c r="BZ36" s="1145"/>
      <c r="CA36" s="1145"/>
      <c r="CB36" s="1145"/>
      <c r="CC36" s="1147"/>
    </row>
    <row r="37" spans="1:86" ht="6" customHeight="1" thickBo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6" ht="30" customHeight="1">
      <c r="A38" s="1163" t="s">
        <v>265</v>
      </c>
      <c r="B38" s="1148" t="s">
        <v>30</v>
      </c>
      <c r="C38" s="1149"/>
      <c r="D38" s="1148" t="s">
        <v>31</v>
      </c>
      <c r="E38" s="1149"/>
      <c r="F38" s="1148" t="s">
        <v>32</v>
      </c>
      <c r="G38" s="1153"/>
      <c r="H38" s="1149"/>
      <c r="I38" s="1148" t="s">
        <v>33</v>
      </c>
      <c r="J38" s="1149"/>
      <c r="K38" s="1148" t="s">
        <v>34</v>
      </c>
      <c r="L38" s="1149"/>
      <c r="M38" s="1148" t="s">
        <v>35</v>
      </c>
      <c r="N38" s="1153"/>
      <c r="O38" s="1149"/>
      <c r="P38" s="1148" t="s">
        <v>36</v>
      </c>
      <c r="Q38" s="1149"/>
      <c r="R38" s="1148" t="s">
        <v>8</v>
      </c>
      <c r="S38" s="1149"/>
      <c r="T38" s="1148" t="s">
        <v>37</v>
      </c>
      <c r="U38" s="1153"/>
      <c r="V38" s="1149"/>
      <c r="W38" s="1148" t="s">
        <v>38</v>
      </c>
      <c r="X38" s="1149"/>
      <c r="Y38" s="1148" t="s">
        <v>39</v>
      </c>
      <c r="Z38" s="1149"/>
      <c r="AA38" s="1148" t="s">
        <v>40</v>
      </c>
      <c r="AB38" s="1153"/>
      <c r="AC38" s="1149"/>
      <c r="AD38" s="1148" t="s">
        <v>266</v>
      </c>
      <c r="AE38" s="1168"/>
      <c r="AF38" s="1152" t="s">
        <v>267</v>
      </c>
      <c r="AG38" s="1152"/>
      <c r="AH38" s="1152"/>
      <c r="AI38" s="1152"/>
      <c r="AJ38" s="1152"/>
      <c r="AK38" s="1151"/>
      <c r="AL38" s="1150" t="s">
        <v>268</v>
      </c>
      <c r="AM38" s="1152"/>
      <c r="AN38" s="1152"/>
      <c r="AO38" s="1152"/>
      <c r="AP38" s="1152"/>
      <c r="AQ38" s="1151"/>
      <c r="AS38" s="1163" t="s">
        <v>265</v>
      </c>
      <c r="AT38" s="1148" t="s">
        <v>30</v>
      </c>
      <c r="AU38" s="1149"/>
      <c r="AV38" s="1148" t="s">
        <v>31</v>
      </c>
      <c r="AW38" s="1149"/>
      <c r="AX38" s="1148" t="s">
        <v>32</v>
      </c>
      <c r="AY38" s="1153"/>
      <c r="AZ38" s="1149"/>
      <c r="BA38" s="1148" t="s">
        <v>33</v>
      </c>
      <c r="BB38" s="1149"/>
      <c r="BC38" s="1148" t="s">
        <v>34</v>
      </c>
      <c r="BD38" s="1149"/>
      <c r="BE38" s="1148" t="s">
        <v>35</v>
      </c>
      <c r="BF38" s="1153"/>
      <c r="BG38" s="1149"/>
      <c r="BH38" s="1169" t="s">
        <v>36</v>
      </c>
      <c r="BI38" s="1149"/>
      <c r="BJ38" s="1148" t="s">
        <v>8</v>
      </c>
      <c r="BK38" s="1149"/>
      <c r="BL38" s="1148" t="s">
        <v>37</v>
      </c>
      <c r="BM38" s="1153"/>
      <c r="BN38" s="1149"/>
      <c r="BO38" s="1148" t="s">
        <v>38</v>
      </c>
      <c r="BP38" s="1149"/>
      <c r="BQ38" s="1148" t="s">
        <v>39</v>
      </c>
      <c r="BR38" s="1149"/>
      <c r="BS38" s="1148" t="s">
        <v>40</v>
      </c>
      <c r="BT38" s="1149"/>
      <c r="BU38" s="1148" t="s">
        <v>266</v>
      </c>
      <c r="BV38" s="1168"/>
      <c r="BW38" s="1152" t="s">
        <v>267</v>
      </c>
      <c r="BX38" s="1152"/>
      <c r="BY38" s="1152"/>
      <c r="BZ38" s="1152"/>
      <c r="CA38" s="1152"/>
      <c r="CB38" s="1151"/>
      <c r="CC38" s="1150" t="s">
        <v>268</v>
      </c>
      <c r="CD38" s="1152"/>
      <c r="CE38" s="1152"/>
      <c r="CF38" s="1152"/>
      <c r="CG38" s="1152"/>
      <c r="CH38" s="1151"/>
    </row>
    <row r="39" spans="1:86" ht="51.95" customHeight="1">
      <c r="A39" s="1164"/>
      <c r="B39" s="620" t="s">
        <v>269</v>
      </c>
      <c r="C39" s="620" t="s">
        <v>270</v>
      </c>
      <c r="D39" s="620" t="s">
        <v>269</v>
      </c>
      <c r="E39" s="620" t="s">
        <v>270</v>
      </c>
      <c r="F39" s="620" t="s">
        <v>269</v>
      </c>
      <c r="G39" s="502" t="s">
        <v>271</v>
      </c>
      <c r="H39" s="620" t="s">
        <v>270</v>
      </c>
      <c r="I39" s="620" t="s">
        <v>269</v>
      </c>
      <c r="J39" s="620" t="s">
        <v>270</v>
      </c>
      <c r="K39" s="620" t="s">
        <v>269</v>
      </c>
      <c r="L39" s="620" t="s">
        <v>270</v>
      </c>
      <c r="M39" s="620" t="s">
        <v>269</v>
      </c>
      <c r="N39" s="502" t="s">
        <v>272</v>
      </c>
      <c r="O39" s="620" t="s">
        <v>270</v>
      </c>
      <c r="P39" s="620" t="s">
        <v>269</v>
      </c>
      <c r="Q39" s="620" t="s">
        <v>270</v>
      </c>
      <c r="R39" s="620" t="s">
        <v>269</v>
      </c>
      <c r="S39" s="620" t="s">
        <v>270</v>
      </c>
      <c r="T39" s="620" t="s">
        <v>269</v>
      </c>
      <c r="U39" s="502" t="s">
        <v>273</v>
      </c>
      <c r="V39" s="620" t="s">
        <v>270</v>
      </c>
      <c r="W39" s="620" t="s">
        <v>269</v>
      </c>
      <c r="X39" s="620" t="s">
        <v>270</v>
      </c>
      <c r="Y39" s="620" t="s">
        <v>269</v>
      </c>
      <c r="Z39" s="620" t="s">
        <v>270</v>
      </c>
      <c r="AA39" s="620" t="s">
        <v>269</v>
      </c>
      <c r="AB39" s="502" t="s">
        <v>311</v>
      </c>
      <c r="AC39" s="620" t="s">
        <v>270</v>
      </c>
      <c r="AD39" s="620" t="s">
        <v>269</v>
      </c>
      <c r="AE39" s="591" t="s">
        <v>270</v>
      </c>
      <c r="AF39" s="588" t="s">
        <v>274</v>
      </c>
      <c r="AG39" s="162" t="s">
        <v>275</v>
      </c>
      <c r="AH39" s="162" t="s">
        <v>276</v>
      </c>
      <c r="AI39" s="162" t="s">
        <v>277</v>
      </c>
      <c r="AJ39" s="163" t="s">
        <v>278</v>
      </c>
      <c r="AK39" s="162" t="s">
        <v>279</v>
      </c>
      <c r="AL39" s="620" t="s">
        <v>280</v>
      </c>
      <c r="AM39" s="143" t="s">
        <v>281</v>
      </c>
      <c r="AN39" s="620" t="s">
        <v>282</v>
      </c>
      <c r="AO39" s="620" t="s">
        <v>283</v>
      </c>
      <c r="AP39" s="620" t="s">
        <v>284</v>
      </c>
      <c r="AQ39" s="620" t="s">
        <v>285</v>
      </c>
      <c r="AS39" s="1164"/>
      <c r="AT39" s="620" t="s">
        <v>269</v>
      </c>
      <c r="AU39" s="620" t="s">
        <v>270</v>
      </c>
      <c r="AV39" s="620" t="s">
        <v>269</v>
      </c>
      <c r="AW39" s="620" t="s">
        <v>270</v>
      </c>
      <c r="AX39" s="620" t="s">
        <v>269</v>
      </c>
      <c r="AY39" s="502" t="s">
        <v>271</v>
      </c>
      <c r="AZ39" s="620" t="s">
        <v>270</v>
      </c>
      <c r="BA39" s="620" t="s">
        <v>269</v>
      </c>
      <c r="BB39" s="620" t="s">
        <v>270</v>
      </c>
      <c r="BC39" s="620" t="s">
        <v>269</v>
      </c>
      <c r="BD39" s="620" t="s">
        <v>270</v>
      </c>
      <c r="BE39" s="620" t="s">
        <v>269</v>
      </c>
      <c r="BF39" s="502" t="s">
        <v>272</v>
      </c>
      <c r="BG39" s="620" t="s">
        <v>270</v>
      </c>
      <c r="BH39" s="706" t="s">
        <v>269</v>
      </c>
      <c r="BI39" s="620" t="s">
        <v>270</v>
      </c>
      <c r="BJ39" s="620" t="s">
        <v>269</v>
      </c>
      <c r="BK39" s="620" t="s">
        <v>270</v>
      </c>
      <c r="BL39" s="620" t="s">
        <v>269</v>
      </c>
      <c r="BM39" s="502" t="s">
        <v>273</v>
      </c>
      <c r="BN39" s="620" t="s">
        <v>270</v>
      </c>
      <c r="BO39" s="620" t="s">
        <v>269</v>
      </c>
      <c r="BP39" s="620" t="s">
        <v>270</v>
      </c>
      <c r="BQ39" s="620" t="s">
        <v>269</v>
      </c>
      <c r="BR39" s="620" t="s">
        <v>270</v>
      </c>
      <c r="BS39" s="620" t="s">
        <v>269</v>
      </c>
      <c r="BT39" s="620" t="s">
        <v>270</v>
      </c>
      <c r="BU39" s="620" t="s">
        <v>269</v>
      </c>
      <c r="BV39" s="591" t="s">
        <v>270</v>
      </c>
      <c r="BW39" s="588" t="s">
        <v>274</v>
      </c>
      <c r="BX39" s="162" t="s">
        <v>275</v>
      </c>
      <c r="BY39" s="162" t="s">
        <v>276</v>
      </c>
      <c r="BZ39" s="162" t="s">
        <v>277</v>
      </c>
      <c r="CA39" s="163" t="s">
        <v>278</v>
      </c>
      <c r="CB39" s="162" t="s">
        <v>279</v>
      </c>
      <c r="CC39" s="620" t="s">
        <v>280</v>
      </c>
      <c r="CD39" s="143" t="s">
        <v>281</v>
      </c>
      <c r="CE39" s="620" t="s">
        <v>282</v>
      </c>
      <c r="CF39" s="620" t="s">
        <v>283</v>
      </c>
      <c r="CG39" s="620" t="s">
        <v>284</v>
      </c>
      <c r="CH39" s="620" t="s">
        <v>285</v>
      </c>
    </row>
    <row r="40" spans="1:86">
      <c r="A40" s="592" t="s">
        <v>286</v>
      </c>
      <c r="B40" s="144">
        <v>0</v>
      </c>
      <c r="C40" s="371">
        <v>20050667</v>
      </c>
      <c r="D40" s="144">
        <v>0</v>
      </c>
      <c r="E40" s="371">
        <v>54590000</v>
      </c>
      <c r="F40" s="144">
        <v>1.0400000000000003E-2</v>
      </c>
      <c r="G40" s="144">
        <f>B40+D40+F40</f>
        <v>1.0400000000000003E-2</v>
      </c>
      <c r="H40" s="371">
        <v>54590000</v>
      </c>
      <c r="I40" s="144">
        <v>2.0000000000000004E-2</v>
      </c>
      <c r="J40" s="371">
        <v>54590000</v>
      </c>
      <c r="K40" s="144">
        <v>2.0000000000000004E-2</v>
      </c>
      <c r="L40" s="371">
        <v>54590000</v>
      </c>
      <c r="M40" s="144">
        <v>2.0000000000000004E-2</v>
      </c>
      <c r="N40" s="144">
        <f>I40+K40+M40</f>
        <v>6.0000000000000012E-2</v>
      </c>
      <c r="O40" s="371">
        <v>54590000</v>
      </c>
      <c r="P40" s="144">
        <v>2.0000000000000004E-2</v>
      </c>
      <c r="Q40" s="370">
        <v>54590000</v>
      </c>
      <c r="R40" s="144">
        <v>2.0000000000000004E-2</v>
      </c>
      <c r="S40" s="370">
        <v>54590000</v>
      </c>
      <c r="T40" s="144">
        <v>2.0000000000000004E-2</v>
      </c>
      <c r="U40" s="144">
        <f>P40+R40+T40</f>
        <v>6.0000000000000012E-2</v>
      </c>
      <c r="V40" s="370">
        <v>54590000</v>
      </c>
      <c r="W40" s="144">
        <v>2.0000000000000004E-2</v>
      </c>
      <c r="X40" s="370">
        <v>54590000</v>
      </c>
      <c r="Y40" s="144">
        <v>2.0000000000000004E-2</v>
      </c>
      <c r="Z40" s="370">
        <v>54590000</v>
      </c>
      <c r="AA40" s="144">
        <v>2.0000000000000004E-2</v>
      </c>
      <c r="AB40" s="144"/>
      <c r="AC40" s="370">
        <v>34539333</v>
      </c>
      <c r="AD40" s="387">
        <f t="shared" ref="AD40:AD60" si="20">B40+D40+F40+I40+K40+M40+P40+R40+T40+W40+Y40+AA40</f>
        <v>0.19040000000000007</v>
      </c>
      <c r="AE40" s="593">
        <f t="shared" ref="AE40:AE60" si="21">C40+E40+H40+J40+L40+O40+Q40+S40+V40+X40+Z40+AC40</f>
        <v>600490000</v>
      </c>
      <c r="AF40" s="594"/>
      <c r="AG40" s="147"/>
      <c r="AH40" s="147"/>
      <c r="AI40" s="147"/>
      <c r="AJ40" s="147"/>
      <c r="AK40" s="147"/>
      <c r="AL40" s="147"/>
      <c r="AM40" s="147"/>
      <c r="AN40" s="147"/>
      <c r="AO40" s="147"/>
      <c r="AP40" s="147"/>
      <c r="AQ40" s="148"/>
      <c r="AS40" s="592" t="s">
        <v>286</v>
      </c>
      <c r="AT40" s="388">
        <f>'Meta 3'!D35</f>
        <v>0</v>
      </c>
      <c r="AU40" s="371">
        <v>0</v>
      </c>
      <c r="AV40" s="388">
        <f>'Meta 3'!E35</f>
        <v>1.0480000000000003E-2</v>
      </c>
      <c r="AW40" s="371">
        <v>19535667</v>
      </c>
      <c r="AX40" s="388">
        <f>'Meta 3'!F35</f>
        <v>1.9440000000000006E-2</v>
      </c>
      <c r="AY40" s="631">
        <f>AT40+AV40+AX40</f>
        <v>2.9920000000000009E-2</v>
      </c>
      <c r="AZ40" s="371">
        <v>54590000</v>
      </c>
      <c r="BA40" s="630">
        <f>'Meta 3'!G35</f>
        <v>1.7280000000000007E-2</v>
      </c>
      <c r="BB40" s="371">
        <v>54590000</v>
      </c>
      <c r="BC40" s="388">
        <f>'Meta 3'!H35</f>
        <v>2.0000000000000004E-2</v>
      </c>
      <c r="BD40" s="371">
        <v>49440000</v>
      </c>
      <c r="BE40" s="388">
        <f>'Meta 3'!I35</f>
        <v>2.1600000000000008E-2</v>
      </c>
      <c r="BF40" s="631">
        <f>BA40+BC40+BE40</f>
        <v>5.8880000000000016E-2</v>
      </c>
      <c r="BG40" s="371">
        <v>49440000</v>
      </c>
      <c r="BH40" s="388">
        <f>'Meta 3'!J35</f>
        <v>1.9440000000000006E-2</v>
      </c>
      <c r="BI40" s="371">
        <v>49440000</v>
      </c>
      <c r="BJ40" s="388">
        <f>'Meta 3'!K35</f>
        <v>2.0000000000000004E-2</v>
      </c>
      <c r="BK40" s="371">
        <v>49440000</v>
      </c>
      <c r="BL40" s="388">
        <f>'Meta 3'!L35</f>
        <v>2.1120000000000007E-2</v>
      </c>
      <c r="BM40" s="631">
        <f>BH40+BJ40+BL40</f>
        <v>6.0560000000000017E-2</v>
      </c>
      <c r="BN40" s="371">
        <v>54590000</v>
      </c>
      <c r="BO40" s="388">
        <v>0</v>
      </c>
      <c r="BP40" s="145"/>
      <c r="BQ40" s="388">
        <v>0</v>
      </c>
      <c r="BR40" s="145"/>
      <c r="BS40" s="388">
        <v>0</v>
      </c>
      <c r="BT40" s="145"/>
      <c r="BU40" s="632">
        <f>AT40+AV40+AX40+BA40+BC40+BE40+BH40+BJ40+BL40+BO40+BQ40+BS40</f>
        <v>0.14936000000000002</v>
      </c>
      <c r="BV40" s="633">
        <f>AU40+AW40+AZ40+BB40+BD40+BG40+BI40+BK40+BN40</f>
        <v>381065667</v>
      </c>
      <c r="BW40" s="589"/>
      <c r="BX40" s="164"/>
      <c r="BY40" s="164"/>
      <c r="BZ40" s="164"/>
      <c r="CA40" s="147"/>
      <c r="CB40" s="147"/>
      <c r="CC40" s="147"/>
      <c r="CD40" s="147"/>
      <c r="CE40" s="147"/>
      <c r="CF40" s="147"/>
      <c r="CG40" s="147"/>
      <c r="CH40" s="148"/>
    </row>
    <row r="41" spans="1:86">
      <c r="A41" s="592" t="s">
        <v>287</v>
      </c>
      <c r="B41" s="144"/>
      <c r="D41" s="144"/>
      <c r="F41" s="144"/>
      <c r="G41" s="595"/>
      <c r="I41" s="144"/>
      <c r="K41" s="144"/>
      <c r="M41" s="144"/>
      <c r="N41" s="144"/>
      <c r="O41" s="144"/>
      <c r="P41" s="144"/>
      <c r="R41" s="145"/>
      <c r="T41" s="145"/>
      <c r="U41" s="145"/>
      <c r="V41" s="145"/>
      <c r="W41" s="145"/>
      <c r="Y41" s="145"/>
      <c r="AA41" s="145"/>
      <c r="AB41" s="145"/>
      <c r="AD41" s="165">
        <f t="shared" si="20"/>
        <v>0</v>
      </c>
      <c r="AE41" s="593">
        <f t="shared" si="21"/>
        <v>0</v>
      </c>
      <c r="AF41" s="594"/>
      <c r="AG41" s="147"/>
      <c r="AH41" s="147"/>
      <c r="AI41" s="147"/>
      <c r="AJ41" s="147"/>
      <c r="AK41" s="147"/>
      <c r="AL41" s="147"/>
      <c r="AM41" s="147"/>
      <c r="AN41" s="147"/>
      <c r="AO41" s="147"/>
      <c r="AP41" s="147"/>
      <c r="AQ41" s="147"/>
      <c r="AS41" s="592" t="s">
        <v>287</v>
      </c>
      <c r="AT41" s="144"/>
      <c r="AU41" s="144"/>
      <c r="AV41" s="144"/>
      <c r="AW41" s="144"/>
      <c r="AX41" s="144"/>
      <c r="AY41" s="144"/>
      <c r="AZ41" s="371"/>
      <c r="BA41" s="144"/>
      <c r="BB41" s="144"/>
      <c r="BC41" s="144"/>
      <c r="BD41" s="144"/>
      <c r="BE41" s="144"/>
      <c r="BF41" s="144"/>
      <c r="BG41" s="144"/>
      <c r="BH41" s="144"/>
      <c r="BI41" s="145"/>
      <c r="BJ41" s="145"/>
      <c r="BK41" s="145"/>
      <c r="BL41" s="145"/>
      <c r="BM41" s="145"/>
      <c r="BN41" s="145"/>
      <c r="BO41" s="145"/>
      <c r="BP41" s="145"/>
      <c r="BQ41" s="145"/>
      <c r="BR41" s="145"/>
      <c r="BS41" s="145"/>
      <c r="BT41" s="145"/>
      <c r="BU41" s="165">
        <f t="shared" ref="BU41:BU60" si="22">AT41+AV41+AX41+BA41+BC41+BE41+BH41+BJ41+BL41+BO41+BQ41+BS41</f>
        <v>0</v>
      </c>
      <c r="BV41" s="593">
        <f t="shared" ref="BV41:BV60" si="23">AU41+AW41+AZ41+BB41+BD41+BG41+BI41+BK41+BN41+BP41+BR41+BT41</f>
        <v>0</v>
      </c>
      <c r="BW41" s="589"/>
      <c r="BX41" s="164"/>
      <c r="BY41" s="164"/>
      <c r="BZ41" s="164"/>
      <c r="CA41" s="147"/>
      <c r="CB41" s="147"/>
      <c r="CC41" s="147"/>
      <c r="CD41" s="147"/>
      <c r="CE41" s="147"/>
      <c r="CF41" s="147"/>
      <c r="CG41" s="147"/>
      <c r="CH41" s="147"/>
    </row>
    <row r="42" spans="1:86">
      <c r="A42" s="592" t="s">
        <v>288</v>
      </c>
      <c r="B42" s="144"/>
      <c r="C42" s="144"/>
      <c r="D42" s="144"/>
      <c r="E42" s="144"/>
      <c r="F42" s="144"/>
      <c r="G42" s="144"/>
      <c r="H42" s="144"/>
      <c r="I42" s="144"/>
      <c r="J42" s="144"/>
      <c r="K42" s="144"/>
      <c r="L42" s="144"/>
      <c r="M42" s="144"/>
      <c r="N42" s="144"/>
      <c r="O42" s="144"/>
      <c r="P42" s="144"/>
      <c r="Q42" s="145"/>
      <c r="R42" s="145"/>
      <c r="S42" s="145"/>
      <c r="T42" s="145"/>
      <c r="U42" s="145"/>
      <c r="V42" s="145"/>
      <c r="W42" s="145"/>
      <c r="X42" s="145"/>
      <c r="Y42" s="145"/>
      <c r="Z42" s="145"/>
      <c r="AA42" s="145"/>
      <c r="AB42" s="145"/>
      <c r="AC42" s="145"/>
      <c r="AD42" s="165">
        <f t="shared" si="20"/>
        <v>0</v>
      </c>
      <c r="AE42" s="593">
        <f t="shared" si="21"/>
        <v>0</v>
      </c>
      <c r="AF42" s="594"/>
      <c r="AG42" s="147"/>
      <c r="AH42" s="147"/>
      <c r="AI42" s="147"/>
      <c r="AJ42" s="147"/>
      <c r="AK42" s="147"/>
      <c r="AL42" s="147"/>
      <c r="AM42" s="147"/>
      <c r="AN42" s="147"/>
      <c r="AO42" s="147"/>
      <c r="AP42" s="147"/>
      <c r="AQ42" s="147"/>
      <c r="AS42" s="592" t="s">
        <v>288</v>
      </c>
      <c r="AT42" s="144"/>
      <c r="AU42" s="144"/>
      <c r="AV42" s="144"/>
      <c r="AW42" s="144"/>
      <c r="AX42" s="144"/>
      <c r="AY42" s="144"/>
      <c r="AZ42" s="144"/>
      <c r="BA42" s="144"/>
      <c r="BB42" s="144"/>
      <c r="BC42" s="144"/>
      <c r="BD42" s="144"/>
      <c r="BE42" s="144"/>
      <c r="BF42" s="144"/>
      <c r="BG42" s="144"/>
      <c r="BH42" s="144"/>
      <c r="BI42" s="145"/>
      <c r="BJ42" s="145"/>
      <c r="BK42" s="145"/>
      <c r="BL42" s="145"/>
      <c r="BM42" s="145"/>
      <c r="BN42" s="145"/>
      <c r="BO42" s="145"/>
      <c r="BP42" s="145"/>
      <c r="BQ42" s="145"/>
      <c r="BR42" s="145"/>
      <c r="BS42" s="145"/>
      <c r="BT42" s="145"/>
      <c r="BU42" s="165">
        <f t="shared" si="22"/>
        <v>0</v>
      </c>
      <c r="BV42" s="593">
        <f t="shared" si="23"/>
        <v>0</v>
      </c>
      <c r="BW42" s="589"/>
      <c r="BX42" s="164"/>
      <c r="BY42" s="164"/>
      <c r="BZ42" s="164"/>
      <c r="CA42" s="147"/>
      <c r="CB42" s="147"/>
      <c r="CC42" s="147"/>
      <c r="CD42" s="147"/>
      <c r="CE42" s="147"/>
      <c r="CF42" s="147"/>
      <c r="CG42" s="147"/>
      <c r="CH42" s="147"/>
    </row>
    <row r="43" spans="1:86">
      <c r="A43" s="592" t="s">
        <v>289</v>
      </c>
      <c r="B43" s="144"/>
      <c r="C43" s="144"/>
      <c r="D43" s="144"/>
      <c r="E43" s="144"/>
      <c r="F43" s="144"/>
      <c r="G43" s="144"/>
      <c r="H43" s="144"/>
      <c r="I43" s="144"/>
      <c r="J43" s="144"/>
      <c r="K43" s="144"/>
      <c r="L43" s="144"/>
      <c r="M43" s="144"/>
      <c r="N43" s="144"/>
      <c r="O43" s="144"/>
      <c r="P43" s="144"/>
      <c r="Q43" s="145"/>
      <c r="R43" s="145"/>
      <c r="S43" s="145"/>
      <c r="T43" s="145"/>
      <c r="U43" s="145"/>
      <c r="V43" s="145"/>
      <c r="W43" s="145"/>
      <c r="X43" s="145"/>
      <c r="Y43" s="145"/>
      <c r="Z43" s="145"/>
      <c r="AA43" s="145"/>
      <c r="AB43" s="145"/>
      <c r="AC43" s="145"/>
      <c r="AD43" s="165">
        <f t="shared" si="20"/>
        <v>0</v>
      </c>
      <c r="AE43" s="593">
        <f t="shared" si="21"/>
        <v>0</v>
      </c>
      <c r="AF43" s="594"/>
      <c r="AG43" s="147"/>
      <c r="AH43" s="147"/>
      <c r="AI43" s="147"/>
      <c r="AJ43" s="147"/>
      <c r="AK43" s="147"/>
      <c r="AL43" s="147"/>
      <c r="AM43" s="147"/>
      <c r="AN43" s="147"/>
      <c r="AO43" s="147"/>
      <c r="AP43" s="147"/>
      <c r="AQ43" s="147"/>
      <c r="AS43" s="592" t="s">
        <v>289</v>
      </c>
      <c r="AT43" s="144"/>
      <c r="AU43" s="144"/>
      <c r="AV43" s="144"/>
      <c r="AW43" s="144"/>
      <c r="AX43" s="144"/>
      <c r="AY43" s="144"/>
      <c r="AZ43" s="144"/>
      <c r="BA43" s="144"/>
      <c r="BB43" s="144"/>
      <c r="BC43" s="144"/>
      <c r="BD43" s="144"/>
      <c r="BE43" s="144"/>
      <c r="BF43" s="144"/>
      <c r="BG43" s="144"/>
      <c r="BH43" s="144"/>
      <c r="BI43" s="145"/>
      <c r="BJ43" s="145"/>
      <c r="BK43" s="145"/>
      <c r="BL43" s="145"/>
      <c r="BM43" s="145"/>
      <c r="BN43" s="145"/>
      <c r="BO43" s="145"/>
      <c r="BP43" s="145"/>
      <c r="BQ43" s="145"/>
      <c r="BR43" s="145"/>
      <c r="BS43" s="145"/>
      <c r="BT43" s="145"/>
      <c r="BU43" s="165">
        <f t="shared" si="22"/>
        <v>0</v>
      </c>
      <c r="BV43" s="593">
        <f t="shared" si="23"/>
        <v>0</v>
      </c>
      <c r="BW43" s="589"/>
      <c r="BX43" s="164"/>
      <c r="BY43" s="164"/>
      <c r="BZ43" s="164"/>
      <c r="CA43" s="147"/>
      <c r="CB43" s="147"/>
      <c r="CC43" s="147"/>
      <c r="CD43" s="147"/>
      <c r="CE43" s="147"/>
      <c r="CF43" s="147"/>
      <c r="CG43" s="147"/>
      <c r="CH43" s="147"/>
    </row>
    <row r="44" spans="1:86">
      <c r="A44" s="592" t="s">
        <v>290</v>
      </c>
      <c r="B44" s="144"/>
      <c r="C44" s="144"/>
      <c r="D44" s="144"/>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65">
        <f t="shared" si="20"/>
        <v>0</v>
      </c>
      <c r="AE44" s="593">
        <f t="shared" si="21"/>
        <v>0</v>
      </c>
      <c r="AF44" s="594"/>
      <c r="AG44" s="147"/>
      <c r="AH44" s="147"/>
      <c r="AI44" s="147"/>
      <c r="AJ44" s="147"/>
      <c r="AK44" s="147"/>
      <c r="AL44" s="147"/>
      <c r="AM44" s="147"/>
      <c r="AN44" s="147"/>
      <c r="AO44" s="147"/>
      <c r="AP44" s="147"/>
      <c r="AQ44" s="147"/>
      <c r="AS44" s="592" t="s">
        <v>290</v>
      </c>
      <c r="AT44" s="144"/>
      <c r="AU44" s="144"/>
      <c r="AV44" s="144"/>
      <c r="AW44" s="144"/>
      <c r="AX44" s="144"/>
      <c r="AY44" s="144"/>
      <c r="AZ44" s="144"/>
      <c r="BA44" s="144"/>
      <c r="BB44" s="144"/>
      <c r="BC44" s="144"/>
      <c r="BD44" s="144"/>
      <c r="BE44" s="144"/>
      <c r="BF44" s="144"/>
      <c r="BG44" s="144"/>
      <c r="BH44" s="144"/>
      <c r="BI44" s="145"/>
      <c r="BJ44" s="145"/>
      <c r="BK44" s="145"/>
      <c r="BL44" s="145"/>
      <c r="BM44" s="145"/>
      <c r="BN44" s="145"/>
      <c r="BO44" s="145"/>
      <c r="BP44" s="145"/>
      <c r="BQ44" s="145"/>
      <c r="BR44" s="145"/>
      <c r="BS44" s="145"/>
      <c r="BT44" s="145"/>
      <c r="BU44" s="165">
        <f t="shared" si="22"/>
        <v>0</v>
      </c>
      <c r="BV44" s="593">
        <f t="shared" si="23"/>
        <v>0</v>
      </c>
      <c r="BW44" s="589"/>
      <c r="BX44" s="164"/>
      <c r="BY44" s="164"/>
      <c r="BZ44" s="164"/>
      <c r="CA44" s="147"/>
      <c r="CB44" s="147"/>
      <c r="CC44" s="147"/>
      <c r="CD44" s="147"/>
      <c r="CE44" s="147"/>
      <c r="CF44" s="147"/>
      <c r="CG44" s="147"/>
      <c r="CH44" s="147"/>
    </row>
    <row r="45" spans="1:86">
      <c r="A45" s="592" t="s">
        <v>291</v>
      </c>
      <c r="B45" s="144"/>
      <c r="C45" s="144"/>
      <c r="D45" s="144"/>
      <c r="E45" s="144"/>
      <c r="F45" s="144"/>
      <c r="G45" s="144"/>
      <c r="H45" s="144"/>
      <c r="I45" s="144"/>
      <c r="J45" s="144"/>
      <c r="K45" s="144"/>
      <c r="L45" s="144"/>
      <c r="M45" s="144"/>
      <c r="N45" s="144"/>
      <c r="O45" s="144"/>
      <c r="P45" s="144"/>
      <c r="Q45" s="145"/>
      <c r="R45" s="145"/>
      <c r="S45" s="145"/>
      <c r="T45" s="145"/>
      <c r="U45" s="145"/>
      <c r="V45" s="145"/>
      <c r="W45" s="145"/>
      <c r="X45" s="145"/>
      <c r="Y45" s="145"/>
      <c r="Z45" s="145"/>
      <c r="AA45" s="145"/>
      <c r="AB45" s="145"/>
      <c r="AC45" s="145"/>
      <c r="AD45" s="165">
        <f t="shared" si="20"/>
        <v>0</v>
      </c>
      <c r="AE45" s="593">
        <f t="shared" si="21"/>
        <v>0</v>
      </c>
      <c r="AF45" s="594"/>
      <c r="AG45" s="147"/>
      <c r="AH45" s="147"/>
      <c r="AI45" s="147"/>
      <c r="AJ45" s="147"/>
      <c r="AK45" s="147"/>
      <c r="AL45" s="147"/>
      <c r="AM45" s="147"/>
      <c r="AN45" s="147"/>
      <c r="AO45" s="147"/>
      <c r="AP45" s="147"/>
      <c r="AQ45" s="147"/>
      <c r="AS45" s="592" t="s">
        <v>291</v>
      </c>
      <c r="AT45" s="144"/>
      <c r="AU45" s="144"/>
      <c r="AV45" s="144"/>
      <c r="AW45" s="144"/>
      <c r="AX45" s="144"/>
      <c r="AY45" s="144"/>
      <c r="AZ45" s="144"/>
      <c r="BA45" s="144"/>
      <c r="BB45" s="144"/>
      <c r="BC45" s="144"/>
      <c r="BD45" s="144"/>
      <c r="BE45" s="144"/>
      <c r="BF45" s="144"/>
      <c r="BG45" s="144"/>
      <c r="BH45" s="144"/>
      <c r="BI45" s="145"/>
      <c r="BJ45" s="145"/>
      <c r="BK45" s="145"/>
      <c r="BL45" s="145"/>
      <c r="BM45" s="145"/>
      <c r="BN45" s="145"/>
      <c r="BO45" s="145"/>
      <c r="BP45" s="145"/>
      <c r="BQ45" s="145"/>
      <c r="BR45" s="145"/>
      <c r="BS45" s="145"/>
      <c r="BT45" s="145"/>
      <c r="BU45" s="165">
        <f t="shared" si="22"/>
        <v>0</v>
      </c>
      <c r="BV45" s="593">
        <f t="shared" si="23"/>
        <v>0</v>
      </c>
      <c r="BW45" s="589"/>
      <c r="BX45" s="164"/>
      <c r="BY45" s="164"/>
      <c r="BZ45" s="164"/>
      <c r="CA45" s="147"/>
      <c r="CB45" s="147"/>
      <c r="CC45" s="147"/>
      <c r="CD45" s="147"/>
      <c r="CE45" s="147"/>
      <c r="CF45" s="147"/>
      <c r="CG45" s="147"/>
      <c r="CH45" s="147"/>
    </row>
    <row r="46" spans="1:86">
      <c r="A46" s="592" t="s">
        <v>292</v>
      </c>
      <c r="B46" s="144"/>
      <c r="C46" s="144"/>
      <c r="D46" s="144"/>
      <c r="E46" s="144"/>
      <c r="F46" s="144"/>
      <c r="G46" s="144"/>
      <c r="H46" s="144"/>
      <c r="I46" s="144"/>
      <c r="J46" s="144"/>
      <c r="K46" s="144"/>
      <c r="L46" s="144"/>
      <c r="M46" s="144"/>
      <c r="N46" s="144"/>
      <c r="O46" s="144"/>
      <c r="P46" s="144"/>
      <c r="Q46" s="145"/>
      <c r="R46" s="145"/>
      <c r="S46" s="145"/>
      <c r="T46" s="145"/>
      <c r="U46" s="145"/>
      <c r="V46" s="145"/>
      <c r="W46" s="145"/>
      <c r="X46" s="145"/>
      <c r="Y46" s="145"/>
      <c r="Z46" s="145"/>
      <c r="AA46" s="145"/>
      <c r="AB46" s="145"/>
      <c r="AC46" s="145"/>
      <c r="AD46" s="165">
        <f t="shared" si="20"/>
        <v>0</v>
      </c>
      <c r="AE46" s="593">
        <f t="shared" si="21"/>
        <v>0</v>
      </c>
      <c r="AF46" s="594"/>
      <c r="AG46" s="147"/>
      <c r="AH46" s="147"/>
      <c r="AI46" s="147"/>
      <c r="AJ46" s="147"/>
      <c r="AK46" s="147"/>
      <c r="AL46" s="147"/>
      <c r="AM46" s="147"/>
      <c r="AN46" s="147"/>
      <c r="AO46" s="147"/>
      <c r="AP46" s="147"/>
      <c r="AQ46" s="147"/>
      <c r="AS46" s="592" t="s">
        <v>292</v>
      </c>
      <c r="AT46" s="144"/>
      <c r="AU46" s="144"/>
      <c r="AV46" s="144"/>
      <c r="AW46" s="144"/>
      <c r="AX46" s="144"/>
      <c r="AY46" s="144"/>
      <c r="AZ46" s="144"/>
      <c r="BA46" s="144"/>
      <c r="BB46" s="144"/>
      <c r="BC46" s="144"/>
      <c r="BD46" s="144"/>
      <c r="BE46" s="144"/>
      <c r="BF46" s="144"/>
      <c r="BG46" s="144"/>
      <c r="BH46" s="144"/>
      <c r="BI46" s="145"/>
      <c r="BJ46" s="145"/>
      <c r="BK46" s="145"/>
      <c r="BL46" s="145"/>
      <c r="BM46" s="145"/>
      <c r="BN46" s="145"/>
      <c r="BO46" s="145"/>
      <c r="BP46" s="145"/>
      <c r="BQ46" s="145"/>
      <c r="BR46" s="145"/>
      <c r="BS46" s="145"/>
      <c r="BT46" s="145"/>
      <c r="BU46" s="165">
        <f t="shared" si="22"/>
        <v>0</v>
      </c>
      <c r="BV46" s="593">
        <f t="shared" si="23"/>
        <v>0</v>
      </c>
      <c r="BW46" s="589"/>
      <c r="BX46" s="164"/>
      <c r="BY46" s="164"/>
      <c r="BZ46" s="164"/>
      <c r="CA46" s="147"/>
      <c r="CB46" s="147"/>
      <c r="CC46" s="147"/>
      <c r="CD46" s="147"/>
      <c r="CE46" s="147"/>
      <c r="CF46" s="147"/>
      <c r="CG46" s="147"/>
      <c r="CH46" s="147"/>
    </row>
    <row r="47" spans="1:86">
      <c r="A47" s="592" t="s">
        <v>293</v>
      </c>
      <c r="B47" s="144"/>
      <c r="C47" s="144"/>
      <c r="D47" s="144"/>
      <c r="E47" s="144"/>
      <c r="F47" s="144"/>
      <c r="G47" s="144"/>
      <c r="H47" s="144"/>
      <c r="I47" s="144"/>
      <c r="J47" s="144"/>
      <c r="K47" s="144"/>
      <c r="L47" s="144"/>
      <c r="M47" s="144"/>
      <c r="N47" s="144"/>
      <c r="O47" s="144"/>
      <c r="P47" s="144"/>
      <c r="Q47" s="145"/>
      <c r="R47" s="145"/>
      <c r="S47" s="145"/>
      <c r="T47" s="145"/>
      <c r="U47" s="145"/>
      <c r="V47" s="145"/>
      <c r="W47" s="145"/>
      <c r="X47" s="145"/>
      <c r="Y47" s="145"/>
      <c r="Z47" s="145"/>
      <c r="AA47" s="145"/>
      <c r="AB47" s="145"/>
      <c r="AC47" s="145"/>
      <c r="AD47" s="165">
        <f t="shared" si="20"/>
        <v>0</v>
      </c>
      <c r="AE47" s="593">
        <f t="shared" si="21"/>
        <v>0</v>
      </c>
      <c r="AF47" s="594"/>
      <c r="AG47" s="147"/>
      <c r="AH47" s="147"/>
      <c r="AI47" s="147"/>
      <c r="AJ47" s="147"/>
      <c r="AK47" s="147"/>
      <c r="AL47" s="147"/>
      <c r="AM47" s="147"/>
      <c r="AN47" s="147"/>
      <c r="AO47" s="147"/>
      <c r="AP47" s="147"/>
      <c r="AQ47" s="147"/>
      <c r="AS47" s="592" t="s">
        <v>293</v>
      </c>
      <c r="AT47" s="144"/>
      <c r="AU47" s="144"/>
      <c r="AV47" s="144"/>
      <c r="AW47" s="144"/>
      <c r="AX47" s="144"/>
      <c r="AY47" s="144"/>
      <c r="AZ47" s="144"/>
      <c r="BA47" s="144"/>
      <c r="BB47" s="144"/>
      <c r="BC47" s="144"/>
      <c r="BD47" s="144"/>
      <c r="BE47" s="144"/>
      <c r="BF47" s="144"/>
      <c r="BG47" s="144"/>
      <c r="BH47" s="144"/>
      <c r="BI47" s="145"/>
      <c r="BJ47" s="145"/>
      <c r="BK47" s="145"/>
      <c r="BL47" s="145"/>
      <c r="BM47" s="145"/>
      <c r="BN47" s="145"/>
      <c r="BO47" s="145"/>
      <c r="BP47" s="145"/>
      <c r="BQ47" s="145"/>
      <c r="BR47" s="145"/>
      <c r="BS47" s="145"/>
      <c r="BT47" s="145"/>
      <c r="BU47" s="165">
        <f t="shared" si="22"/>
        <v>0</v>
      </c>
      <c r="BV47" s="593">
        <f t="shared" si="23"/>
        <v>0</v>
      </c>
      <c r="BW47" s="589"/>
      <c r="BX47" s="164"/>
      <c r="BY47" s="164"/>
      <c r="BZ47" s="164"/>
      <c r="CA47" s="147"/>
      <c r="CB47" s="147"/>
      <c r="CC47" s="147"/>
      <c r="CD47" s="147"/>
      <c r="CE47" s="147"/>
      <c r="CF47" s="147"/>
      <c r="CG47" s="147"/>
      <c r="CH47" s="147"/>
    </row>
    <row r="48" spans="1:86">
      <c r="A48" s="592" t="s">
        <v>294</v>
      </c>
      <c r="B48" s="144"/>
      <c r="C48" s="144"/>
      <c r="D48" s="144"/>
      <c r="E48" s="144"/>
      <c r="F48" s="144"/>
      <c r="G48" s="144"/>
      <c r="H48" s="144"/>
      <c r="I48" s="144"/>
      <c r="J48" s="144"/>
      <c r="K48" s="144"/>
      <c r="L48" s="144"/>
      <c r="M48" s="144"/>
      <c r="N48" s="144"/>
      <c r="O48" s="144"/>
      <c r="P48" s="144"/>
      <c r="Q48" s="145"/>
      <c r="R48" s="145"/>
      <c r="S48" s="145"/>
      <c r="T48" s="145"/>
      <c r="U48" s="145"/>
      <c r="V48" s="145"/>
      <c r="W48" s="145"/>
      <c r="X48" s="145"/>
      <c r="Y48" s="145"/>
      <c r="Z48" s="145"/>
      <c r="AA48" s="145"/>
      <c r="AB48" s="145"/>
      <c r="AC48" s="145"/>
      <c r="AD48" s="165">
        <f t="shared" si="20"/>
        <v>0</v>
      </c>
      <c r="AE48" s="593">
        <f t="shared" si="21"/>
        <v>0</v>
      </c>
      <c r="AF48" s="594"/>
      <c r="AG48" s="147"/>
      <c r="AH48" s="147"/>
      <c r="AI48" s="147"/>
      <c r="AJ48" s="147"/>
      <c r="AK48" s="147"/>
      <c r="AL48" s="147"/>
      <c r="AM48" s="147"/>
      <c r="AN48" s="147"/>
      <c r="AO48" s="147"/>
      <c r="AP48" s="147"/>
      <c r="AQ48" s="147"/>
      <c r="AS48" s="592" t="s">
        <v>294</v>
      </c>
      <c r="AT48" s="144"/>
      <c r="AU48" s="144"/>
      <c r="AV48" s="144"/>
      <c r="AW48" s="144"/>
      <c r="AX48" s="144"/>
      <c r="AY48" s="144"/>
      <c r="AZ48" s="144"/>
      <c r="BA48" s="144"/>
      <c r="BB48" s="144"/>
      <c r="BC48" s="144"/>
      <c r="BD48" s="144"/>
      <c r="BE48" s="144"/>
      <c r="BF48" s="144"/>
      <c r="BG48" s="144"/>
      <c r="BH48" s="144"/>
      <c r="BI48" s="145"/>
      <c r="BJ48" s="145"/>
      <c r="BK48" s="145"/>
      <c r="BL48" s="145"/>
      <c r="BM48" s="145"/>
      <c r="BN48" s="145"/>
      <c r="BO48" s="145"/>
      <c r="BP48" s="145"/>
      <c r="BQ48" s="145"/>
      <c r="BR48" s="145"/>
      <c r="BS48" s="145"/>
      <c r="BT48" s="145"/>
      <c r="BU48" s="165">
        <f t="shared" si="22"/>
        <v>0</v>
      </c>
      <c r="BV48" s="593">
        <f t="shared" si="23"/>
        <v>0</v>
      </c>
      <c r="BW48" s="589"/>
      <c r="BX48" s="164"/>
      <c r="BY48" s="164"/>
      <c r="BZ48" s="164"/>
      <c r="CA48" s="147"/>
      <c r="CB48" s="147"/>
      <c r="CC48" s="147"/>
      <c r="CD48" s="147"/>
      <c r="CE48" s="147"/>
      <c r="CF48" s="147"/>
      <c r="CG48" s="147"/>
      <c r="CH48" s="147"/>
    </row>
    <row r="49" spans="1:86">
      <c r="A49" s="592" t="s">
        <v>295</v>
      </c>
      <c r="B49" s="144"/>
      <c r="C49" s="144"/>
      <c r="D49" s="144"/>
      <c r="E49" s="144"/>
      <c r="F49" s="144"/>
      <c r="G49" s="144"/>
      <c r="H49" s="144"/>
      <c r="I49" s="144"/>
      <c r="J49" s="144"/>
      <c r="K49" s="144"/>
      <c r="L49" s="144"/>
      <c r="M49" s="144"/>
      <c r="N49" s="144"/>
      <c r="O49" s="144"/>
      <c r="P49" s="144"/>
      <c r="Q49" s="145"/>
      <c r="R49" s="145"/>
      <c r="S49" s="145"/>
      <c r="T49" s="145"/>
      <c r="U49" s="145"/>
      <c r="V49" s="145"/>
      <c r="W49" s="145"/>
      <c r="X49" s="145"/>
      <c r="Y49" s="145"/>
      <c r="Z49" s="145"/>
      <c r="AA49" s="145"/>
      <c r="AB49" s="145"/>
      <c r="AC49" s="145"/>
      <c r="AD49" s="165">
        <f t="shared" si="20"/>
        <v>0</v>
      </c>
      <c r="AE49" s="593">
        <f t="shared" si="21"/>
        <v>0</v>
      </c>
      <c r="AF49" s="594"/>
      <c r="AG49" s="147"/>
      <c r="AH49" s="147"/>
      <c r="AI49" s="147"/>
      <c r="AJ49" s="147"/>
      <c r="AK49" s="147"/>
      <c r="AL49" s="147"/>
      <c r="AM49" s="147"/>
      <c r="AN49" s="147"/>
      <c r="AO49" s="147"/>
      <c r="AP49" s="147"/>
      <c r="AQ49" s="147"/>
      <c r="AS49" s="592" t="s">
        <v>295</v>
      </c>
      <c r="AT49" s="144"/>
      <c r="AU49" s="144"/>
      <c r="AV49" s="144"/>
      <c r="AW49" s="144"/>
      <c r="AX49" s="144"/>
      <c r="AY49" s="144"/>
      <c r="AZ49" s="144"/>
      <c r="BA49" s="144"/>
      <c r="BB49" s="144"/>
      <c r="BC49" s="144"/>
      <c r="BD49" s="144"/>
      <c r="BE49" s="144"/>
      <c r="BF49" s="144"/>
      <c r="BG49" s="144"/>
      <c r="BH49" s="144"/>
      <c r="BI49" s="145"/>
      <c r="BJ49" s="145"/>
      <c r="BK49" s="145"/>
      <c r="BL49" s="145"/>
      <c r="BM49" s="145"/>
      <c r="BN49" s="145"/>
      <c r="BO49" s="145"/>
      <c r="BP49" s="145"/>
      <c r="BQ49" s="145"/>
      <c r="BR49" s="145"/>
      <c r="BS49" s="145"/>
      <c r="BT49" s="145"/>
      <c r="BU49" s="165">
        <f t="shared" si="22"/>
        <v>0</v>
      </c>
      <c r="BV49" s="593">
        <f t="shared" si="23"/>
        <v>0</v>
      </c>
      <c r="BW49" s="589"/>
      <c r="BX49" s="164"/>
      <c r="BY49" s="164"/>
      <c r="BZ49" s="164"/>
      <c r="CA49" s="147"/>
      <c r="CB49" s="147"/>
      <c r="CC49" s="147"/>
      <c r="CD49" s="147"/>
      <c r="CE49" s="147"/>
      <c r="CF49" s="147"/>
      <c r="CG49" s="147"/>
      <c r="CH49" s="147"/>
    </row>
    <row r="50" spans="1:86">
      <c r="A50" s="592" t="s">
        <v>296</v>
      </c>
      <c r="B50" s="144"/>
      <c r="C50" s="144"/>
      <c r="D50" s="144"/>
      <c r="E50" s="144"/>
      <c r="F50" s="144"/>
      <c r="G50" s="144"/>
      <c r="H50" s="144"/>
      <c r="I50" s="144"/>
      <c r="J50" s="144"/>
      <c r="K50" s="144"/>
      <c r="L50" s="144"/>
      <c r="M50" s="144"/>
      <c r="N50" s="144"/>
      <c r="O50" s="144"/>
      <c r="P50" s="144"/>
      <c r="Q50" s="145"/>
      <c r="R50" s="145"/>
      <c r="S50" s="145"/>
      <c r="T50" s="145"/>
      <c r="U50" s="145"/>
      <c r="V50" s="145"/>
      <c r="W50" s="145"/>
      <c r="X50" s="145"/>
      <c r="Y50" s="145"/>
      <c r="Z50" s="145"/>
      <c r="AA50" s="145"/>
      <c r="AB50" s="145"/>
      <c r="AC50" s="145"/>
      <c r="AD50" s="165">
        <f t="shared" si="20"/>
        <v>0</v>
      </c>
      <c r="AE50" s="593">
        <f t="shared" si="21"/>
        <v>0</v>
      </c>
      <c r="AF50" s="594"/>
      <c r="AG50" s="147"/>
      <c r="AH50" s="147"/>
      <c r="AI50" s="147"/>
      <c r="AJ50" s="147"/>
      <c r="AK50" s="147"/>
      <c r="AL50" s="147"/>
      <c r="AM50" s="147"/>
      <c r="AN50" s="147"/>
      <c r="AO50" s="147"/>
      <c r="AP50" s="147"/>
      <c r="AQ50" s="147"/>
      <c r="AS50" s="592" t="s">
        <v>296</v>
      </c>
      <c r="AT50" s="144"/>
      <c r="AU50" s="144"/>
      <c r="AV50" s="144"/>
      <c r="AW50" s="144"/>
      <c r="AX50" s="144"/>
      <c r="AY50" s="144"/>
      <c r="AZ50" s="144"/>
      <c r="BA50" s="144"/>
      <c r="BB50" s="144"/>
      <c r="BC50" s="144"/>
      <c r="BD50" s="144"/>
      <c r="BE50" s="144"/>
      <c r="BF50" s="144"/>
      <c r="BG50" s="144"/>
      <c r="BH50" s="144"/>
      <c r="BI50" s="145"/>
      <c r="BJ50" s="145"/>
      <c r="BK50" s="145"/>
      <c r="BL50" s="145"/>
      <c r="BM50" s="145"/>
      <c r="BN50" s="145"/>
      <c r="BO50" s="145"/>
      <c r="BP50" s="145"/>
      <c r="BQ50" s="145"/>
      <c r="BR50" s="145"/>
      <c r="BS50" s="145"/>
      <c r="BT50" s="145"/>
      <c r="BU50" s="165">
        <f t="shared" si="22"/>
        <v>0</v>
      </c>
      <c r="BV50" s="593">
        <f t="shared" si="23"/>
        <v>0</v>
      </c>
      <c r="BW50" s="589"/>
      <c r="BX50" s="164"/>
      <c r="BY50" s="164"/>
      <c r="BZ50" s="164"/>
      <c r="CA50" s="147"/>
      <c r="CB50" s="147"/>
      <c r="CC50" s="147"/>
      <c r="CD50" s="147"/>
      <c r="CE50" s="147"/>
      <c r="CF50" s="147"/>
      <c r="CG50" s="147"/>
      <c r="CH50" s="147"/>
    </row>
    <row r="51" spans="1:86">
      <c r="A51" s="592" t="s">
        <v>297</v>
      </c>
      <c r="B51" s="144"/>
      <c r="C51" s="144"/>
      <c r="D51" s="144"/>
      <c r="E51" s="144"/>
      <c r="F51" s="144"/>
      <c r="G51" s="144"/>
      <c r="H51" s="144"/>
      <c r="I51" s="144"/>
      <c r="J51" s="144"/>
      <c r="K51" s="144"/>
      <c r="L51" s="144"/>
      <c r="M51" s="144"/>
      <c r="N51" s="144"/>
      <c r="O51" s="144"/>
      <c r="P51" s="144"/>
      <c r="Q51" s="145"/>
      <c r="R51" s="145"/>
      <c r="S51" s="145"/>
      <c r="T51" s="145"/>
      <c r="U51" s="145"/>
      <c r="V51" s="145"/>
      <c r="W51" s="145"/>
      <c r="X51" s="145"/>
      <c r="Y51" s="145"/>
      <c r="Z51" s="145"/>
      <c r="AA51" s="145"/>
      <c r="AB51" s="145"/>
      <c r="AC51" s="145"/>
      <c r="AD51" s="165">
        <f t="shared" si="20"/>
        <v>0</v>
      </c>
      <c r="AE51" s="593">
        <f t="shared" si="21"/>
        <v>0</v>
      </c>
      <c r="AF51" s="594"/>
      <c r="AG51" s="147"/>
      <c r="AH51" s="147"/>
      <c r="AI51" s="147"/>
      <c r="AJ51" s="147"/>
      <c r="AK51" s="147"/>
      <c r="AL51" s="147"/>
      <c r="AM51" s="147"/>
      <c r="AN51" s="147"/>
      <c r="AO51" s="147"/>
      <c r="AP51" s="147"/>
      <c r="AQ51" s="147"/>
      <c r="AS51" s="592" t="s">
        <v>297</v>
      </c>
      <c r="AT51" s="144"/>
      <c r="AU51" s="144"/>
      <c r="AV51" s="144"/>
      <c r="AW51" s="144"/>
      <c r="AX51" s="144"/>
      <c r="AY51" s="144"/>
      <c r="AZ51" s="144"/>
      <c r="BA51" s="144"/>
      <c r="BB51" s="144"/>
      <c r="BC51" s="144"/>
      <c r="BD51" s="144"/>
      <c r="BE51" s="144"/>
      <c r="BF51" s="144"/>
      <c r="BG51" s="144"/>
      <c r="BH51" s="144"/>
      <c r="BI51" s="145"/>
      <c r="BJ51" s="145"/>
      <c r="BK51" s="145"/>
      <c r="BL51" s="145"/>
      <c r="BM51" s="145"/>
      <c r="BN51" s="145"/>
      <c r="BO51" s="145"/>
      <c r="BP51" s="145"/>
      <c r="BQ51" s="145"/>
      <c r="BR51" s="145"/>
      <c r="BS51" s="145"/>
      <c r="BT51" s="145"/>
      <c r="BU51" s="165">
        <f t="shared" si="22"/>
        <v>0</v>
      </c>
      <c r="BV51" s="593">
        <f t="shared" si="23"/>
        <v>0</v>
      </c>
      <c r="BW51" s="589"/>
      <c r="BX51" s="164"/>
      <c r="BY51" s="164"/>
      <c r="BZ51" s="164"/>
      <c r="CA51" s="147"/>
      <c r="CB51" s="147"/>
      <c r="CC51" s="147"/>
      <c r="CD51" s="147"/>
      <c r="CE51" s="147"/>
      <c r="CF51" s="147"/>
      <c r="CG51" s="147"/>
      <c r="CH51" s="147"/>
    </row>
    <row r="52" spans="1:86">
      <c r="A52" s="592" t="s">
        <v>298</v>
      </c>
      <c r="B52" s="144"/>
      <c r="C52" s="144"/>
      <c r="D52" s="144"/>
      <c r="E52" s="144"/>
      <c r="F52" s="144"/>
      <c r="G52" s="144"/>
      <c r="H52" s="144"/>
      <c r="I52" s="144"/>
      <c r="J52" s="144"/>
      <c r="K52" s="144"/>
      <c r="L52" s="144"/>
      <c r="M52" s="144"/>
      <c r="N52" s="144"/>
      <c r="O52" s="144"/>
      <c r="P52" s="144"/>
      <c r="Q52" s="145"/>
      <c r="R52" s="145"/>
      <c r="S52" s="145"/>
      <c r="T52" s="145"/>
      <c r="U52" s="145"/>
      <c r="V52" s="145"/>
      <c r="W52" s="145"/>
      <c r="X52" s="145"/>
      <c r="Y52" s="145"/>
      <c r="Z52" s="145"/>
      <c r="AA52" s="145"/>
      <c r="AB52" s="145"/>
      <c r="AC52" s="145"/>
      <c r="AD52" s="165">
        <f t="shared" si="20"/>
        <v>0</v>
      </c>
      <c r="AE52" s="593">
        <f t="shared" si="21"/>
        <v>0</v>
      </c>
      <c r="AF52" s="594"/>
      <c r="AG52" s="147"/>
      <c r="AH52" s="147"/>
      <c r="AI52" s="147"/>
      <c r="AJ52" s="147"/>
      <c r="AK52" s="147"/>
      <c r="AL52" s="147"/>
      <c r="AM52" s="147"/>
      <c r="AN52" s="147"/>
      <c r="AO52" s="147"/>
      <c r="AP52" s="147"/>
      <c r="AQ52" s="147"/>
      <c r="AS52" s="592" t="s">
        <v>298</v>
      </c>
      <c r="AT52" s="144"/>
      <c r="AU52" s="144"/>
      <c r="AV52" s="144"/>
      <c r="AW52" s="144"/>
      <c r="AX52" s="144"/>
      <c r="AY52" s="144"/>
      <c r="AZ52" s="144"/>
      <c r="BA52" s="144"/>
      <c r="BB52" s="144"/>
      <c r="BC52" s="144"/>
      <c r="BD52" s="144"/>
      <c r="BE52" s="144"/>
      <c r="BF52" s="144"/>
      <c r="BG52" s="144"/>
      <c r="BH52" s="144"/>
      <c r="BI52" s="145"/>
      <c r="BJ52" s="145"/>
      <c r="BK52" s="145"/>
      <c r="BL52" s="145"/>
      <c r="BM52" s="145"/>
      <c r="BN52" s="145"/>
      <c r="BO52" s="145"/>
      <c r="BP52" s="145"/>
      <c r="BQ52" s="145"/>
      <c r="BR52" s="145"/>
      <c r="BS52" s="145"/>
      <c r="BT52" s="145"/>
      <c r="BU52" s="165">
        <f t="shared" si="22"/>
        <v>0</v>
      </c>
      <c r="BV52" s="593">
        <f t="shared" si="23"/>
        <v>0</v>
      </c>
      <c r="BW52" s="589"/>
      <c r="BX52" s="164"/>
      <c r="BY52" s="164"/>
      <c r="BZ52" s="164"/>
      <c r="CA52" s="147"/>
      <c r="CB52" s="147"/>
      <c r="CC52" s="147"/>
      <c r="CD52" s="147"/>
      <c r="CE52" s="147"/>
      <c r="CF52" s="147"/>
      <c r="CG52" s="147"/>
      <c r="CH52" s="147"/>
    </row>
    <row r="53" spans="1:86">
      <c r="A53" s="592" t="s">
        <v>299</v>
      </c>
      <c r="B53" s="144"/>
      <c r="C53" s="144"/>
      <c r="D53" s="144"/>
      <c r="E53" s="144"/>
      <c r="F53" s="144"/>
      <c r="G53" s="144"/>
      <c r="H53" s="144"/>
      <c r="I53" s="144"/>
      <c r="J53" s="144"/>
      <c r="K53" s="144"/>
      <c r="L53" s="144"/>
      <c r="M53" s="144"/>
      <c r="N53" s="144"/>
      <c r="O53" s="144"/>
      <c r="P53" s="144"/>
      <c r="Q53" s="145"/>
      <c r="R53" s="145"/>
      <c r="S53" s="145"/>
      <c r="T53" s="145"/>
      <c r="U53" s="145"/>
      <c r="V53" s="145"/>
      <c r="W53" s="145"/>
      <c r="X53" s="145"/>
      <c r="Y53" s="145"/>
      <c r="Z53" s="145"/>
      <c r="AA53" s="145"/>
      <c r="AB53" s="145"/>
      <c r="AC53" s="145"/>
      <c r="AD53" s="165">
        <f t="shared" si="20"/>
        <v>0</v>
      </c>
      <c r="AE53" s="593">
        <f t="shared" si="21"/>
        <v>0</v>
      </c>
      <c r="AF53" s="594"/>
      <c r="AG53" s="147"/>
      <c r="AH53" s="147"/>
      <c r="AI53" s="147"/>
      <c r="AJ53" s="147"/>
      <c r="AK53" s="147"/>
      <c r="AL53" s="147"/>
      <c r="AM53" s="147"/>
      <c r="AN53" s="147"/>
      <c r="AO53" s="147"/>
      <c r="AP53" s="147"/>
      <c r="AQ53" s="147"/>
      <c r="AS53" s="592" t="s">
        <v>299</v>
      </c>
      <c r="AT53" s="144"/>
      <c r="AU53" s="144"/>
      <c r="AV53" s="144"/>
      <c r="AW53" s="144"/>
      <c r="AX53" s="144"/>
      <c r="AY53" s="144"/>
      <c r="AZ53" s="144"/>
      <c r="BA53" s="144"/>
      <c r="BB53" s="144"/>
      <c r="BC53" s="144"/>
      <c r="BD53" s="144"/>
      <c r="BE53" s="144"/>
      <c r="BF53" s="144"/>
      <c r="BG53" s="144"/>
      <c r="BH53" s="144"/>
      <c r="BI53" s="145"/>
      <c r="BJ53" s="145"/>
      <c r="BK53" s="145"/>
      <c r="BL53" s="145"/>
      <c r="BM53" s="145"/>
      <c r="BN53" s="145"/>
      <c r="BO53" s="145"/>
      <c r="BP53" s="145"/>
      <c r="BQ53" s="145"/>
      <c r="BR53" s="145"/>
      <c r="BS53" s="145"/>
      <c r="BT53" s="145"/>
      <c r="BU53" s="165">
        <f t="shared" si="22"/>
        <v>0</v>
      </c>
      <c r="BV53" s="593">
        <f t="shared" si="23"/>
        <v>0</v>
      </c>
      <c r="BW53" s="589"/>
      <c r="BX53" s="164"/>
      <c r="BY53" s="164"/>
      <c r="BZ53" s="164"/>
      <c r="CA53" s="147"/>
      <c r="CB53" s="147"/>
      <c r="CC53" s="147"/>
      <c r="CD53" s="147"/>
      <c r="CE53" s="147"/>
      <c r="CF53" s="147"/>
      <c r="CG53" s="147"/>
      <c r="CH53" s="147"/>
    </row>
    <row r="54" spans="1:86">
      <c r="A54" s="592" t="s">
        <v>300</v>
      </c>
      <c r="B54" s="144"/>
      <c r="C54" s="144"/>
      <c r="D54" s="144"/>
      <c r="E54" s="144"/>
      <c r="F54" s="144"/>
      <c r="G54" s="144"/>
      <c r="H54" s="144"/>
      <c r="I54" s="144"/>
      <c r="J54" s="144"/>
      <c r="K54" s="144"/>
      <c r="L54" s="144"/>
      <c r="M54" s="144"/>
      <c r="N54" s="144"/>
      <c r="O54" s="144"/>
      <c r="P54" s="144"/>
      <c r="Q54" s="145"/>
      <c r="R54" s="145"/>
      <c r="S54" s="145"/>
      <c r="T54" s="145"/>
      <c r="U54" s="145"/>
      <c r="V54" s="145"/>
      <c r="W54" s="145"/>
      <c r="X54" s="145"/>
      <c r="Y54" s="145"/>
      <c r="Z54" s="145"/>
      <c r="AA54" s="145"/>
      <c r="AB54" s="145"/>
      <c r="AC54" s="145"/>
      <c r="AD54" s="165">
        <f t="shared" si="20"/>
        <v>0</v>
      </c>
      <c r="AE54" s="593">
        <f t="shared" si="21"/>
        <v>0</v>
      </c>
      <c r="AF54" s="594"/>
      <c r="AG54" s="147"/>
      <c r="AH54" s="147"/>
      <c r="AI54" s="147"/>
      <c r="AJ54" s="147"/>
      <c r="AK54" s="147"/>
      <c r="AL54" s="147"/>
      <c r="AM54" s="147"/>
      <c r="AN54" s="147"/>
      <c r="AO54" s="147"/>
      <c r="AP54" s="147"/>
      <c r="AQ54" s="147"/>
      <c r="AS54" s="592" t="s">
        <v>300</v>
      </c>
      <c r="AT54" s="144"/>
      <c r="AU54" s="144"/>
      <c r="AV54" s="144"/>
      <c r="AW54" s="144"/>
      <c r="AX54" s="144"/>
      <c r="AY54" s="144"/>
      <c r="AZ54" s="144"/>
      <c r="BA54" s="144"/>
      <c r="BB54" s="144"/>
      <c r="BC54" s="144"/>
      <c r="BD54" s="144"/>
      <c r="BE54" s="144"/>
      <c r="BF54" s="144"/>
      <c r="BG54" s="144"/>
      <c r="BH54" s="144"/>
      <c r="BI54" s="145"/>
      <c r="BJ54" s="145"/>
      <c r="BK54" s="145"/>
      <c r="BL54" s="145"/>
      <c r="BM54" s="145"/>
      <c r="BN54" s="145"/>
      <c r="BO54" s="145"/>
      <c r="BP54" s="145"/>
      <c r="BQ54" s="145"/>
      <c r="BR54" s="145"/>
      <c r="BS54" s="145"/>
      <c r="BT54" s="145"/>
      <c r="BU54" s="165">
        <f t="shared" si="22"/>
        <v>0</v>
      </c>
      <c r="BV54" s="593">
        <f t="shared" si="23"/>
        <v>0</v>
      </c>
      <c r="BW54" s="589"/>
      <c r="BX54" s="164"/>
      <c r="BY54" s="164"/>
      <c r="BZ54" s="164"/>
      <c r="CA54" s="147"/>
      <c r="CB54" s="147"/>
      <c r="CC54" s="147"/>
      <c r="CD54" s="147"/>
      <c r="CE54" s="147"/>
      <c r="CF54" s="147"/>
      <c r="CG54" s="147"/>
      <c r="CH54" s="147"/>
    </row>
    <row r="55" spans="1:86">
      <c r="A55" s="592" t="s">
        <v>301</v>
      </c>
      <c r="B55" s="144"/>
      <c r="C55" s="144"/>
      <c r="D55" s="144"/>
      <c r="E55" s="144"/>
      <c r="F55" s="144"/>
      <c r="G55" s="144"/>
      <c r="H55" s="144"/>
      <c r="I55" s="144"/>
      <c r="J55" s="144"/>
      <c r="K55" s="144"/>
      <c r="L55" s="144"/>
      <c r="M55" s="144"/>
      <c r="N55" s="144"/>
      <c r="O55" s="144"/>
      <c r="P55" s="144"/>
      <c r="Q55" s="145"/>
      <c r="R55" s="145"/>
      <c r="S55" s="145"/>
      <c r="T55" s="145"/>
      <c r="U55" s="145"/>
      <c r="V55" s="145"/>
      <c r="W55" s="145"/>
      <c r="X55" s="145"/>
      <c r="Y55" s="145"/>
      <c r="Z55" s="145"/>
      <c r="AA55" s="145"/>
      <c r="AB55" s="145"/>
      <c r="AC55" s="145"/>
      <c r="AD55" s="165">
        <f t="shared" si="20"/>
        <v>0</v>
      </c>
      <c r="AE55" s="593">
        <f t="shared" si="21"/>
        <v>0</v>
      </c>
      <c r="AF55" s="594"/>
      <c r="AG55" s="147"/>
      <c r="AH55" s="147"/>
      <c r="AI55" s="147"/>
      <c r="AJ55" s="147"/>
      <c r="AK55" s="147"/>
      <c r="AL55" s="147"/>
      <c r="AM55" s="147"/>
      <c r="AN55" s="147"/>
      <c r="AO55" s="147"/>
      <c r="AP55" s="147"/>
      <c r="AQ55" s="147"/>
      <c r="AS55" s="592" t="s">
        <v>301</v>
      </c>
      <c r="AT55" s="144"/>
      <c r="AU55" s="144"/>
      <c r="AV55" s="144"/>
      <c r="AW55" s="144"/>
      <c r="AX55" s="144"/>
      <c r="AY55" s="144"/>
      <c r="AZ55" s="144"/>
      <c r="BA55" s="144"/>
      <c r="BB55" s="144"/>
      <c r="BC55" s="144"/>
      <c r="BD55" s="144"/>
      <c r="BE55" s="144"/>
      <c r="BF55" s="144"/>
      <c r="BG55" s="144"/>
      <c r="BH55" s="144"/>
      <c r="BI55" s="145"/>
      <c r="BJ55" s="145"/>
      <c r="BK55" s="145"/>
      <c r="BL55" s="145"/>
      <c r="BM55" s="145"/>
      <c r="BN55" s="145"/>
      <c r="BO55" s="145"/>
      <c r="BP55" s="145"/>
      <c r="BQ55" s="145"/>
      <c r="BR55" s="145"/>
      <c r="BS55" s="145"/>
      <c r="BT55" s="145"/>
      <c r="BU55" s="165">
        <f t="shared" si="22"/>
        <v>0</v>
      </c>
      <c r="BV55" s="593">
        <f t="shared" si="23"/>
        <v>0</v>
      </c>
      <c r="BW55" s="589"/>
      <c r="BX55" s="164"/>
      <c r="BY55" s="164"/>
      <c r="BZ55" s="164"/>
      <c r="CA55" s="147"/>
      <c r="CB55" s="147"/>
      <c r="CC55" s="147"/>
      <c r="CD55" s="147"/>
      <c r="CE55" s="147"/>
      <c r="CF55" s="147"/>
      <c r="CG55" s="147"/>
      <c r="CH55" s="147"/>
    </row>
    <row r="56" spans="1:86">
      <c r="A56" s="592" t="s">
        <v>302</v>
      </c>
      <c r="B56" s="144"/>
      <c r="C56" s="144"/>
      <c r="D56" s="144"/>
      <c r="E56" s="144"/>
      <c r="F56" s="144"/>
      <c r="G56" s="144"/>
      <c r="H56" s="144"/>
      <c r="I56" s="144"/>
      <c r="J56" s="144"/>
      <c r="K56" s="144"/>
      <c r="L56" s="144"/>
      <c r="M56" s="144"/>
      <c r="N56" s="144"/>
      <c r="O56" s="144"/>
      <c r="P56" s="144"/>
      <c r="Q56" s="145"/>
      <c r="R56" s="145"/>
      <c r="S56" s="145"/>
      <c r="T56" s="145"/>
      <c r="U56" s="145"/>
      <c r="V56" s="145"/>
      <c r="W56" s="145"/>
      <c r="X56" s="145"/>
      <c r="Y56" s="145"/>
      <c r="Z56" s="145"/>
      <c r="AA56" s="145"/>
      <c r="AB56" s="145"/>
      <c r="AC56" s="145"/>
      <c r="AD56" s="165">
        <f t="shared" si="20"/>
        <v>0</v>
      </c>
      <c r="AE56" s="593">
        <f t="shared" si="21"/>
        <v>0</v>
      </c>
      <c r="AF56" s="594"/>
      <c r="AG56" s="147"/>
      <c r="AH56" s="147"/>
      <c r="AI56" s="147"/>
      <c r="AJ56" s="147"/>
      <c r="AK56" s="147"/>
      <c r="AL56" s="147"/>
      <c r="AM56" s="147"/>
      <c r="AN56" s="147"/>
      <c r="AO56" s="147"/>
      <c r="AP56" s="147"/>
      <c r="AQ56" s="147"/>
      <c r="AS56" s="592" t="s">
        <v>302</v>
      </c>
      <c r="AT56" s="144"/>
      <c r="AU56" s="144"/>
      <c r="AV56" s="144"/>
      <c r="AW56" s="144"/>
      <c r="AX56" s="144"/>
      <c r="AY56" s="144"/>
      <c r="AZ56" s="144"/>
      <c r="BA56" s="144"/>
      <c r="BB56" s="144"/>
      <c r="BC56" s="144"/>
      <c r="BD56" s="144"/>
      <c r="BE56" s="144"/>
      <c r="BF56" s="144"/>
      <c r="BG56" s="144"/>
      <c r="BH56" s="144"/>
      <c r="BI56" s="145"/>
      <c r="BJ56" s="145"/>
      <c r="BK56" s="145"/>
      <c r="BL56" s="145"/>
      <c r="BM56" s="145"/>
      <c r="BN56" s="145"/>
      <c r="BO56" s="145"/>
      <c r="BP56" s="145"/>
      <c r="BQ56" s="145"/>
      <c r="BR56" s="145"/>
      <c r="BS56" s="145"/>
      <c r="BT56" s="145"/>
      <c r="BU56" s="165">
        <f t="shared" si="22"/>
        <v>0</v>
      </c>
      <c r="BV56" s="593">
        <f t="shared" si="23"/>
        <v>0</v>
      </c>
      <c r="BW56" s="589"/>
      <c r="BX56" s="164"/>
      <c r="BY56" s="164"/>
      <c r="BZ56" s="164"/>
      <c r="CA56" s="147"/>
      <c r="CB56" s="147"/>
      <c r="CC56" s="147"/>
      <c r="CD56" s="147"/>
      <c r="CE56" s="147"/>
      <c r="CF56" s="147"/>
      <c r="CG56" s="147"/>
      <c r="CH56" s="147"/>
    </row>
    <row r="57" spans="1:86">
      <c r="A57" s="592" t="s">
        <v>303</v>
      </c>
      <c r="B57" s="144"/>
      <c r="C57" s="144"/>
      <c r="D57" s="144"/>
      <c r="E57" s="144"/>
      <c r="F57" s="144"/>
      <c r="G57" s="144"/>
      <c r="H57" s="144"/>
      <c r="I57" s="144"/>
      <c r="J57" s="144"/>
      <c r="K57" s="144"/>
      <c r="L57" s="144"/>
      <c r="M57" s="144"/>
      <c r="N57" s="144"/>
      <c r="O57" s="144"/>
      <c r="P57" s="144"/>
      <c r="Q57" s="145"/>
      <c r="R57" s="145"/>
      <c r="S57" s="145"/>
      <c r="T57" s="145"/>
      <c r="U57" s="145"/>
      <c r="V57" s="145"/>
      <c r="W57" s="145"/>
      <c r="X57" s="145"/>
      <c r="Y57" s="145"/>
      <c r="Z57" s="145"/>
      <c r="AA57" s="145"/>
      <c r="AB57" s="145"/>
      <c r="AC57" s="145"/>
      <c r="AD57" s="165">
        <f t="shared" si="20"/>
        <v>0</v>
      </c>
      <c r="AE57" s="593">
        <f t="shared" si="21"/>
        <v>0</v>
      </c>
      <c r="AF57" s="594"/>
      <c r="AG57" s="147"/>
      <c r="AH57" s="147"/>
      <c r="AI57" s="147"/>
      <c r="AJ57" s="147"/>
      <c r="AK57" s="147"/>
      <c r="AL57" s="147"/>
      <c r="AM57" s="147"/>
      <c r="AN57" s="147"/>
      <c r="AO57" s="147"/>
      <c r="AP57" s="147"/>
      <c r="AQ57" s="147"/>
      <c r="AS57" s="592" t="s">
        <v>303</v>
      </c>
      <c r="AT57" s="144"/>
      <c r="AU57" s="144"/>
      <c r="AV57" s="144"/>
      <c r="AW57" s="144"/>
      <c r="AX57" s="144"/>
      <c r="AY57" s="144"/>
      <c r="AZ57" s="144"/>
      <c r="BA57" s="144"/>
      <c r="BB57" s="144"/>
      <c r="BC57" s="144"/>
      <c r="BD57" s="144"/>
      <c r="BE57" s="144"/>
      <c r="BF57" s="144"/>
      <c r="BG57" s="144"/>
      <c r="BH57" s="144"/>
      <c r="BI57" s="145"/>
      <c r="BJ57" s="145"/>
      <c r="BK57" s="145"/>
      <c r="BL57" s="145"/>
      <c r="BM57" s="145"/>
      <c r="BN57" s="145"/>
      <c r="BO57" s="145"/>
      <c r="BP57" s="145"/>
      <c r="BQ57" s="145"/>
      <c r="BR57" s="145"/>
      <c r="BS57" s="145"/>
      <c r="BT57" s="145"/>
      <c r="BU57" s="165">
        <f t="shared" si="22"/>
        <v>0</v>
      </c>
      <c r="BV57" s="593">
        <f t="shared" si="23"/>
        <v>0</v>
      </c>
      <c r="BW57" s="589"/>
      <c r="BX57" s="164"/>
      <c r="BY57" s="164"/>
      <c r="BZ57" s="164"/>
      <c r="CA57" s="147"/>
      <c r="CB57" s="147"/>
      <c r="CC57" s="147"/>
      <c r="CD57" s="147"/>
      <c r="CE57" s="147"/>
      <c r="CF57" s="147"/>
      <c r="CG57" s="147"/>
      <c r="CH57" s="147"/>
    </row>
    <row r="58" spans="1:86">
      <c r="A58" s="592" t="s">
        <v>304</v>
      </c>
      <c r="B58" s="144"/>
      <c r="C58" s="144"/>
      <c r="D58" s="144"/>
      <c r="E58" s="144"/>
      <c r="F58" s="144"/>
      <c r="G58" s="144"/>
      <c r="H58" s="144"/>
      <c r="I58" s="144"/>
      <c r="J58" s="144"/>
      <c r="K58" s="144"/>
      <c r="L58" s="144"/>
      <c r="M58" s="144"/>
      <c r="N58" s="144"/>
      <c r="O58" s="144"/>
      <c r="P58" s="144"/>
      <c r="Q58" s="145"/>
      <c r="R58" s="145"/>
      <c r="S58" s="145"/>
      <c r="T58" s="145"/>
      <c r="U58" s="145"/>
      <c r="V58" s="145"/>
      <c r="W58" s="145"/>
      <c r="X58" s="145"/>
      <c r="Y58" s="145"/>
      <c r="Z58" s="145"/>
      <c r="AA58" s="145"/>
      <c r="AB58" s="145"/>
      <c r="AC58" s="145"/>
      <c r="AD58" s="165">
        <f t="shared" si="20"/>
        <v>0</v>
      </c>
      <c r="AE58" s="593">
        <f t="shared" si="21"/>
        <v>0</v>
      </c>
      <c r="AF58" s="594"/>
      <c r="AG58" s="147"/>
      <c r="AH58" s="147"/>
      <c r="AI58" s="147"/>
      <c r="AJ58" s="147"/>
      <c r="AK58" s="147"/>
      <c r="AL58" s="147"/>
      <c r="AM58" s="147"/>
      <c r="AN58" s="147"/>
      <c r="AO58" s="147"/>
      <c r="AP58" s="147"/>
      <c r="AQ58" s="147"/>
      <c r="AS58" s="592" t="s">
        <v>304</v>
      </c>
      <c r="AT58" s="144"/>
      <c r="AU58" s="144"/>
      <c r="AV58" s="144"/>
      <c r="AW58" s="144"/>
      <c r="AX58" s="144"/>
      <c r="AY58" s="144"/>
      <c r="AZ58" s="144"/>
      <c r="BA58" s="144"/>
      <c r="BB58" s="144"/>
      <c r="BC58" s="144"/>
      <c r="BD58" s="144"/>
      <c r="BE58" s="144"/>
      <c r="BF58" s="144"/>
      <c r="BG58" s="144"/>
      <c r="BH58" s="144"/>
      <c r="BI58" s="145"/>
      <c r="BJ58" s="145"/>
      <c r="BK58" s="145"/>
      <c r="BL58" s="145"/>
      <c r="BM58" s="145"/>
      <c r="BN58" s="145"/>
      <c r="BO58" s="145"/>
      <c r="BP58" s="145"/>
      <c r="BQ58" s="145"/>
      <c r="BR58" s="145"/>
      <c r="BS58" s="145"/>
      <c r="BT58" s="145"/>
      <c r="BU58" s="165">
        <f t="shared" si="22"/>
        <v>0</v>
      </c>
      <c r="BV58" s="593">
        <f t="shared" si="23"/>
        <v>0</v>
      </c>
      <c r="BW58" s="589"/>
      <c r="BX58" s="164"/>
      <c r="BY58" s="164"/>
      <c r="BZ58" s="164"/>
      <c r="CA58" s="147"/>
      <c r="CB58" s="147"/>
      <c r="CC58" s="147"/>
      <c r="CD58" s="147"/>
      <c r="CE58" s="147"/>
      <c r="CF58" s="147"/>
      <c r="CG58" s="147"/>
      <c r="CH58" s="147"/>
    </row>
    <row r="59" spans="1:86">
      <c r="A59" s="592" t="s">
        <v>305</v>
      </c>
      <c r="B59" s="144"/>
      <c r="C59" s="144"/>
      <c r="D59" s="144"/>
      <c r="E59" s="144"/>
      <c r="F59" s="144"/>
      <c r="G59" s="144"/>
      <c r="H59" s="144"/>
      <c r="I59" s="144"/>
      <c r="J59" s="144"/>
      <c r="K59" s="144"/>
      <c r="L59" s="144"/>
      <c r="M59" s="144"/>
      <c r="N59" s="144"/>
      <c r="O59" s="144"/>
      <c r="P59" s="144"/>
      <c r="Q59" s="145"/>
      <c r="R59" s="145"/>
      <c r="S59" s="145"/>
      <c r="T59" s="145"/>
      <c r="U59" s="145"/>
      <c r="V59" s="145"/>
      <c r="W59" s="145"/>
      <c r="X59" s="145"/>
      <c r="Y59" s="145"/>
      <c r="Z59" s="145"/>
      <c r="AA59" s="145"/>
      <c r="AB59" s="145"/>
      <c r="AC59" s="145"/>
      <c r="AD59" s="165">
        <f t="shared" si="20"/>
        <v>0</v>
      </c>
      <c r="AE59" s="593">
        <f t="shared" si="21"/>
        <v>0</v>
      </c>
      <c r="AF59" s="594"/>
      <c r="AG59" s="147"/>
      <c r="AH59" s="147"/>
      <c r="AI59" s="147"/>
      <c r="AJ59" s="147"/>
      <c r="AK59" s="147"/>
      <c r="AL59" s="147"/>
      <c r="AM59" s="147"/>
      <c r="AN59" s="147"/>
      <c r="AO59" s="147"/>
      <c r="AP59" s="147"/>
      <c r="AQ59" s="147"/>
      <c r="AS59" s="592" t="s">
        <v>305</v>
      </c>
      <c r="AT59" s="144"/>
      <c r="AU59" s="144"/>
      <c r="AV59" s="144"/>
      <c r="AW59" s="144"/>
      <c r="AX59" s="144"/>
      <c r="AY59" s="144"/>
      <c r="AZ59" s="144"/>
      <c r="BA59" s="144"/>
      <c r="BB59" s="144"/>
      <c r="BC59" s="144"/>
      <c r="BD59" s="144"/>
      <c r="BE59" s="144"/>
      <c r="BF59" s="144"/>
      <c r="BG59" s="144"/>
      <c r="BH59" s="144"/>
      <c r="BI59" s="145"/>
      <c r="BJ59" s="145"/>
      <c r="BK59" s="145"/>
      <c r="BL59" s="145"/>
      <c r="BM59" s="145"/>
      <c r="BN59" s="145"/>
      <c r="BO59" s="145"/>
      <c r="BP59" s="145"/>
      <c r="BQ59" s="145"/>
      <c r="BR59" s="145"/>
      <c r="BS59" s="145"/>
      <c r="BT59" s="145"/>
      <c r="BU59" s="165">
        <f t="shared" si="22"/>
        <v>0</v>
      </c>
      <c r="BV59" s="593">
        <f t="shared" si="23"/>
        <v>0</v>
      </c>
      <c r="BW59" s="589"/>
      <c r="BX59" s="164"/>
      <c r="BY59" s="164"/>
      <c r="BZ59" s="164"/>
      <c r="CA59" s="147"/>
      <c r="CB59" s="147"/>
      <c r="CC59" s="147"/>
      <c r="CD59" s="147"/>
      <c r="CE59" s="147"/>
      <c r="CF59" s="147"/>
      <c r="CG59" s="147"/>
      <c r="CH59" s="147"/>
    </row>
    <row r="60" spans="1:86" ht="15.75" thickBot="1">
      <c r="A60" s="596" t="s">
        <v>306</v>
      </c>
      <c r="B60" s="597"/>
      <c r="C60" s="597"/>
      <c r="D60" s="597"/>
      <c r="E60" s="597"/>
      <c r="F60" s="597"/>
      <c r="G60" s="597"/>
      <c r="H60" s="597"/>
      <c r="I60" s="597"/>
      <c r="J60" s="597"/>
      <c r="K60" s="597"/>
      <c r="L60" s="597"/>
      <c r="M60" s="597"/>
      <c r="N60" s="597"/>
      <c r="O60" s="597"/>
      <c r="P60" s="597"/>
      <c r="Q60" s="598"/>
      <c r="R60" s="598"/>
      <c r="S60" s="598"/>
      <c r="T60" s="598"/>
      <c r="U60" s="598"/>
      <c r="V60" s="598"/>
      <c r="W60" s="598"/>
      <c r="X60" s="598"/>
      <c r="Y60" s="598"/>
      <c r="Z60" s="598"/>
      <c r="AA60" s="598"/>
      <c r="AB60" s="598"/>
      <c r="AC60" s="598"/>
      <c r="AD60" s="599">
        <f t="shared" si="20"/>
        <v>0</v>
      </c>
      <c r="AE60" s="603">
        <f t="shared" si="21"/>
        <v>0</v>
      </c>
      <c r="AF60" s="594"/>
      <c r="AG60" s="147"/>
      <c r="AH60" s="147"/>
      <c r="AI60" s="147"/>
      <c r="AJ60" s="147"/>
      <c r="AK60" s="147"/>
      <c r="AL60" s="147"/>
      <c r="AM60" s="147"/>
      <c r="AN60" s="147"/>
      <c r="AO60" s="147"/>
      <c r="AP60" s="147"/>
      <c r="AQ60" s="147"/>
      <c r="AS60" s="596" t="s">
        <v>306</v>
      </c>
      <c r="AT60" s="597"/>
      <c r="AU60" s="597"/>
      <c r="AV60" s="597"/>
      <c r="AW60" s="597"/>
      <c r="AX60" s="597"/>
      <c r="AY60" s="597"/>
      <c r="AZ60" s="597"/>
      <c r="BA60" s="597"/>
      <c r="BB60" s="597"/>
      <c r="BC60" s="597"/>
      <c r="BD60" s="597"/>
      <c r="BE60" s="597"/>
      <c r="BF60" s="597"/>
      <c r="BG60" s="597"/>
      <c r="BH60" s="597"/>
      <c r="BI60" s="598"/>
      <c r="BJ60" s="598"/>
      <c r="BK60" s="598"/>
      <c r="BL60" s="598"/>
      <c r="BM60" s="598"/>
      <c r="BN60" s="598"/>
      <c r="BO60" s="598"/>
      <c r="BP60" s="598"/>
      <c r="BQ60" s="598"/>
      <c r="BR60" s="598"/>
      <c r="BS60" s="598"/>
      <c r="BT60" s="598"/>
      <c r="BU60" s="599">
        <f t="shared" si="22"/>
        <v>0</v>
      </c>
      <c r="BV60" s="603">
        <f t="shared" si="23"/>
        <v>0</v>
      </c>
      <c r="BW60" s="589"/>
      <c r="BX60" s="164"/>
      <c r="BY60" s="164"/>
      <c r="BZ60" s="164"/>
      <c r="CA60" s="147"/>
      <c r="CB60" s="147"/>
      <c r="CC60" s="147"/>
      <c r="CD60" s="147"/>
      <c r="CE60" s="147"/>
      <c r="CF60" s="147"/>
      <c r="CG60" s="147"/>
      <c r="CH60" s="147"/>
    </row>
    <row r="61" spans="1:86" ht="15.75" thickBot="1">
      <c r="A61" s="600" t="s">
        <v>307</v>
      </c>
      <c r="B61" s="601">
        <f t="shared" ref="B61:AQ61" si="24">SUM(B40:B60)</f>
        <v>0</v>
      </c>
      <c r="C61" s="602">
        <f>SUM(C40:C60)</f>
        <v>20050667</v>
      </c>
      <c r="D61" s="601">
        <f t="shared" si="24"/>
        <v>0</v>
      </c>
      <c r="E61" s="602">
        <f>SUM(E40:E60)</f>
        <v>54590000</v>
      </c>
      <c r="F61" s="601">
        <f t="shared" si="24"/>
        <v>1.0400000000000003E-2</v>
      </c>
      <c r="G61" s="601"/>
      <c r="H61" s="602">
        <f>SUM(H40:H60)</f>
        <v>54590000</v>
      </c>
      <c r="I61" s="601">
        <f t="shared" si="24"/>
        <v>2.0000000000000004E-2</v>
      </c>
      <c r="J61" s="602">
        <f>SUM(J40:J60)</f>
        <v>54590000</v>
      </c>
      <c r="K61" s="601">
        <f t="shared" si="24"/>
        <v>2.0000000000000004E-2</v>
      </c>
      <c r="L61" s="602">
        <f>SUM(L40:L60)</f>
        <v>54590000</v>
      </c>
      <c r="M61" s="601">
        <f t="shared" si="24"/>
        <v>2.0000000000000004E-2</v>
      </c>
      <c r="N61" s="601"/>
      <c r="O61" s="602">
        <f>SUM(O40:O60)</f>
        <v>54590000</v>
      </c>
      <c r="P61" s="601">
        <f t="shared" si="24"/>
        <v>2.0000000000000004E-2</v>
      </c>
      <c r="Q61" s="602">
        <f>SUM(Q40:Q60)</f>
        <v>54590000</v>
      </c>
      <c r="R61" s="601">
        <f t="shared" si="24"/>
        <v>2.0000000000000004E-2</v>
      </c>
      <c r="S61" s="602">
        <f>SUM(S40:S60)</f>
        <v>54590000</v>
      </c>
      <c r="T61" s="601">
        <f t="shared" si="24"/>
        <v>2.0000000000000004E-2</v>
      </c>
      <c r="U61" s="601"/>
      <c r="V61" s="602">
        <f>SUM(V40:V60)</f>
        <v>54590000</v>
      </c>
      <c r="W61" s="601">
        <f t="shared" si="24"/>
        <v>2.0000000000000004E-2</v>
      </c>
      <c r="X61" s="602">
        <f>SUM(X40:X60)</f>
        <v>54590000</v>
      </c>
      <c r="Y61" s="601">
        <f t="shared" si="24"/>
        <v>2.0000000000000004E-2</v>
      </c>
      <c r="Z61" s="602">
        <f>SUM(Z40:Z60)</f>
        <v>54590000</v>
      </c>
      <c r="AA61" s="601">
        <f t="shared" si="24"/>
        <v>2.0000000000000004E-2</v>
      </c>
      <c r="AB61" s="601"/>
      <c r="AC61" s="602">
        <f>SUM(AC40:AC60)</f>
        <v>34539333</v>
      </c>
      <c r="AD61" s="606">
        <f t="shared" si="24"/>
        <v>0.19040000000000007</v>
      </c>
      <c r="AE61" s="607">
        <f t="shared" si="24"/>
        <v>600490000</v>
      </c>
      <c r="AF61" s="590">
        <f t="shared" si="24"/>
        <v>0</v>
      </c>
      <c r="AG61" s="146">
        <f t="shared" si="24"/>
        <v>0</v>
      </c>
      <c r="AH61" s="146">
        <f t="shared" si="24"/>
        <v>0</v>
      </c>
      <c r="AI61" s="146">
        <f t="shared" si="24"/>
        <v>0</v>
      </c>
      <c r="AJ61" s="146">
        <f t="shared" si="24"/>
        <v>0</v>
      </c>
      <c r="AK61" s="146">
        <f t="shared" si="24"/>
        <v>0</v>
      </c>
      <c r="AL61" s="146">
        <f t="shared" si="24"/>
        <v>0</v>
      </c>
      <c r="AM61" s="146">
        <f t="shared" si="24"/>
        <v>0</v>
      </c>
      <c r="AN61" s="146">
        <f t="shared" si="24"/>
        <v>0</v>
      </c>
      <c r="AO61" s="146">
        <f t="shared" si="24"/>
        <v>0</v>
      </c>
      <c r="AP61" s="146">
        <f t="shared" si="24"/>
        <v>0</v>
      </c>
      <c r="AQ61" s="146">
        <f t="shared" si="24"/>
        <v>0</v>
      </c>
      <c r="AS61" s="600" t="s">
        <v>307</v>
      </c>
      <c r="AT61" s="601">
        <f t="shared" ref="AT61:BH61" si="25">SUM(AT40:AT60)</f>
        <v>0</v>
      </c>
      <c r="AU61" s="601">
        <f t="shared" si="25"/>
        <v>0</v>
      </c>
      <c r="AV61" s="601">
        <f t="shared" si="25"/>
        <v>1.0480000000000003E-2</v>
      </c>
      <c r="AW61" s="602">
        <f t="shared" si="25"/>
        <v>19535667</v>
      </c>
      <c r="AX61" s="601">
        <f t="shared" si="25"/>
        <v>1.9440000000000006E-2</v>
      </c>
      <c r="AY61" s="601"/>
      <c r="AZ61" s="602">
        <f t="shared" si="25"/>
        <v>54590000</v>
      </c>
      <c r="BA61" s="629">
        <f>SUM(BA40:BA60)</f>
        <v>1.7280000000000007E-2</v>
      </c>
      <c r="BB61" s="602">
        <f t="shared" si="25"/>
        <v>54590000</v>
      </c>
      <c r="BC61" s="601">
        <f t="shared" si="25"/>
        <v>2.0000000000000004E-2</v>
      </c>
      <c r="BD61" s="602">
        <f t="shared" si="25"/>
        <v>49440000</v>
      </c>
      <c r="BE61" s="601">
        <f t="shared" si="25"/>
        <v>2.1600000000000008E-2</v>
      </c>
      <c r="BF61" s="602">
        <f t="shared" si="25"/>
        <v>5.8880000000000016E-2</v>
      </c>
      <c r="BG61" s="601">
        <f>SUM(BG40:BG60)</f>
        <v>49440000</v>
      </c>
      <c r="BH61" s="709">
        <f t="shared" si="25"/>
        <v>1.9440000000000006E-2</v>
      </c>
      <c r="BI61" s="601">
        <f>SUM(BI40:BI60)</f>
        <v>49440000</v>
      </c>
      <c r="BJ61" s="601">
        <f t="shared" ref="BJ61:CH61" si="26">SUM(BJ40:BJ60)</f>
        <v>2.0000000000000004E-2</v>
      </c>
      <c r="BK61" s="601">
        <f t="shared" si="26"/>
        <v>49440000</v>
      </c>
      <c r="BL61" s="601">
        <f t="shared" si="26"/>
        <v>2.1120000000000007E-2</v>
      </c>
      <c r="BM61" s="601"/>
      <c r="BN61" s="601">
        <f t="shared" si="26"/>
        <v>54590000</v>
      </c>
      <c r="BO61" s="601">
        <f t="shared" si="26"/>
        <v>0</v>
      </c>
      <c r="BP61" s="601">
        <f t="shared" si="26"/>
        <v>0</v>
      </c>
      <c r="BQ61" s="601">
        <f t="shared" si="26"/>
        <v>0</v>
      </c>
      <c r="BR61" s="601">
        <f t="shared" si="26"/>
        <v>0</v>
      </c>
      <c r="BS61" s="601">
        <f t="shared" si="26"/>
        <v>0</v>
      </c>
      <c r="BT61" s="601">
        <f t="shared" si="26"/>
        <v>0</v>
      </c>
      <c r="BU61" s="604">
        <f t="shared" si="26"/>
        <v>0.14936000000000002</v>
      </c>
      <c r="BV61" s="605">
        <f t="shared" si="26"/>
        <v>381065667</v>
      </c>
      <c r="BW61" s="590">
        <f t="shared" si="26"/>
        <v>0</v>
      </c>
      <c r="BX61" s="146">
        <f t="shared" si="26"/>
        <v>0</v>
      </c>
      <c r="BY61" s="146">
        <f t="shared" si="26"/>
        <v>0</v>
      </c>
      <c r="BZ61" s="146">
        <f t="shared" si="26"/>
        <v>0</v>
      </c>
      <c r="CA61" s="146">
        <f t="shared" si="26"/>
        <v>0</v>
      </c>
      <c r="CB61" s="146">
        <f t="shared" si="26"/>
        <v>0</v>
      </c>
      <c r="CC61" s="146">
        <f>SUM(CC40:CC60)</f>
        <v>0</v>
      </c>
      <c r="CD61" s="146">
        <f t="shared" si="26"/>
        <v>0</v>
      </c>
      <c r="CE61" s="146">
        <f t="shared" si="26"/>
        <v>0</v>
      </c>
      <c r="CF61" s="146">
        <f t="shared" si="26"/>
        <v>0</v>
      </c>
      <c r="CG61" s="146">
        <f t="shared" si="26"/>
        <v>0</v>
      </c>
      <c r="CH61" s="146">
        <f t="shared" si="26"/>
        <v>0</v>
      </c>
    </row>
    <row r="66" spans="1:45">
      <c r="D66" s="267"/>
      <c r="F66" s="267"/>
      <c r="G66" s="267"/>
      <c r="H66" s="267"/>
      <c r="I66" s="267"/>
      <c r="J66" s="267"/>
      <c r="K66" s="267"/>
      <c r="L66" s="267"/>
      <c r="M66" s="267"/>
      <c r="N66" s="267"/>
      <c r="O66" s="267"/>
      <c r="P66" s="267"/>
      <c r="Q66" s="267"/>
      <c r="R66" s="267"/>
      <c r="S66" s="267"/>
      <c r="T66" s="267"/>
      <c r="U66" s="267"/>
      <c r="V66" s="267"/>
      <c r="W66" s="267"/>
      <c r="X66" s="267"/>
      <c r="AS66" s="425">
        <v>1351177000</v>
      </c>
    </row>
    <row r="67" spans="1:45">
      <c r="AS67" s="108">
        <v>182216361</v>
      </c>
    </row>
    <row r="68" spans="1:45">
      <c r="AS68" s="425">
        <f>AS66-AS67</f>
        <v>1168960639</v>
      </c>
    </row>
    <row r="69" spans="1:45">
      <c r="E69" s="369"/>
      <c r="F69" s="369"/>
      <c r="G69" s="369"/>
      <c r="H69" s="369"/>
      <c r="I69" s="369"/>
      <c r="J69" s="369"/>
      <c r="K69" s="369"/>
      <c r="L69" s="369"/>
      <c r="M69" s="369"/>
      <c r="N69" s="369"/>
      <c r="O69" s="369"/>
      <c r="P69" s="369"/>
      <c r="Q69" s="369"/>
      <c r="R69" s="369"/>
      <c r="S69" s="369"/>
      <c r="T69" s="369"/>
      <c r="U69" s="369"/>
      <c r="V69" s="369"/>
      <c r="W69" s="369"/>
      <c r="X69" s="369"/>
      <c r="Y69" s="369"/>
      <c r="Z69" s="369"/>
      <c r="AA69" s="369"/>
    </row>
    <row r="79" spans="1:45">
      <c r="A79" s="465" t="s">
        <v>312</v>
      </c>
      <c r="B79" s="465" t="s">
        <v>313</v>
      </c>
      <c r="C79" s="465" t="s">
        <v>314</v>
      </c>
    </row>
    <row r="80" spans="1:45" ht="60">
      <c r="A80" s="462">
        <v>33990000</v>
      </c>
      <c r="B80" s="305" t="s">
        <v>315</v>
      </c>
      <c r="C80" s="463">
        <v>4429000</v>
      </c>
    </row>
    <row r="81" spans="1:3" ht="45">
      <c r="A81" s="462">
        <v>56650000</v>
      </c>
      <c r="B81" s="305" t="s">
        <v>316</v>
      </c>
      <c r="C81" s="463">
        <v>7381667</v>
      </c>
    </row>
    <row r="82" spans="1:3" ht="45">
      <c r="A82" s="462">
        <v>56650000</v>
      </c>
      <c r="B82" s="305" t="s">
        <v>317</v>
      </c>
      <c r="C82" s="463">
        <v>7038333</v>
      </c>
    </row>
    <row r="83" spans="1:3" ht="60">
      <c r="A83" s="462">
        <v>56650000</v>
      </c>
      <c r="B83" s="305" t="s">
        <v>318</v>
      </c>
      <c r="C83" s="463">
        <v>6866667</v>
      </c>
    </row>
    <row r="84" spans="1:3" ht="60">
      <c r="A84" s="462">
        <v>56650000</v>
      </c>
      <c r="B84" s="305" t="s">
        <v>319</v>
      </c>
      <c r="C84" s="463">
        <v>7381667</v>
      </c>
    </row>
    <row r="85" spans="1:3" ht="60">
      <c r="A85" s="462">
        <v>56650000</v>
      </c>
      <c r="B85" s="305" t="s">
        <v>320</v>
      </c>
      <c r="C85" s="463">
        <v>8068333</v>
      </c>
    </row>
    <row r="86" spans="1:3" ht="45">
      <c r="A86" s="462">
        <v>56650000</v>
      </c>
      <c r="B86" s="305" t="s">
        <v>321</v>
      </c>
      <c r="C86" s="463">
        <v>6351667</v>
      </c>
    </row>
    <row r="87" spans="1:3" ht="60">
      <c r="A87" s="462">
        <v>56650000</v>
      </c>
      <c r="B87" s="305" t="s">
        <v>322</v>
      </c>
      <c r="C87" s="463">
        <v>7038333</v>
      </c>
    </row>
    <row r="88" spans="1:3" ht="45">
      <c r="A88" s="462">
        <v>56650000</v>
      </c>
      <c r="B88" s="305" t="s">
        <v>323</v>
      </c>
      <c r="C88" s="463">
        <v>7210000</v>
      </c>
    </row>
    <row r="89" spans="1:3" ht="60">
      <c r="A89" s="462">
        <v>56650000</v>
      </c>
      <c r="B89" s="305" t="s">
        <v>324</v>
      </c>
      <c r="C89" s="463">
        <v>5150000</v>
      </c>
    </row>
    <row r="90" spans="1:3" ht="45">
      <c r="A90" s="462">
        <v>56650000</v>
      </c>
      <c r="B90" s="305" t="s">
        <v>325</v>
      </c>
      <c r="C90" s="463">
        <v>7210000</v>
      </c>
    </row>
    <row r="91" spans="1:3">
      <c r="A91" s="464">
        <f>SUM(A80:A90)</f>
        <v>600490000</v>
      </c>
    </row>
    <row r="92" spans="1:3">
      <c r="A92" s="464"/>
      <c r="C92" s="464"/>
    </row>
    <row r="93" spans="1:3">
      <c r="A93" s="1137" t="s">
        <v>326</v>
      </c>
      <c r="B93" s="1137"/>
      <c r="C93" s="464">
        <f>SUM(C80:C90)</f>
        <v>74125667</v>
      </c>
    </row>
    <row r="94" spans="1:3">
      <c r="B94" s="108" t="s">
        <v>327</v>
      </c>
      <c r="C94" s="464">
        <v>19535667</v>
      </c>
    </row>
    <row r="95" spans="1:3">
      <c r="B95" s="108" t="s">
        <v>328</v>
      </c>
      <c r="C95" s="464">
        <f>C93-C94</f>
        <v>54590000</v>
      </c>
    </row>
    <row r="97" spans="1:4">
      <c r="A97" s="1137" t="s">
        <v>329</v>
      </c>
      <c r="B97" s="1137"/>
      <c r="C97" s="464">
        <v>128715667</v>
      </c>
    </row>
    <row r="98" spans="1:4">
      <c r="A98" s="1138" t="s">
        <v>327</v>
      </c>
      <c r="B98" s="1138"/>
      <c r="C98" s="464">
        <v>19535667</v>
      </c>
    </row>
    <row r="99" spans="1:4">
      <c r="A99" s="1138" t="s">
        <v>328</v>
      </c>
      <c r="B99" s="1138"/>
      <c r="C99" s="464">
        <v>54590000</v>
      </c>
    </row>
    <row r="100" spans="1:4">
      <c r="A100" s="1138" t="s">
        <v>330</v>
      </c>
      <c r="B100" s="1138"/>
      <c r="C100" s="464">
        <f>C97-C98-C99</f>
        <v>54590000</v>
      </c>
    </row>
    <row r="102" spans="1:4">
      <c r="A102" s="1137" t="s">
        <v>331</v>
      </c>
      <c r="B102" s="1137"/>
      <c r="C102" s="464">
        <v>178155667</v>
      </c>
    </row>
    <row r="103" spans="1:4">
      <c r="A103" s="1138" t="s">
        <v>327</v>
      </c>
      <c r="B103" s="1138"/>
      <c r="C103" s="464">
        <v>19535667</v>
      </c>
    </row>
    <row r="104" spans="1:4">
      <c r="A104" s="1138" t="s">
        <v>328</v>
      </c>
      <c r="B104" s="1138"/>
      <c r="C104" s="464">
        <v>54590000</v>
      </c>
    </row>
    <row r="105" spans="1:4">
      <c r="A105" s="1138" t="s">
        <v>330</v>
      </c>
      <c r="B105" s="1138"/>
      <c r="C105" s="464">
        <v>54590000</v>
      </c>
    </row>
    <row r="106" spans="1:4">
      <c r="A106" s="1138" t="s">
        <v>332</v>
      </c>
      <c r="B106" s="1138"/>
      <c r="C106" s="464">
        <f>C102-C103-C104-C105</f>
        <v>49440000</v>
      </c>
      <c r="D106" s="464"/>
    </row>
    <row r="107" spans="1:4">
      <c r="A107" s="1138"/>
      <c r="B107" s="1138"/>
      <c r="C107" s="464"/>
    </row>
    <row r="108" spans="1:4">
      <c r="A108" s="1137" t="s">
        <v>333</v>
      </c>
      <c r="B108" s="1137"/>
      <c r="C108" s="464">
        <v>227595667</v>
      </c>
    </row>
    <row r="109" spans="1:4">
      <c r="A109" s="1138" t="s">
        <v>327</v>
      </c>
      <c r="B109" s="1138"/>
      <c r="C109" s="464">
        <v>19535667</v>
      </c>
    </row>
    <row r="110" spans="1:4">
      <c r="A110" s="1138" t="s">
        <v>328</v>
      </c>
      <c r="B110" s="1138"/>
      <c r="C110" s="464">
        <v>54590000</v>
      </c>
    </row>
    <row r="111" spans="1:4">
      <c r="A111" s="1138" t="s">
        <v>330</v>
      </c>
      <c r="B111" s="1138"/>
      <c r="C111" s="464">
        <v>54590000</v>
      </c>
    </row>
    <row r="112" spans="1:4">
      <c r="A112" s="1138" t="s">
        <v>332</v>
      </c>
      <c r="B112" s="1138"/>
      <c r="C112" s="464">
        <v>49440000</v>
      </c>
    </row>
    <row r="113" spans="1:5">
      <c r="A113" s="1138" t="s">
        <v>334</v>
      </c>
      <c r="B113" s="1138"/>
      <c r="C113" s="464">
        <f>C108-C109-C110-C111-C112</f>
        <v>49440000</v>
      </c>
    </row>
    <row r="116" spans="1:5">
      <c r="A116" s="1137" t="s">
        <v>335</v>
      </c>
      <c r="B116" s="1137"/>
      <c r="C116" s="662">
        <v>277035667</v>
      </c>
    </row>
    <row r="117" spans="1:5">
      <c r="A117" s="1138" t="s">
        <v>327</v>
      </c>
      <c r="B117" s="1138"/>
      <c r="C117" s="464">
        <v>19535667</v>
      </c>
      <c r="E117" s="464"/>
    </row>
    <row r="118" spans="1:5">
      <c r="A118" s="1138" t="s">
        <v>328</v>
      </c>
      <c r="B118" s="1138"/>
      <c r="C118" s="464">
        <v>54590000</v>
      </c>
    </row>
    <row r="119" spans="1:5">
      <c r="A119" s="1138" t="s">
        <v>330</v>
      </c>
      <c r="B119" s="1138"/>
      <c r="C119" s="464">
        <v>54590000</v>
      </c>
    </row>
    <row r="120" spans="1:5">
      <c r="A120" s="1138" t="s">
        <v>332</v>
      </c>
      <c r="B120" s="1138"/>
      <c r="C120" s="464">
        <v>49440000</v>
      </c>
    </row>
    <row r="121" spans="1:5">
      <c r="A121" s="1138" t="s">
        <v>334</v>
      </c>
      <c r="B121" s="1138"/>
      <c r="C121" s="464">
        <v>49440000</v>
      </c>
    </row>
    <row r="122" spans="1:5" ht="14.1" customHeight="1">
      <c r="A122" s="1138" t="s">
        <v>336</v>
      </c>
      <c r="B122" s="1138"/>
      <c r="C122" s="464">
        <f>C116-C117-C118-C119-C120-C121</f>
        <v>49440000</v>
      </c>
    </row>
    <row r="125" spans="1:5">
      <c r="A125" s="1137" t="s">
        <v>337</v>
      </c>
      <c r="B125" s="1137"/>
      <c r="C125" s="662">
        <v>326475667</v>
      </c>
    </row>
    <row r="126" spans="1:5">
      <c r="A126" s="1138" t="s">
        <v>327</v>
      </c>
      <c r="B126" s="1138"/>
      <c r="C126" s="464">
        <v>19535667</v>
      </c>
    </row>
    <row r="127" spans="1:5">
      <c r="A127" s="1138" t="s">
        <v>328</v>
      </c>
      <c r="B127" s="1138"/>
      <c r="C127" s="464">
        <v>54590000</v>
      </c>
    </row>
    <row r="128" spans="1:5">
      <c r="A128" s="1138" t="s">
        <v>330</v>
      </c>
      <c r="B128" s="1138"/>
      <c r="C128" s="464">
        <v>54590000</v>
      </c>
    </row>
    <row r="129" spans="1:3">
      <c r="A129" s="1138" t="s">
        <v>332</v>
      </c>
      <c r="B129" s="1138"/>
      <c r="C129" s="464">
        <v>49440000</v>
      </c>
    </row>
    <row r="130" spans="1:3">
      <c r="A130" s="1138" t="s">
        <v>334</v>
      </c>
      <c r="B130" s="1138"/>
      <c r="C130" s="464">
        <v>49440000</v>
      </c>
    </row>
    <row r="131" spans="1:3">
      <c r="A131" s="1138" t="s">
        <v>336</v>
      </c>
      <c r="B131" s="1138"/>
      <c r="C131" s="464">
        <v>49440000</v>
      </c>
    </row>
    <row r="132" spans="1:3">
      <c r="A132" s="1138" t="s">
        <v>338</v>
      </c>
      <c r="B132" s="1138" t="s">
        <v>338</v>
      </c>
      <c r="C132" s="464">
        <f>C125-C126-C127-C128-C129-C130-C131</f>
        <v>49440000</v>
      </c>
    </row>
    <row r="134" spans="1:3">
      <c r="A134" s="1137" t="s">
        <v>1278</v>
      </c>
      <c r="B134" s="1137"/>
      <c r="C134" s="662">
        <v>381065667</v>
      </c>
    </row>
    <row r="135" spans="1:3">
      <c r="A135" s="1138" t="s">
        <v>327</v>
      </c>
      <c r="B135" s="1138"/>
      <c r="C135" s="464">
        <v>19535667</v>
      </c>
    </row>
    <row r="136" spans="1:3">
      <c r="A136" s="1138" t="s">
        <v>328</v>
      </c>
      <c r="B136" s="1138"/>
      <c r="C136" s="464">
        <v>54590000</v>
      </c>
    </row>
    <row r="137" spans="1:3">
      <c r="A137" s="1138" t="s">
        <v>330</v>
      </c>
      <c r="B137" s="1138"/>
      <c r="C137" s="464">
        <v>54590000</v>
      </c>
    </row>
    <row r="138" spans="1:3">
      <c r="A138" s="1138" t="s">
        <v>332</v>
      </c>
      <c r="B138" s="1138"/>
      <c r="C138" s="464">
        <v>49440000</v>
      </c>
    </row>
    <row r="139" spans="1:3">
      <c r="A139" s="1138" t="s">
        <v>334</v>
      </c>
      <c r="B139" s="1138"/>
      <c r="C139" s="464">
        <v>49440000</v>
      </c>
    </row>
    <row r="140" spans="1:3">
      <c r="A140" s="1138" t="s">
        <v>336</v>
      </c>
      <c r="B140" s="1138"/>
      <c r="C140" s="464">
        <v>49440000</v>
      </c>
    </row>
    <row r="141" spans="1:3">
      <c r="A141" s="1138" t="s">
        <v>338</v>
      </c>
      <c r="B141" s="1138" t="s">
        <v>338</v>
      </c>
      <c r="C141" s="464">
        <v>49440000</v>
      </c>
    </row>
    <row r="142" spans="1:3">
      <c r="A142" s="1138" t="s">
        <v>1279</v>
      </c>
      <c r="B142" s="1138" t="s">
        <v>338</v>
      </c>
      <c r="C142" s="464">
        <f>C134-C135-C136-C137-C138-C139-C140-C141</f>
        <v>54590000</v>
      </c>
    </row>
  </sheetData>
  <mergeCells count="119">
    <mergeCell ref="A134:B134"/>
    <mergeCell ref="A135:B135"/>
    <mergeCell ref="A136:B136"/>
    <mergeCell ref="A137:B137"/>
    <mergeCell ref="A138:B138"/>
    <mergeCell ref="A139:B139"/>
    <mergeCell ref="A140:B140"/>
    <mergeCell ref="A141:B141"/>
    <mergeCell ref="A142:B142"/>
    <mergeCell ref="A121:B121"/>
    <mergeCell ref="A122:B122"/>
    <mergeCell ref="A116:B116"/>
    <mergeCell ref="A117:B117"/>
    <mergeCell ref="A118:B118"/>
    <mergeCell ref="A119:B119"/>
    <mergeCell ref="A120:B120"/>
    <mergeCell ref="A100:B100"/>
    <mergeCell ref="A102:B102"/>
    <mergeCell ref="A103:B103"/>
    <mergeCell ref="A104:B104"/>
    <mergeCell ref="A105:B105"/>
    <mergeCell ref="A106:B106"/>
    <mergeCell ref="A112:B112"/>
    <mergeCell ref="A113:B113"/>
    <mergeCell ref="A107:B107"/>
    <mergeCell ref="A108:B108"/>
    <mergeCell ref="A109:B109"/>
    <mergeCell ref="A110:B110"/>
    <mergeCell ref="A111:B111"/>
    <mergeCell ref="BU38:BV38"/>
    <mergeCell ref="AV38:AW38"/>
    <mergeCell ref="AX38:AZ38"/>
    <mergeCell ref="BA38:BB38"/>
    <mergeCell ref="BC38:BD38"/>
    <mergeCell ref="BE38:BG38"/>
    <mergeCell ref="BH38:BI38"/>
    <mergeCell ref="AA38:AC38"/>
    <mergeCell ref="AD38:AE38"/>
    <mergeCell ref="AF38:AK38"/>
    <mergeCell ref="AL38:AQ38"/>
    <mergeCell ref="AS38:AS39"/>
    <mergeCell ref="AT38:AU38"/>
    <mergeCell ref="BO38:BP38"/>
    <mergeCell ref="BQ38:BR38"/>
    <mergeCell ref="BS38:BT38"/>
    <mergeCell ref="M38:O38"/>
    <mergeCell ref="P38:Q38"/>
    <mergeCell ref="R38:S38"/>
    <mergeCell ref="T38:V38"/>
    <mergeCell ref="W38:X38"/>
    <mergeCell ref="Y38:Z38"/>
    <mergeCell ref="I38:J38"/>
    <mergeCell ref="BE9:BG9"/>
    <mergeCell ref="BH9:BI9"/>
    <mergeCell ref="T9:V9"/>
    <mergeCell ref="A93:B93"/>
    <mergeCell ref="A97:B97"/>
    <mergeCell ref="A98:B98"/>
    <mergeCell ref="A99:B99"/>
    <mergeCell ref="BJ38:BK38"/>
    <mergeCell ref="BL38:BN38"/>
    <mergeCell ref="A38:A39"/>
    <mergeCell ref="B6:CC6"/>
    <mergeCell ref="AA9:AC9"/>
    <mergeCell ref="AD9:AE9"/>
    <mergeCell ref="AF9:AK9"/>
    <mergeCell ref="AL9:AQ9"/>
    <mergeCell ref="AS9:AS10"/>
    <mergeCell ref="AT9:AU9"/>
    <mergeCell ref="Y9:Z9"/>
    <mergeCell ref="A9:A10"/>
    <mergeCell ref="B9:C9"/>
    <mergeCell ref="D9:E9"/>
    <mergeCell ref="F9:H9"/>
    <mergeCell ref="I9:J9"/>
    <mergeCell ref="K9:L9"/>
    <mergeCell ref="M9:O9"/>
    <mergeCell ref="P9:Q9"/>
    <mergeCell ref="R9:S9"/>
    <mergeCell ref="BW9:CB9"/>
    <mergeCell ref="CC9:CH9"/>
    <mergeCell ref="BJ9:BK9"/>
    <mergeCell ref="BL9:BN9"/>
    <mergeCell ref="BO9:BP9"/>
    <mergeCell ref="BQ9:BR9"/>
    <mergeCell ref="A1:BZ1"/>
    <mergeCell ref="CA1:CC1"/>
    <mergeCell ref="A2:BZ2"/>
    <mergeCell ref="CA2:CC2"/>
    <mergeCell ref="A3:BZ3"/>
    <mergeCell ref="CA3:CC3"/>
    <mergeCell ref="A4:BZ4"/>
    <mergeCell ref="CA4:CC4"/>
    <mergeCell ref="A5:AM5"/>
    <mergeCell ref="AO5:CC5"/>
    <mergeCell ref="A125:B125"/>
    <mergeCell ref="A126:B126"/>
    <mergeCell ref="A127:B127"/>
    <mergeCell ref="A128:B128"/>
    <mergeCell ref="A129:B129"/>
    <mergeCell ref="A130:B130"/>
    <mergeCell ref="A131:B131"/>
    <mergeCell ref="A132:B132"/>
    <mergeCell ref="B7:CC7"/>
    <mergeCell ref="B35:CC35"/>
    <mergeCell ref="B36:CC36"/>
    <mergeCell ref="K38:L38"/>
    <mergeCell ref="BS9:BT9"/>
    <mergeCell ref="BU9:BV9"/>
    <mergeCell ref="AV9:AW9"/>
    <mergeCell ref="AX9:AZ9"/>
    <mergeCell ref="BA9:BB9"/>
    <mergeCell ref="BC9:BD9"/>
    <mergeCell ref="W9:X9"/>
    <mergeCell ref="BW38:CB38"/>
    <mergeCell ref="CC38:CH38"/>
    <mergeCell ref="B38:C38"/>
    <mergeCell ref="D38:E38"/>
    <mergeCell ref="F38:H38"/>
  </mergeCells>
  <printOptions horizontalCentered="1"/>
  <pageMargins left="0.19685039370078741" right="0.19685039370078741" top="0.19685039370078741" bottom="0.19685039370078741" header="0" footer="0"/>
  <pageSetup scale="2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view="pageBreakPreview" topLeftCell="AQ8" zoomScale="75" zoomScaleNormal="75" zoomScaleSheetLayoutView="75" workbookViewId="0">
      <selection activeCell="AV18" sqref="AV18"/>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9" width="8.140625" style="108" customWidth="1"/>
    <col min="20" max="20" width="8.5703125" style="108" customWidth="1"/>
    <col min="21" max="21" width="14" style="126" customWidth="1"/>
    <col min="22" max="33" width="7.7109375" style="267" customWidth="1"/>
    <col min="34" max="34" width="5.85546875" style="267" customWidth="1"/>
    <col min="35" max="35" width="8.140625" style="267" bestFit="1" customWidth="1"/>
    <col min="36" max="36" width="6.5703125" style="267" customWidth="1"/>
    <col min="37" max="38" width="5.85546875" style="267" customWidth="1"/>
    <col min="39" max="39" width="5.85546875" style="634" customWidth="1"/>
    <col min="40" max="45" width="5.85546875" style="267" customWidth="1"/>
    <col min="46" max="46" width="9.5703125" style="267" customWidth="1"/>
    <col min="47" max="47" width="9.5703125" style="108" customWidth="1"/>
    <col min="48" max="48" width="177.5703125" style="765" customWidth="1"/>
    <col min="49" max="50" width="34.5703125" style="375" customWidth="1"/>
    <col min="51" max="16384" width="10.85546875" style="108"/>
  </cols>
  <sheetData>
    <row r="1" spans="1:50" ht="18.75" customHeight="1">
      <c r="A1" s="1181" t="s">
        <v>0</v>
      </c>
      <c r="B1" s="1182"/>
      <c r="C1" s="1182"/>
      <c r="D1" s="1182"/>
      <c r="E1" s="1182"/>
      <c r="F1" s="1182"/>
      <c r="G1" s="1182"/>
      <c r="H1" s="1182"/>
      <c r="I1" s="1182"/>
      <c r="J1" s="1182"/>
      <c r="K1" s="1182"/>
      <c r="L1" s="1182"/>
      <c r="M1" s="1182"/>
      <c r="N1" s="1182"/>
      <c r="O1" s="1182"/>
      <c r="P1" s="1182"/>
      <c r="Q1" s="1182"/>
      <c r="R1" s="1182"/>
      <c r="S1" s="1182"/>
      <c r="T1" s="1182"/>
      <c r="U1" s="1182"/>
      <c r="V1" s="1182"/>
      <c r="W1" s="1182"/>
      <c r="X1" s="1182"/>
      <c r="Y1" s="1182"/>
      <c r="Z1" s="1182"/>
      <c r="AA1" s="1182"/>
      <c r="AB1" s="1182"/>
      <c r="AC1" s="1182"/>
      <c r="AD1" s="1182"/>
      <c r="AE1" s="1182"/>
      <c r="AF1" s="1182"/>
      <c r="AG1" s="1182"/>
      <c r="AH1" s="1182"/>
      <c r="AI1" s="1182"/>
      <c r="AJ1" s="1182"/>
      <c r="AK1" s="1182"/>
      <c r="AL1" s="1182"/>
      <c r="AM1" s="1182"/>
      <c r="AN1" s="1182"/>
      <c r="AO1" s="1182"/>
      <c r="AP1" s="1182"/>
      <c r="AQ1" s="1182"/>
      <c r="AR1" s="1182"/>
      <c r="AS1" s="1182"/>
      <c r="AT1" s="1182"/>
      <c r="AU1" s="1182"/>
      <c r="AV1" s="1183"/>
      <c r="AW1" s="799" t="s">
        <v>1</v>
      </c>
      <c r="AX1" s="801"/>
    </row>
    <row r="2" spans="1:50" ht="18.75" customHeight="1">
      <c r="A2" s="1170" t="s">
        <v>2</v>
      </c>
      <c r="B2" s="1171"/>
      <c r="C2" s="1171"/>
      <c r="D2" s="1171"/>
      <c r="E2" s="1171"/>
      <c r="F2" s="1171"/>
      <c r="G2" s="1171"/>
      <c r="H2" s="1171"/>
      <c r="I2" s="1171"/>
      <c r="J2" s="1171"/>
      <c r="K2" s="1171"/>
      <c r="L2" s="1171"/>
      <c r="M2" s="1171"/>
      <c r="N2" s="1171"/>
      <c r="O2" s="1171"/>
      <c r="P2" s="1171"/>
      <c r="Q2" s="1171"/>
      <c r="R2" s="1171"/>
      <c r="S2" s="1171"/>
      <c r="T2" s="1171"/>
      <c r="U2" s="1171"/>
      <c r="V2" s="1171"/>
      <c r="W2" s="1171"/>
      <c r="X2" s="1171"/>
      <c r="Y2" s="1171"/>
      <c r="Z2" s="1171"/>
      <c r="AA2" s="1171"/>
      <c r="AB2" s="1171"/>
      <c r="AC2" s="1171"/>
      <c r="AD2" s="1171"/>
      <c r="AE2" s="1171"/>
      <c r="AF2" s="1171"/>
      <c r="AG2" s="1171"/>
      <c r="AH2" s="1171"/>
      <c r="AI2" s="1171"/>
      <c r="AJ2" s="1171"/>
      <c r="AK2" s="1171"/>
      <c r="AL2" s="1171"/>
      <c r="AM2" s="1171"/>
      <c r="AN2" s="1171"/>
      <c r="AO2" s="1171"/>
      <c r="AP2" s="1171"/>
      <c r="AQ2" s="1171"/>
      <c r="AR2" s="1171"/>
      <c r="AS2" s="1171"/>
      <c r="AT2" s="1171"/>
      <c r="AU2" s="1171"/>
      <c r="AV2" s="1172"/>
      <c r="AW2" s="805" t="s">
        <v>3</v>
      </c>
      <c r="AX2" s="807"/>
    </row>
    <row r="3" spans="1:50" ht="18" customHeight="1">
      <c r="A3" s="1173" t="s">
        <v>339</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4"/>
      <c r="Z3" s="1174"/>
      <c r="AA3" s="1174"/>
      <c r="AB3" s="1174"/>
      <c r="AC3" s="1174"/>
      <c r="AD3" s="1174"/>
      <c r="AE3" s="1174"/>
      <c r="AF3" s="1174"/>
      <c r="AG3" s="1174"/>
      <c r="AH3" s="1174"/>
      <c r="AI3" s="1174"/>
      <c r="AJ3" s="1174"/>
      <c r="AK3" s="1174"/>
      <c r="AL3" s="1174"/>
      <c r="AM3" s="1174"/>
      <c r="AN3" s="1174"/>
      <c r="AO3" s="1174"/>
      <c r="AP3" s="1174"/>
      <c r="AQ3" s="1174"/>
      <c r="AR3" s="1174"/>
      <c r="AS3" s="1174"/>
      <c r="AT3" s="1174"/>
      <c r="AU3" s="1174"/>
      <c r="AV3" s="1175"/>
      <c r="AW3" s="805" t="s">
        <v>5</v>
      </c>
      <c r="AX3" s="807"/>
    </row>
    <row r="4" spans="1:50" ht="18" customHeight="1">
      <c r="A4" s="1176"/>
      <c r="B4" s="1177"/>
      <c r="C4" s="1177"/>
      <c r="D4" s="1177"/>
      <c r="E4" s="1177"/>
      <c r="F4" s="1177"/>
      <c r="G4" s="1177"/>
      <c r="H4" s="1177"/>
      <c r="I4" s="1177"/>
      <c r="J4" s="1177"/>
      <c r="K4" s="1177"/>
      <c r="L4" s="1177"/>
      <c r="M4" s="1177"/>
      <c r="N4" s="1177"/>
      <c r="O4" s="1177"/>
      <c r="P4" s="1177"/>
      <c r="Q4" s="1177"/>
      <c r="R4" s="1177"/>
      <c r="S4" s="1177"/>
      <c r="T4" s="1177"/>
      <c r="U4" s="1177"/>
      <c r="V4" s="1177"/>
      <c r="W4" s="1177"/>
      <c r="X4" s="1177"/>
      <c r="Y4" s="1177"/>
      <c r="Z4" s="1177"/>
      <c r="AA4" s="1177"/>
      <c r="AB4" s="1177"/>
      <c r="AC4" s="1177"/>
      <c r="AD4" s="1177"/>
      <c r="AE4" s="1177"/>
      <c r="AF4" s="1177"/>
      <c r="AG4" s="1177"/>
      <c r="AH4" s="1177"/>
      <c r="AI4" s="1177"/>
      <c r="AJ4" s="1177"/>
      <c r="AK4" s="1177"/>
      <c r="AL4" s="1177"/>
      <c r="AM4" s="1177"/>
      <c r="AN4" s="1177"/>
      <c r="AO4" s="1177"/>
      <c r="AP4" s="1177"/>
      <c r="AQ4" s="1177"/>
      <c r="AR4" s="1177"/>
      <c r="AS4" s="1177"/>
      <c r="AT4" s="1177"/>
      <c r="AU4" s="1177"/>
      <c r="AV4" s="1178"/>
      <c r="AW4" s="806" t="s">
        <v>340</v>
      </c>
      <c r="AX4" s="807"/>
    </row>
    <row r="5" spans="1:50" ht="15" customHeight="1">
      <c r="A5" s="1271" t="s">
        <v>261</v>
      </c>
      <c r="B5" s="1272"/>
      <c r="C5" s="1272"/>
      <c r="D5" s="1272"/>
      <c r="E5" s="1272"/>
      <c r="F5" s="1272"/>
      <c r="G5" s="1272"/>
      <c r="H5" s="1272"/>
      <c r="I5" s="1272"/>
      <c r="J5" s="1272"/>
      <c r="K5" s="1272"/>
      <c r="L5" s="1272"/>
      <c r="M5" s="1272"/>
      <c r="N5" s="1272"/>
      <c r="O5" s="1272"/>
      <c r="P5" s="1272"/>
      <c r="Q5" s="1272"/>
      <c r="R5" s="1272"/>
      <c r="S5" s="1272"/>
      <c r="T5" s="1272"/>
      <c r="U5" s="1272"/>
      <c r="V5" s="1272"/>
      <c r="W5" s="1272"/>
      <c r="X5" s="1272"/>
      <c r="Y5" s="1272"/>
      <c r="Z5" s="1272"/>
      <c r="AA5" s="1272"/>
      <c r="AB5" s="1272"/>
      <c r="AC5" s="1272"/>
      <c r="AD5" s="1272"/>
      <c r="AE5" s="1272"/>
      <c r="AF5" s="1272"/>
      <c r="AG5" s="1273"/>
      <c r="AH5" s="1191" t="s">
        <v>13</v>
      </c>
      <c r="AI5" s="1192"/>
      <c r="AJ5" s="1192"/>
      <c r="AK5" s="1192"/>
      <c r="AL5" s="1192"/>
      <c r="AM5" s="1192"/>
      <c r="AN5" s="1192"/>
      <c r="AO5" s="1192"/>
      <c r="AP5" s="1192"/>
      <c r="AQ5" s="1192"/>
      <c r="AR5" s="1192"/>
      <c r="AS5" s="1192"/>
      <c r="AT5" s="1192"/>
      <c r="AU5" s="1193"/>
      <c r="AV5" s="1165" t="s">
        <v>341</v>
      </c>
      <c r="AW5" s="1165" t="s">
        <v>342</v>
      </c>
      <c r="AX5" s="1184" t="s">
        <v>343</v>
      </c>
    </row>
    <row r="6" spans="1:50" ht="15" customHeight="1">
      <c r="A6" s="1274" t="s">
        <v>9</v>
      </c>
      <c r="B6" s="1275"/>
      <c r="C6" s="1275"/>
      <c r="D6" s="1276">
        <v>44839</v>
      </c>
      <c r="E6" s="1277"/>
      <c r="F6" s="1275" t="s">
        <v>10</v>
      </c>
      <c r="G6" s="1275"/>
      <c r="H6" s="1187" t="s">
        <v>11</v>
      </c>
      <c r="I6" s="1187"/>
      <c r="J6" s="110"/>
      <c r="K6" s="1191"/>
      <c r="L6" s="1192"/>
      <c r="M6" s="1192"/>
      <c r="N6" s="1192"/>
      <c r="O6" s="1192"/>
      <c r="P6" s="1192"/>
      <c r="Q6" s="1192"/>
      <c r="R6" s="1192"/>
      <c r="S6" s="1192"/>
      <c r="T6" s="1192"/>
      <c r="U6" s="1192"/>
      <c r="V6" s="448"/>
      <c r="W6" s="448"/>
      <c r="X6" s="448"/>
      <c r="Y6" s="448"/>
      <c r="Z6" s="448"/>
      <c r="AA6" s="448"/>
      <c r="AB6" s="448"/>
      <c r="AC6" s="755"/>
      <c r="AD6" s="448"/>
      <c r="AE6" s="448"/>
      <c r="AF6" s="448"/>
      <c r="AG6" s="449"/>
      <c r="AH6" s="1194"/>
      <c r="AI6" s="1195"/>
      <c r="AJ6" s="1195"/>
      <c r="AK6" s="1195"/>
      <c r="AL6" s="1195"/>
      <c r="AM6" s="1195"/>
      <c r="AN6" s="1195"/>
      <c r="AO6" s="1195"/>
      <c r="AP6" s="1195"/>
      <c r="AQ6" s="1195"/>
      <c r="AR6" s="1195"/>
      <c r="AS6" s="1195"/>
      <c r="AT6" s="1195"/>
      <c r="AU6" s="1196"/>
      <c r="AV6" s="1188"/>
      <c r="AW6" s="1188"/>
      <c r="AX6" s="1185"/>
    </row>
    <row r="7" spans="1:50" ht="15" customHeight="1">
      <c r="A7" s="1274"/>
      <c r="B7" s="1275"/>
      <c r="C7" s="1275"/>
      <c r="D7" s="1277"/>
      <c r="E7" s="1277"/>
      <c r="F7" s="1275"/>
      <c r="G7" s="1275"/>
      <c r="H7" s="1187" t="s">
        <v>12</v>
      </c>
      <c r="I7" s="1187"/>
      <c r="J7" s="110"/>
      <c r="K7" s="1194"/>
      <c r="L7" s="1195"/>
      <c r="M7" s="1195"/>
      <c r="N7" s="1195"/>
      <c r="O7" s="1195"/>
      <c r="P7" s="1195"/>
      <c r="Q7" s="1195"/>
      <c r="R7" s="1195"/>
      <c r="S7" s="1195"/>
      <c r="T7" s="1195"/>
      <c r="U7" s="1195"/>
      <c r="V7" s="487"/>
      <c r="W7" s="487"/>
      <c r="X7" s="487"/>
      <c r="Y7" s="487"/>
      <c r="Z7" s="487"/>
      <c r="AA7" s="487"/>
      <c r="AB7" s="487"/>
      <c r="AC7" s="756"/>
      <c r="AD7" s="487"/>
      <c r="AE7" s="487"/>
      <c r="AF7" s="487"/>
      <c r="AG7" s="450"/>
      <c r="AH7" s="1194"/>
      <c r="AI7" s="1195"/>
      <c r="AJ7" s="1195"/>
      <c r="AK7" s="1195"/>
      <c r="AL7" s="1195"/>
      <c r="AM7" s="1195"/>
      <c r="AN7" s="1195"/>
      <c r="AO7" s="1195"/>
      <c r="AP7" s="1195"/>
      <c r="AQ7" s="1195"/>
      <c r="AR7" s="1195"/>
      <c r="AS7" s="1195"/>
      <c r="AT7" s="1195"/>
      <c r="AU7" s="1196"/>
      <c r="AV7" s="1188"/>
      <c r="AW7" s="1188"/>
      <c r="AX7" s="1185"/>
    </row>
    <row r="8" spans="1:50" ht="15" customHeight="1">
      <c r="A8" s="1274"/>
      <c r="B8" s="1275"/>
      <c r="C8" s="1275"/>
      <c r="D8" s="1277"/>
      <c r="E8" s="1277"/>
      <c r="F8" s="1275"/>
      <c r="G8" s="1275"/>
      <c r="H8" s="1187" t="s">
        <v>13</v>
      </c>
      <c r="I8" s="1187"/>
      <c r="J8" s="110" t="s">
        <v>14</v>
      </c>
      <c r="K8" s="1197"/>
      <c r="L8" s="1198"/>
      <c r="M8" s="1198"/>
      <c r="N8" s="1198"/>
      <c r="O8" s="1198"/>
      <c r="P8" s="1198"/>
      <c r="Q8" s="1198"/>
      <c r="R8" s="1198"/>
      <c r="S8" s="1198"/>
      <c r="T8" s="1198"/>
      <c r="U8" s="1198"/>
      <c r="V8" s="451"/>
      <c r="W8" s="451"/>
      <c r="X8" s="451"/>
      <c r="Y8" s="451"/>
      <c r="Z8" s="451"/>
      <c r="AA8" s="451"/>
      <c r="AB8" s="451"/>
      <c r="AC8" s="757"/>
      <c r="AD8" s="451"/>
      <c r="AE8" s="451"/>
      <c r="AF8" s="451"/>
      <c r="AG8" s="452"/>
      <c r="AH8" s="1194"/>
      <c r="AI8" s="1195"/>
      <c r="AJ8" s="1195"/>
      <c r="AK8" s="1195"/>
      <c r="AL8" s="1195"/>
      <c r="AM8" s="1195"/>
      <c r="AN8" s="1195"/>
      <c r="AO8" s="1195"/>
      <c r="AP8" s="1195"/>
      <c r="AQ8" s="1195"/>
      <c r="AR8" s="1195"/>
      <c r="AS8" s="1195"/>
      <c r="AT8" s="1195"/>
      <c r="AU8" s="1196"/>
      <c r="AV8" s="1188"/>
      <c r="AW8" s="1188"/>
      <c r="AX8" s="1185"/>
    </row>
    <row r="9" spans="1:50" ht="15" customHeight="1">
      <c r="A9" s="1268" t="s">
        <v>344</v>
      </c>
      <c r="B9" s="1269"/>
      <c r="C9" s="1270"/>
      <c r="D9" s="1199" t="s">
        <v>345</v>
      </c>
      <c r="E9" s="1200"/>
      <c r="F9" s="1200"/>
      <c r="G9" s="1200"/>
      <c r="H9" s="1200"/>
      <c r="I9" s="1200"/>
      <c r="J9" s="1200"/>
      <c r="K9" s="1201"/>
      <c r="L9" s="1201"/>
      <c r="M9" s="1201"/>
      <c r="N9" s="1201"/>
      <c r="O9" s="1201"/>
      <c r="P9" s="1201"/>
      <c r="Q9" s="1201"/>
      <c r="R9" s="1201"/>
      <c r="S9" s="1201"/>
      <c r="T9" s="1201"/>
      <c r="U9" s="1201"/>
      <c r="V9" s="1201"/>
      <c r="W9" s="1201"/>
      <c r="X9" s="1201"/>
      <c r="Y9" s="1201"/>
      <c r="Z9" s="1201"/>
      <c r="AA9" s="1201"/>
      <c r="AB9" s="1201"/>
      <c r="AC9" s="1201"/>
      <c r="AD9" s="1201"/>
      <c r="AE9" s="1201"/>
      <c r="AF9" s="1201"/>
      <c r="AG9" s="1202"/>
      <c r="AH9" s="1194"/>
      <c r="AI9" s="1195"/>
      <c r="AJ9" s="1195"/>
      <c r="AK9" s="1195"/>
      <c r="AL9" s="1195"/>
      <c r="AM9" s="1195"/>
      <c r="AN9" s="1195"/>
      <c r="AO9" s="1195"/>
      <c r="AP9" s="1195"/>
      <c r="AQ9" s="1195"/>
      <c r="AR9" s="1195"/>
      <c r="AS9" s="1195"/>
      <c r="AT9" s="1195"/>
      <c r="AU9" s="1196"/>
      <c r="AV9" s="1188"/>
      <c r="AW9" s="1188"/>
      <c r="AX9" s="1185"/>
    </row>
    <row r="10" spans="1:50" ht="15" customHeight="1" thickBot="1">
      <c r="A10" s="1239" t="s">
        <v>346</v>
      </c>
      <c r="B10" s="1240"/>
      <c r="C10" s="1241"/>
      <c r="D10" s="1242" t="s">
        <v>347</v>
      </c>
      <c r="E10" s="1201"/>
      <c r="F10" s="1201"/>
      <c r="G10" s="1201"/>
      <c r="H10" s="1201"/>
      <c r="I10" s="1201"/>
      <c r="J10" s="1201"/>
      <c r="K10" s="1201"/>
      <c r="L10" s="1201"/>
      <c r="M10" s="1201"/>
      <c r="N10" s="1201"/>
      <c r="O10" s="1201"/>
      <c r="P10" s="1201"/>
      <c r="Q10" s="1201"/>
      <c r="R10" s="1201"/>
      <c r="S10" s="1201"/>
      <c r="T10" s="1201"/>
      <c r="U10" s="1201"/>
      <c r="V10" s="1243"/>
      <c r="W10" s="1243"/>
      <c r="X10" s="1243"/>
      <c r="Y10" s="1243"/>
      <c r="Z10" s="1243"/>
      <c r="AA10" s="1243"/>
      <c r="AB10" s="1243"/>
      <c r="AC10" s="1243"/>
      <c r="AD10" s="1243"/>
      <c r="AE10" s="1243"/>
      <c r="AF10" s="1243"/>
      <c r="AG10" s="1244"/>
      <c r="AH10" s="1197"/>
      <c r="AI10" s="1198"/>
      <c r="AJ10" s="1198"/>
      <c r="AK10" s="1198"/>
      <c r="AL10" s="1198"/>
      <c r="AM10" s="1198"/>
      <c r="AN10" s="1198"/>
      <c r="AO10" s="1198"/>
      <c r="AP10" s="1198"/>
      <c r="AQ10" s="1198"/>
      <c r="AR10" s="1198"/>
      <c r="AS10" s="1198"/>
      <c r="AT10" s="1195"/>
      <c r="AU10" s="1196"/>
      <c r="AV10" s="1188"/>
      <c r="AW10" s="1188"/>
      <c r="AX10" s="1185"/>
    </row>
    <row r="11" spans="1:50" ht="39.950000000000003" customHeight="1">
      <c r="A11" s="1266" t="s">
        <v>348</v>
      </c>
      <c r="B11" s="1265"/>
      <c r="C11" s="1265"/>
      <c r="D11" s="1265"/>
      <c r="E11" s="1265"/>
      <c r="F11" s="1204"/>
      <c r="G11" s="1203" t="s">
        <v>349</v>
      </c>
      <c r="H11" s="1204"/>
      <c r="I11" s="1214" t="s">
        <v>350</v>
      </c>
      <c r="J11" s="1214" t="s">
        <v>351</v>
      </c>
      <c r="K11" s="1214" t="s">
        <v>352</v>
      </c>
      <c r="L11" s="1214" t="s">
        <v>353</v>
      </c>
      <c r="M11" s="1214" t="s">
        <v>354</v>
      </c>
      <c r="N11" s="1214" t="s">
        <v>355</v>
      </c>
      <c r="O11" s="1203" t="s">
        <v>356</v>
      </c>
      <c r="P11" s="1265"/>
      <c r="Q11" s="1265"/>
      <c r="R11" s="1265"/>
      <c r="S11" s="1204"/>
      <c r="T11" s="1214" t="s">
        <v>357</v>
      </c>
      <c r="U11" s="1263" t="s">
        <v>358</v>
      </c>
      <c r="V11" s="1217" t="s">
        <v>359</v>
      </c>
      <c r="W11" s="1218"/>
      <c r="X11" s="1218"/>
      <c r="Y11" s="1218"/>
      <c r="Z11" s="1218"/>
      <c r="AA11" s="1218"/>
      <c r="AB11" s="1218"/>
      <c r="AC11" s="1218"/>
      <c r="AD11" s="1218"/>
      <c r="AE11" s="1218"/>
      <c r="AF11" s="1218"/>
      <c r="AG11" s="1219"/>
      <c r="AH11" s="1208" t="s">
        <v>360</v>
      </c>
      <c r="AI11" s="1209"/>
      <c r="AJ11" s="1209"/>
      <c r="AK11" s="1209"/>
      <c r="AL11" s="1209"/>
      <c r="AM11" s="1209"/>
      <c r="AN11" s="1209"/>
      <c r="AO11" s="1209"/>
      <c r="AP11" s="1209"/>
      <c r="AQ11" s="1209"/>
      <c r="AR11" s="1209"/>
      <c r="AS11" s="1210"/>
      <c r="AT11" s="1179" t="s">
        <v>41</v>
      </c>
      <c r="AU11" s="1180"/>
      <c r="AV11" s="1189"/>
      <c r="AW11" s="1188"/>
      <c r="AX11" s="1185"/>
    </row>
    <row r="12" spans="1:50" ht="42.75">
      <c r="A12" s="381" t="s">
        <v>361</v>
      </c>
      <c r="B12" s="109" t="s">
        <v>362</v>
      </c>
      <c r="C12" s="109" t="s">
        <v>363</v>
      </c>
      <c r="D12" s="109" t="s">
        <v>364</v>
      </c>
      <c r="E12" s="109" t="s">
        <v>365</v>
      </c>
      <c r="F12" s="109" t="s">
        <v>366</v>
      </c>
      <c r="G12" s="109" t="s">
        <v>367</v>
      </c>
      <c r="H12" s="109" t="s">
        <v>368</v>
      </c>
      <c r="I12" s="1215"/>
      <c r="J12" s="1215"/>
      <c r="K12" s="1216"/>
      <c r="L12" s="1216"/>
      <c r="M12" s="1216"/>
      <c r="N12" s="1216"/>
      <c r="O12" s="109">
        <v>2020</v>
      </c>
      <c r="P12" s="109">
        <v>2021</v>
      </c>
      <c r="Q12" s="109">
        <v>2022</v>
      </c>
      <c r="R12" s="109">
        <v>2023</v>
      </c>
      <c r="S12" s="109">
        <v>2024</v>
      </c>
      <c r="T12" s="1216"/>
      <c r="U12" s="1264"/>
      <c r="V12" s="453" t="s">
        <v>30</v>
      </c>
      <c r="W12" s="454" t="s">
        <v>31</v>
      </c>
      <c r="X12" s="454" t="s">
        <v>32</v>
      </c>
      <c r="Y12" s="454" t="s">
        <v>33</v>
      </c>
      <c r="Z12" s="454" t="s">
        <v>34</v>
      </c>
      <c r="AA12" s="454" t="s">
        <v>35</v>
      </c>
      <c r="AB12" s="454" t="s">
        <v>36</v>
      </c>
      <c r="AC12" s="454" t="s">
        <v>8</v>
      </c>
      <c r="AD12" s="454" t="s">
        <v>37</v>
      </c>
      <c r="AE12" s="454" t="s">
        <v>38</v>
      </c>
      <c r="AF12" s="454" t="s">
        <v>39</v>
      </c>
      <c r="AG12" s="455" t="s">
        <v>40</v>
      </c>
      <c r="AH12" s="456" t="s">
        <v>30</v>
      </c>
      <c r="AI12" s="457" t="s">
        <v>31</v>
      </c>
      <c r="AJ12" s="457" t="s">
        <v>32</v>
      </c>
      <c r="AK12" s="457" t="s">
        <v>33</v>
      </c>
      <c r="AL12" s="457" t="s">
        <v>34</v>
      </c>
      <c r="AM12" s="457" t="s">
        <v>35</v>
      </c>
      <c r="AN12" s="457" t="s">
        <v>36</v>
      </c>
      <c r="AO12" s="457" t="s">
        <v>8</v>
      </c>
      <c r="AP12" s="457" t="s">
        <v>37</v>
      </c>
      <c r="AQ12" s="457" t="s">
        <v>38</v>
      </c>
      <c r="AR12" s="457" t="s">
        <v>39</v>
      </c>
      <c r="AS12" s="458" t="s">
        <v>40</v>
      </c>
      <c r="AT12" s="485" t="s">
        <v>369</v>
      </c>
      <c r="AU12" s="486" t="s">
        <v>370</v>
      </c>
      <c r="AV12" s="1190"/>
      <c r="AW12" s="1166"/>
      <c r="AX12" s="1186"/>
    </row>
    <row r="13" spans="1:50" s="684" customFormat="1" ht="19.5" customHeight="1">
      <c r="A13" s="671">
        <v>9</v>
      </c>
      <c r="B13" s="672"/>
      <c r="C13" s="672"/>
      <c r="D13" s="672">
        <v>29</v>
      </c>
      <c r="E13" s="672"/>
      <c r="F13" s="672"/>
      <c r="G13" s="673"/>
      <c r="H13" s="673"/>
      <c r="I13" s="673" t="s">
        <v>371</v>
      </c>
      <c r="J13" s="674" t="s">
        <v>372</v>
      </c>
      <c r="K13" s="675" t="s">
        <v>373</v>
      </c>
      <c r="L13" s="672">
        <v>26100</v>
      </c>
      <c r="M13" s="675" t="s">
        <v>374</v>
      </c>
      <c r="N13" s="675" t="s">
        <v>375</v>
      </c>
      <c r="O13" s="676">
        <v>2000</v>
      </c>
      <c r="P13" s="676">
        <v>7000</v>
      </c>
      <c r="Q13" s="676">
        <v>7000</v>
      </c>
      <c r="R13" s="676">
        <v>7000</v>
      </c>
      <c r="S13" s="676">
        <v>3100</v>
      </c>
      <c r="T13" s="677" t="s">
        <v>376</v>
      </c>
      <c r="U13" s="678" t="s">
        <v>377</v>
      </c>
      <c r="V13" s="679">
        <v>0</v>
      </c>
      <c r="W13" s="654">
        <v>500</v>
      </c>
      <c r="X13" s="654">
        <v>700</v>
      </c>
      <c r="Y13" s="654">
        <v>700</v>
      </c>
      <c r="Z13" s="654">
        <v>700</v>
      </c>
      <c r="AA13" s="654">
        <v>700</v>
      </c>
      <c r="AB13" s="654">
        <v>700</v>
      </c>
      <c r="AC13" s="654">
        <v>700</v>
      </c>
      <c r="AD13" s="654">
        <v>700</v>
      </c>
      <c r="AE13" s="654">
        <v>700</v>
      </c>
      <c r="AF13" s="654">
        <v>700</v>
      </c>
      <c r="AG13" s="680">
        <v>200</v>
      </c>
      <c r="AH13" s="679">
        <v>0</v>
      </c>
      <c r="AI13" s="681">
        <v>531</v>
      </c>
      <c r="AJ13" s="654">
        <v>950</v>
      </c>
      <c r="AK13" s="654">
        <v>740</v>
      </c>
      <c r="AL13" s="654">
        <v>922</v>
      </c>
      <c r="AM13" s="654">
        <v>701</v>
      </c>
      <c r="AN13" s="654">
        <v>738</v>
      </c>
      <c r="AO13" s="654">
        <v>729</v>
      </c>
      <c r="AP13" s="710">
        <v>728</v>
      </c>
      <c r="AQ13" s="654">
        <v>0</v>
      </c>
      <c r="AR13" s="654">
        <v>0</v>
      </c>
      <c r="AS13" s="680">
        <v>0</v>
      </c>
      <c r="AT13" s="679">
        <f>SUM(AH13:AR13)</f>
        <v>6039</v>
      </c>
      <c r="AU13" s="682">
        <f>AT13/Q13</f>
        <v>0.86271428571428577</v>
      </c>
      <c r="AV13" s="753" t="s">
        <v>1265</v>
      </c>
      <c r="AW13" s="562" t="s">
        <v>378</v>
      </c>
      <c r="AX13" s="683" t="s">
        <v>378</v>
      </c>
    </row>
    <row r="14" spans="1:50" s="556" customFormat="1" ht="19.5" customHeight="1">
      <c r="A14" s="544">
        <v>10</v>
      </c>
      <c r="B14" s="545"/>
      <c r="C14" s="545"/>
      <c r="D14" s="545"/>
      <c r="E14" s="545"/>
      <c r="F14" s="545"/>
      <c r="G14" s="546"/>
      <c r="H14" s="557"/>
      <c r="I14" s="546" t="s">
        <v>379</v>
      </c>
      <c r="J14" s="558" t="s">
        <v>380</v>
      </c>
      <c r="K14" s="547" t="s">
        <v>373</v>
      </c>
      <c r="L14" s="545">
        <v>100</v>
      </c>
      <c r="M14" s="547" t="s">
        <v>381</v>
      </c>
      <c r="N14" s="547" t="s">
        <v>382</v>
      </c>
      <c r="O14" s="548">
        <v>18</v>
      </c>
      <c r="P14" s="548">
        <v>25</v>
      </c>
      <c r="Q14" s="548">
        <v>25</v>
      </c>
      <c r="R14" s="548">
        <v>22</v>
      </c>
      <c r="S14" s="548">
        <v>10</v>
      </c>
      <c r="T14" s="549" t="s">
        <v>376</v>
      </c>
      <c r="U14" s="550" t="s">
        <v>383</v>
      </c>
      <c r="V14" s="655">
        <v>0</v>
      </c>
      <c r="W14" s="656">
        <v>0.5</v>
      </c>
      <c r="X14" s="656">
        <v>1</v>
      </c>
      <c r="Y14" s="656">
        <v>1</v>
      </c>
      <c r="Z14" s="656">
        <v>1</v>
      </c>
      <c r="AA14" s="656">
        <v>1</v>
      </c>
      <c r="AB14" s="656">
        <v>1</v>
      </c>
      <c r="AC14" s="656">
        <v>4.8</v>
      </c>
      <c r="AD14" s="656">
        <v>1</v>
      </c>
      <c r="AE14" s="656">
        <v>8.6</v>
      </c>
      <c r="AF14" s="656">
        <v>1</v>
      </c>
      <c r="AG14" s="657">
        <v>4.0999999999999996</v>
      </c>
      <c r="AH14" s="551">
        <f>'Avance PDD'!O5</f>
        <v>0</v>
      </c>
      <c r="AI14" s="559">
        <f>'Avance PDD'!P5</f>
        <v>0.52400000000000013</v>
      </c>
      <c r="AJ14" s="559">
        <f>'Avance PDD'!Q5</f>
        <v>0.97200000000000031</v>
      </c>
      <c r="AK14" s="559">
        <f>'Avance PDD'!R5</f>
        <v>0.86400000000000032</v>
      </c>
      <c r="AL14" s="559">
        <f>'Avance PDD'!S5</f>
        <v>1.0000000000000002</v>
      </c>
      <c r="AM14" s="559">
        <f>'Avance PDD'!T5</f>
        <v>1.0800000000000003</v>
      </c>
      <c r="AN14" s="566">
        <f>'Avance PDD'!U5</f>
        <v>0.97200000000000031</v>
      </c>
      <c r="AO14" s="781">
        <f>'Avance PDD'!V5</f>
        <v>1.0000000000000002</v>
      </c>
      <c r="AP14" s="738">
        <f>'Avance PDD'!W5</f>
        <v>1.0560000000000003</v>
      </c>
      <c r="AQ14" s="552"/>
      <c r="AR14" s="552"/>
      <c r="AS14" s="553"/>
      <c r="AT14" s="560">
        <f>SUM(AH14:AS14)</f>
        <v>7.4680000000000017</v>
      </c>
      <c r="AU14" s="555">
        <f t="shared" ref="AU14:AU25" si="0">AT14/Q14</f>
        <v>0.2987200000000001</v>
      </c>
      <c r="AV14" s="758" t="s">
        <v>384</v>
      </c>
      <c r="AW14" s="792"/>
      <c r="AX14" s="563"/>
    </row>
    <row r="15" spans="1:50" s="556" customFormat="1" ht="19.5" customHeight="1">
      <c r="A15" s="544">
        <v>10</v>
      </c>
      <c r="B15" s="545"/>
      <c r="C15" s="545"/>
      <c r="D15" s="545">
        <v>42</v>
      </c>
      <c r="E15" s="545"/>
      <c r="F15" s="545"/>
      <c r="G15" s="546"/>
      <c r="H15" s="557"/>
      <c r="I15" s="546" t="s">
        <v>106</v>
      </c>
      <c r="J15" s="558" t="s">
        <v>385</v>
      </c>
      <c r="K15" s="547" t="s">
        <v>373</v>
      </c>
      <c r="L15" s="545">
        <v>13</v>
      </c>
      <c r="M15" s="547" t="s">
        <v>386</v>
      </c>
      <c r="N15" s="547" t="s">
        <v>387</v>
      </c>
      <c r="O15" s="548">
        <v>1</v>
      </c>
      <c r="P15" s="548">
        <v>4</v>
      </c>
      <c r="Q15" s="548">
        <v>4</v>
      </c>
      <c r="R15" s="548">
        <v>4</v>
      </c>
      <c r="S15" s="548">
        <v>0</v>
      </c>
      <c r="T15" s="549" t="s">
        <v>376</v>
      </c>
      <c r="U15" s="550" t="s">
        <v>388</v>
      </c>
      <c r="V15" s="551">
        <v>0</v>
      </c>
      <c r="W15" s="552">
        <v>0</v>
      </c>
      <c r="X15" s="552">
        <v>0</v>
      </c>
      <c r="Y15" s="552">
        <v>0</v>
      </c>
      <c r="Z15" s="552">
        <v>0</v>
      </c>
      <c r="AA15" s="552">
        <v>0</v>
      </c>
      <c r="AB15" s="552">
        <v>0</v>
      </c>
      <c r="AC15" s="552">
        <v>1</v>
      </c>
      <c r="AD15" s="552">
        <v>0</v>
      </c>
      <c r="AE15" s="552">
        <v>2</v>
      </c>
      <c r="AF15" s="552">
        <v>0</v>
      </c>
      <c r="AG15" s="553">
        <v>1</v>
      </c>
      <c r="AH15" s="551">
        <v>0</v>
      </c>
      <c r="AI15" s="552">
        <v>0</v>
      </c>
      <c r="AJ15" s="552">
        <v>0</v>
      </c>
      <c r="AK15" s="552">
        <v>0</v>
      </c>
      <c r="AL15" s="552">
        <v>0</v>
      </c>
      <c r="AM15" s="654">
        <v>0</v>
      </c>
      <c r="AN15" s="552">
        <v>0</v>
      </c>
      <c r="AO15" s="552">
        <v>0</v>
      </c>
      <c r="AP15" s="711">
        <v>0</v>
      </c>
      <c r="AQ15" s="552"/>
      <c r="AR15" s="552"/>
      <c r="AS15" s="553"/>
      <c r="AT15" s="551">
        <f t="shared" ref="AT15:AT25" si="1">SUM(AH15:AS15)</f>
        <v>0</v>
      </c>
      <c r="AU15" s="561">
        <f t="shared" si="0"/>
        <v>0</v>
      </c>
      <c r="AV15" s="754" t="s">
        <v>1280</v>
      </c>
      <c r="AW15" s="562" t="s">
        <v>1275</v>
      </c>
      <c r="AX15" s="563" t="s">
        <v>389</v>
      </c>
    </row>
    <row r="16" spans="1:50" s="556" customFormat="1" ht="19.5" customHeight="1">
      <c r="A16" s="544"/>
      <c r="B16" s="545"/>
      <c r="C16" s="545"/>
      <c r="D16" s="545"/>
      <c r="E16" s="545"/>
      <c r="F16" s="545" t="s">
        <v>14</v>
      </c>
      <c r="G16" s="546"/>
      <c r="H16" s="557"/>
      <c r="I16" s="546" t="s">
        <v>390</v>
      </c>
      <c r="J16" s="558" t="s">
        <v>391</v>
      </c>
      <c r="K16" s="547" t="s">
        <v>373</v>
      </c>
      <c r="L16" s="545" t="s">
        <v>392</v>
      </c>
      <c r="M16" s="547" t="s">
        <v>393</v>
      </c>
      <c r="N16" s="547" t="s">
        <v>382</v>
      </c>
      <c r="O16" s="548"/>
      <c r="P16" s="548"/>
      <c r="Q16" s="548">
        <v>10000</v>
      </c>
      <c r="R16" s="548"/>
      <c r="S16" s="548"/>
      <c r="T16" s="549" t="s">
        <v>376</v>
      </c>
      <c r="U16" s="550" t="s">
        <v>394</v>
      </c>
      <c r="V16" s="551">
        <v>0</v>
      </c>
      <c r="W16" s="552">
        <v>800</v>
      </c>
      <c r="X16" s="552">
        <v>932</v>
      </c>
      <c r="Y16" s="552">
        <v>934</v>
      </c>
      <c r="Z16" s="552">
        <v>934</v>
      </c>
      <c r="AA16" s="552">
        <v>932</v>
      </c>
      <c r="AB16" s="552">
        <v>934</v>
      </c>
      <c r="AC16" s="552">
        <v>934</v>
      </c>
      <c r="AD16" s="552">
        <v>932</v>
      </c>
      <c r="AE16" s="552">
        <v>934</v>
      </c>
      <c r="AF16" s="552">
        <v>934</v>
      </c>
      <c r="AG16" s="553">
        <v>800</v>
      </c>
      <c r="AH16" s="551">
        <v>0</v>
      </c>
      <c r="AI16" s="552">
        <v>422</v>
      </c>
      <c r="AJ16" s="552">
        <v>1172</v>
      </c>
      <c r="AK16" s="552">
        <v>869</v>
      </c>
      <c r="AL16" s="552">
        <v>1113</v>
      </c>
      <c r="AM16" s="654">
        <v>1936</v>
      </c>
      <c r="AN16" s="552">
        <v>1272</v>
      </c>
      <c r="AO16" s="552">
        <v>1277</v>
      </c>
      <c r="AP16" s="711">
        <v>966</v>
      </c>
      <c r="AQ16" s="552"/>
      <c r="AR16" s="552"/>
      <c r="AS16" s="553"/>
      <c r="AT16" s="551">
        <f t="shared" si="1"/>
        <v>9027</v>
      </c>
      <c r="AU16" s="561">
        <f>AT16/Q16</f>
        <v>0.90269999999999995</v>
      </c>
      <c r="AV16" s="754" t="s">
        <v>395</v>
      </c>
      <c r="AW16" s="562" t="s">
        <v>396</v>
      </c>
      <c r="AX16" s="563" t="s">
        <v>397</v>
      </c>
    </row>
    <row r="17" spans="1:50" s="556" customFormat="1" ht="19.5" customHeight="1">
      <c r="A17" s="544"/>
      <c r="B17" s="545"/>
      <c r="C17" s="545"/>
      <c r="D17" s="545"/>
      <c r="E17" s="545"/>
      <c r="F17" s="545" t="s">
        <v>14</v>
      </c>
      <c r="G17" s="546"/>
      <c r="H17" s="557"/>
      <c r="I17" s="546" t="s">
        <v>390</v>
      </c>
      <c r="J17" s="558" t="s">
        <v>310</v>
      </c>
      <c r="K17" s="547" t="s">
        <v>373</v>
      </c>
      <c r="L17" s="545" t="s">
        <v>392</v>
      </c>
      <c r="M17" s="547" t="s">
        <v>398</v>
      </c>
      <c r="N17" s="547" t="s">
        <v>382</v>
      </c>
      <c r="O17" s="548"/>
      <c r="P17" s="548"/>
      <c r="Q17" s="548">
        <v>4000</v>
      </c>
      <c r="R17" s="548"/>
      <c r="S17" s="548"/>
      <c r="T17" s="549" t="s">
        <v>376</v>
      </c>
      <c r="U17" s="550" t="s">
        <v>399</v>
      </c>
      <c r="V17" s="551">
        <v>0</v>
      </c>
      <c r="W17" s="552">
        <v>250</v>
      </c>
      <c r="X17" s="552">
        <v>388</v>
      </c>
      <c r="Y17" s="552">
        <v>389</v>
      </c>
      <c r="Z17" s="552">
        <v>389</v>
      </c>
      <c r="AA17" s="552">
        <v>389</v>
      </c>
      <c r="AB17" s="552">
        <v>389</v>
      </c>
      <c r="AC17" s="552">
        <v>389</v>
      </c>
      <c r="AD17" s="552">
        <v>389</v>
      </c>
      <c r="AE17" s="552">
        <v>389</v>
      </c>
      <c r="AF17" s="552">
        <v>389</v>
      </c>
      <c r="AG17" s="553">
        <v>250</v>
      </c>
      <c r="AH17" s="551">
        <v>0</v>
      </c>
      <c r="AI17" s="552">
        <v>165</v>
      </c>
      <c r="AJ17" s="552">
        <v>370</v>
      </c>
      <c r="AK17" s="552">
        <v>279</v>
      </c>
      <c r="AL17" s="552">
        <v>456</v>
      </c>
      <c r="AM17" s="654">
        <f>439-46</f>
        <v>393</v>
      </c>
      <c r="AN17" s="552">
        <v>374</v>
      </c>
      <c r="AO17" s="552">
        <v>484</v>
      </c>
      <c r="AP17" s="711">
        <v>519</v>
      </c>
      <c r="AQ17" s="552"/>
      <c r="AR17" s="552"/>
      <c r="AS17" s="553"/>
      <c r="AT17" s="551">
        <f t="shared" si="1"/>
        <v>3040</v>
      </c>
      <c r="AU17" s="561">
        <f>AT17/Q17</f>
        <v>0.76</v>
      </c>
      <c r="AV17" s="754" t="s">
        <v>400</v>
      </c>
      <c r="AW17" s="562" t="s">
        <v>401</v>
      </c>
      <c r="AX17" s="563" t="s">
        <v>402</v>
      </c>
    </row>
    <row r="18" spans="1:50" s="556" customFormat="1" ht="19.5" customHeight="1">
      <c r="A18" s="544"/>
      <c r="B18" s="545"/>
      <c r="C18" s="545"/>
      <c r="D18" s="545"/>
      <c r="E18" s="545"/>
      <c r="F18" s="545" t="s">
        <v>14</v>
      </c>
      <c r="G18" s="546"/>
      <c r="H18" s="557"/>
      <c r="I18" s="546" t="s">
        <v>390</v>
      </c>
      <c r="J18" s="558" t="s">
        <v>403</v>
      </c>
      <c r="K18" s="547" t="s">
        <v>373</v>
      </c>
      <c r="L18" s="545" t="s">
        <v>392</v>
      </c>
      <c r="M18" s="547" t="s">
        <v>404</v>
      </c>
      <c r="N18" s="547" t="s">
        <v>405</v>
      </c>
      <c r="O18" s="548"/>
      <c r="P18" s="548"/>
      <c r="Q18" s="548">
        <v>2</v>
      </c>
      <c r="R18" s="548"/>
      <c r="S18" s="548"/>
      <c r="T18" s="549" t="s">
        <v>406</v>
      </c>
      <c r="U18" s="550" t="s">
        <v>407</v>
      </c>
      <c r="V18" s="551">
        <v>0</v>
      </c>
      <c r="W18" s="552">
        <v>1</v>
      </c>
      <c r="X18" s="552">
        <v>0</v>
      </c>
      <c r="Y18" s="552">
        <v>0</v>
      </c>
      <c r="Z18" s="552">
        <v>0</v>
      </c>
      <c r="AA18" s="552">
        <v>0</v>
      </c>
      <c r="AB18" s="552">
        <v>0</v>
      </c>
      <c r="AC18" s="552">
        <v>1</v>
      </c>
      <c r="AD18" s="552">
        <v>0</v>
      </c>
      <c r="AE18" s="552">
        <v>0</v>
      </c>
      <c r="AF18" s="552">
        <v>0</v>
      </c>
      <c r="AG18" s="553">
        <v>0</v>
      </c>
      <c r="AH18" s="551">
        <v>0</v>
      </c>
      <c r="AI18" s="552">
        <v>1</v>
      </c>
      <c r="AJ18" s="552">
        <v>0</v>
      </c>
      <c r="AK18" s="552">
        <v>0</v>
      </c>
      <c r="AL18" s="552">
        <v>0</v>
      </c>
      <c r="AM18" s="654">
        <v>0</v>
      </c>
      <c r="AN18" s="552">
        <v>0</v>
      </c>
      <c r="AO18" s="552">
        <v>1</v>
      </c>
      <c r="AP18" s="711">
        <v>0</v>
      </c>
      <c r="AQ18" s="552"/>
      <c r="AR18" s="552"/>
      <c r="AS18" s="553"/>
      <c r="AT18" s="551">
        <f t="shared" si="1"/>
        <v>2</v>
      </c>
      <c r="AU18" s="561">
        <f t="shared" si="0"/>
        <v>1</v>
      </c>
      <c r="AV18" s="754" t="s">
        <v>408</v>
      </c>
      <c r="AW18" s="562"/>
      <c r="AX18" s="563"/>
    </row>
    <row r="19" spans="1:50" s="556" customFormat="1" ht="19.5" customHeight="1">
      <c r="A19" s="544"/>
      <c r="B19" s="545"/>
      <c r="C19" s="545"/>
      <c r="D19" s="545"/>
      <c r="E19" s="545"/>
      <c r="F19" s="545" t="s">
        <v>14</v>
      </c>
      <c r="G19" s="546"/>
      <c r="H19" s="557"/>
      <c r="I19" s="546" t="s">
        <v>390</v>
      </c>
      <c r="J19" s="558" t="s">
        <v>409</v>
      </c>
      <c r="K19" s="547" t="s">
        <v>373</v>
      </c>
      <c r="L19" s="545" t="s">
        <v>392</v>
      </c>
      <c r="M19" s="547" t="s">
        <v>410</v>
      </c>
      <c r="N19" s="547" t="s">
        <v>411</v>
      </c>
      <c r="O19" s="548"/>
      <c r="P19" s="548"/>
      <c r="Q19" s="548">
        <v>2</v>
      </c>
      <c r="R19" s="548"/>
      <c r="S19" s="548"/>
      <c r="T19" s="549" t="s">
        <v>406</v>
      </c>
      <c r="U19" s="550" t="s">
        <v>412</v>
      </c>
      <c r="V19" s="551">
        <v>0</v>
      </c>
      <c r="W19" s="552">
        <v>0</v>
      </c>
      <c r="X19" s="552">
        <v>0</v>
      </c>
      <c r="Y19" s="552">
        <v>0</v>
      </c>
      <c r="Z19" s="552">
        <v>0</v>
      </c>
      <c r="AA19" s="552">
        <v>1</v>
      </c>
      <c r="AB19" s="552">
        <v>0</v>
      </c>
      <c r="AC19" s="552">
        <v>0</v>
      </c>
      <c r="AD19" s="552">
        <v>0</v>
      </c>
      <c r="AE19" s="552">
        <v>0</v>
      </c>
      <c r="AF19" s="552">
        <v>0</v>
      </c>
      <c r="AG19" s="553">
        <v>1</v>
      </c>
      <c r="AH19" s="551">
        <v>0</v>
      </c>
      <c r="AI19" s="554">
        <v>0</v>
      </c>
      <c r="AJ19" s="552">
        <v>0</v>
      </c>
      <c r="AK19" s="552">
        <v>0</v>
      </c>
      <c r="AL19" s="552">
        <v>1</v>
      </c>
      <c r="AM19" s="654">
        <v>0</v>
      </c>
      <c r="AN19" s="552">
        <v>0</v>
      </c>
      <c r="AO19" s="552">
        <v>0</v>
      </c>
      <c r="AP19" s="711">
        <v>0</v>
      </c>
      <c r="AQ19" s="552"/>
      <c r="AR19" s="552"/>
      <c r="AS19" s="553"/>
      <c r="AT19" s="551">
        <f t="shared" si="1"/>
        <v>1</v>
      </c>
      <c r="AU19" s="561">
        <f t="shared" si="0"/>
        <v>0.5</v>
      </c>
      <c r="AV19" s="754" t="s">
        <v>413</v>
      </c>
      <c r="AW19" s="761" t="s">
        <v>378</v>
      </c>
      <c r="AX19" s="563"/>
    </row>
    <row r="20" spans="1:50" s="556" customFormat="1" ht="19.5" customHeight="1">
      <c r="A20" s="544"/>
      <c r="B20" s="545"/>
      <c r="C20" s="545"/>
      <c r="D20" s="545"/>
      <c r="E20" s="545"/>
      <c r="F20" s="545" t="s">
        <v>14</v>
      </c>
      <c r="G20" s="546"/>
      <c r="H20" s="557"/>
      <c r="I20" s="546" t="s">
        <v>209</v>
      </c>
      <c r="J20" s="558" t="s">
        <v>414</v>
      </c>
      <c r="K20" s="547" t="s">
        <v>373</v>
      </c>
      <c r="L20" s="545" t="s">
        <v>392</v>
      </c>
      <c r="M20" s="547" t="s">
        <v>404</v>
      </c>
      <c r="N20" s="547" t="s">
        <v>415</v>
      </c>
      <c r="O20" s="548"/>
      <c r="P20" s="548"/>
      <c r="Q20" s="548">
        <v>4</v>
      </c>
      <c r="R20" s="548"/>
      <c r="S20" s="548"/>
      <c r="T20" s="549" t="s">
        <v>416</v>
      </c>
      <c r="U20" s="550" t="s">
        <v>417</v>
      </c>
      <c r="V20" s="551">
        <v>0</v>
      </c>
      <c r="W20" s="552">
        <v>0</v>
      </c>
      <c r="X20" s="552">
        <v>1</v>
      </c>
      <c r="Y20" s="552">
        <v>0</v>
      </c>
      <c r="Z20" s="552">
        <v>0</v>
      </c>
      <c r="AA20" s="552">
        <v>1</v>
      </c>
      <c r="AB20" s="552">
        <v>0</v>
      </c>
      <c r="AC20" s="552">
        <v>0</v>
      </c>
      <c r="AD20" s="552">
        <v>1</v>
      </c>
      <c r="AE20" s="552">
        <v>0</v>
      </c>
      <c r="AF20" s="552">
        <v>0</v>
      </c>
      <c r="AG20" s="553">
        <v>1</v>
      </c>
      <c r="AH20" s="551">
        <v>0</v>
      </c>
      <c r="AI20" s="552">
        <v>0</v>
      </c>
      <c r="AJ20" s="552">
        <v>1</v>
      </c>
      <c r="AK20" s="552">
        <v>0</v>
      </c>
      <c r="AL20" s="552">
        <v>0</v>
      </c>
      <c r="AM20" s="654">
        <v>1</v>
      </c>
      <c r="AN20" s="552">
        <v>0</v>
      </c>
      <c r="AO20" s="552">
        <v>0</v>
      </c>
      <c r="AP20" s="711">
        <v>1</v>
      </c>
      <c r="AQ20" s="552"/>
      <c r="AR20" s="552"/>
      <c r="AS20" s="553"/>
      <c r="AT20" s="551">
        <f t="shared" si="1"/>
        <v>3</v>
      </c>
      <c r="AU20" s="561">
        <f t="shared" si="0"/>
        <v>0.75</v>
      </c>
      <c r="AV20" s="754" t="s">
        <v>1281</v>
      </c>
      <c r="AW20" s="761" t="s">
        <v>418</v>
      </c>
      <c r="AX20" s="762" t="s">
        <v>419</v>
      </c>
    </row>
    <row r="21" spans="1:50" s="556" customFormat="1" ht="19.5" customHeight="1">
      <c r="A21" s="544"/>
      <c r="B21" s="545"/>
      <c r="C21" s="545"/>
      <c r="D21" s="545"/>
      <c r="E21" s="545"/>
      <c r="F21" s="545" t="s">
        <v>14</v>
      </c>
      <c r="G21" s="546"/>
      <c r="H21" s="557"/>
      <c r="I21" s="546" t="s">
        <v>209</v>
      </c>
      <c r="J21" s="558" t="s">
        <v>420</v>
      </c>
      <c r="K21" s="547" t="s">
        <v>421</v>
      </c>
      <c r="L21" s="545" t="s">
        <v>392</v>
      </c>
      <c r="M21" s="547" t="s">
        <v>422</v>
      </c>
      <c r="N21" s="547" t="s">
        <v>423</v>
      </c>
      <c r="O21" s="548"/>
      <c r="P21" s="548"/>
      <c r="Q21" s="548">
        <v>1</v>
      </c>
      <c r="R21" s="548"/>
      <c r="S21" s="548"/>
      <c r="T21" s="549" t="s">
        <v>424</v>
      </c>
      <c r="U21" s="564" t="s">
        <v>425</v>
      </c>
      <c r="V21" s="551">
        <v>0</v>
      </c>
      <c r="W21" s="552">
        <v>0</v>
      </c>
      <c r="X21" s="552">
        <v>0</v>
      </c>
      <c r="Y21" s="552">
        <v>0</v>
      </c>
      <c r="Z21" s="552">
        <v>0</v>
      </c>
      <c r="AA21" s="552">
        <v>0</v>
      </c>
      <c r="AB21" s="552">
        <v>0</v>
      </c>
      <c r="AC21" s="552">
        <v>0</v>
      </c>
      <c r="AD21" s="552">
        <v>1</v>
      </c>
      <c r="AE21" s="552">
        <v>0</v>
      </c>
      <c r="AF21" s="552">
        <v>0</v>
      </c>
      <c r="AG21" s="553">
        <v>0</v>
      </c>
      <c r="AH21" s="551">
        <v>0</v>
      </c>
      <c r="AI21" s="552">
        <v>0</v>
      </c>
      <c r="AJ21" s="552">
        <v>0</v>
      </c>
      <c r="AK21" s="552">
        <v>0</v>
      </c>
      <c r="AL21" s="552">
        <v>0</v>
      </c>
      <c r="AM21" s="654">
        <v>0</v>
      </c>
      <c r="AN21" s="552">
        <v>0</v>
      </c>
      <c r="AO21" s="552">
        <v>0</v>
      </c>
      <c r="AP21" s="711">
        <v>1</v>
      </c>
      <c r="AQ21" s="552"/>
      <c r="AR21" s="552"/>
      <c r="AS21" s="553"/>
      <c r="AT21" s="551">
        <f t="shared" si="1"/>
        <v>1</v>
      </c>
      <c r="AU21" s="561">
        <f t="shared" si="0"/>
        <v>1</v>
      </c>
      <c r="AV21" s="754" t="s">
        <v>426</v>
      </c>
      <c r="AW21" s="562"/>
      <c r="AX21" s="563"/>
    </row>
    <row r="22" spans="1:50" s="556" customFormat="1" ht="19.5" customHeight="1">
      <c r="A22" s="544"/>
      <c r="B22" s="545"/>
      <c r="C22" s="545"/>
      <c r="D22" s="545"/>
      <c r="E22" s="545"/>
      <c r="F22" s="545" t="s">
        <v>14</v>
      </c>
      <c r="G22" s="546"/>
      <c r="H22" s="557"/>
      <c r="I22" s="546" t="s">
        <v>209</v>
      </c>
      <c r="J22" s="565" t="s">
        <v>427</v>
      </c>
      <c r="K22" s="547" t="s">
        <v>421</v>
      </c>
      <c r="L22" s="545" t="s">
        <v>392</v>
      </c>
      <c r="M22" s="547" t="s">
        <v>422</v>
      </c>
      <c r="N22" s="547" t="s">
        <v>428</v>
      </c>
      <c r="O22" s="548"/>
      <c r="P22" s="548"/>
      <c r="Q22" s="548">
        <v>1</v>
      </c>
      <c r="R22" s="548"/>
      <c r="S22" s="548"/>
      <c r="T22" s="549" t="s">
        <v>424</v>
      </c>
      <c r="U22" s="550" t="s">
        <v>429</v>
      </c>
      <c r="V22" s="551">
        <v>0</v>
      </c>
      <c r="W22" s="552">
        <v>0</v>
      </c>
      <c r="X22" s="552">
        <v>0</v>
      </c>
      <c r="Y22" s="552">
        <v>0</v>
      </c>
      <c r="Z22" s="552">
        <v>0</v>
      </c>
      <c r="AA22" s="552">
        <v>0</v>
      </c>
      <c r="AB22" s="552">
        <v>0</v>
      </c>
      <c r="AC22" s="552">
        <v>0</v>
      </c>
      <c r="AD22" s="552">
        <v>1</v>
      </c>
      <c r="AE22" s="552">
        <v>0</v>
      </c>
      <c r="AF22" s="552">
        <v>0</v>
      </c>
      <c r="AG22" s="553">
        <v>0</v>
      </c>
      <c r="AH22" s="551">
        <v>0</v>
      </c>
      <c r="AI22" s="552">
        <v>0</v>
      </c>
      <c r="AJ22" s="552">
        <v>0</v>
      </c>
      <c r="AK22" s="552">
        <v>0</v>
      </c>
      <c r="AL22" s="552">
        <v>0</v>
      </c>
      <c r="AM22" s="654">
        <v>0</v>
      </c>
      <c r="AN22" s="552">
        <v>0</v>
      </c>
      <c r="AO22" s="552">
        <v>0</v>
      </c>
      <c r="AP22" s="782">
        <v>0.5</v>
      </c>
      <c r="AQ22" s="552"/>
      <c r="AR22" s="552"/>
      <c r="AS22" s="553"/>
      <c r="AT22" s="783">
        <f t="shared" si="1"/>
        <v>0.5</v>
      </c>
      <c r="AU22" s="561">
        <f t="shared" si="0"/>
        <v>0.5</v>
      </c>
      <c r="AV22" s="754" t="s">
        <v>430</v>
      </c>
      <c r="AW22" s="562" t="s">
        <v>431</v>
      </c>
      <c r="AX22" s="563" t="s">
        <v>419</v>
      </c>
    </row>
    <row r="23" spans="1:50" s="556" customFormat="1" ht="19.5" customHeight="1">
      <c r="A23" s="544"/>
      <c r="B23" s="545"/>
      <c r="C23" s="545"/>
      <c r="D23" s="545"/>
      <c r="E23" s="545"/>
      <c r="F23" s="545"/>
      <c r="G23" s="546"/>
      <c r="H23" s="557"/>
      <c r="I23" s="546" t="s">
        <v>209</v>
      </c>
      <c r="J23" s="558" t="s">
        <v>432</v>
      </c>
      <c r="K23" s="547" t="s">
        <v>421</v>
      </c>
      <c r="L23" s="545" t="s">
        <v>392</v>
      </c>
      <c r="M23" s="547" t="s">
        <v>433</v>
      </c>
      <c r="N23" s="547" t="s">
        <v>434</v>
      </c>
      <c r="O23" s="548"/>
      <c r="P23" s="548"/>
      <c r="Q23" s="548">
        <v>1</v>
      </c>
      <c r="R23" s="548"/>
      <c r="S23" s="548"/>
      <c r="T23" s="549" t="s">
        <v>424</v>
      </c>
      <c r="U23" s="550" t="s">
        <v>435</v>
      </c>
      <c r="V23" s="551">
        <v>0</v>
      </c>
      <c r="W23" s="552">
        <v>0</v>
      </c>
      <c r="X23" s="552">
        <v>1</v>
      </c>
      <c r="Y23" s="552">
        <v>0</v>
      </c>
      <c r="Z23" s="552">
        <v>0</v>
      </c>
      <c r="AA23" s="552">
        <v>0</v>
      </c>
      <c r="AB23" s="552">
        <v>0</v>
      </c>
      <c r="AC23" s="552">
        <v>0</v>
      </c>
      <c r="AD23" s="552">
        <v>0</v>
      </c>
      <c r="AE23" s="552">
        <v>0</v>
      </c>
      <c r="AF23" s="552">
        <v>0</v>
      </c>
      <c r="AG23" s="553">
        <v>0</v>
      </c>
      <c r="AH23" s="551">
        <v>0</v>
      </c>
      <c r="AI23" s="552">
        <v>0</v>
      </c>
      <c r="AJ23" s="566">
        <v>0.5</v>
      </c>
      <c r="AK23" s="566">
        <v>0.3</v>
      </c>
      <c r="AL23" s="566">
        <v>0.2</v>
      </c>
      <c r="AM23" s="552">
        <v>0</v>
      </c>
      <c r="AN23" s="552">
        <v>0</v>
      </c>
      <c r="AO23" s="552">
        <v>0</v>
      </c>
      <c r="AP23" s="711">
        <v>0</v>
      </c>
      <c r="AQ23" s="552"/>
      <c r="AR23" s="552"/>
      <c r="AS23" s="553"/>
      <c r="AT23" s="560">
        <f t="shared" si="1"/>
        <v>1</v>
      </c>
      <c r="AU23" s="561">
        <f t="shared" si="0"/>
        <v>1</v>
      </c>
      <c r="AV23" s="754" t="s">
        <v>1286</v>
      </c>
      <c r="AW23" s="562" t="s">
        <v>436</v>
      </c>
      <c r="AX23" s="563"/>
    </row>
    <row r="24" spans="1:50" s="684" customFormat="1" ht="19.5" customHeight="1">
      <c r="A24" s="671"/>
      <c r="B24" s="672"/>
      <c r="C24" s="672"/>
      <c r="D24" s="672"/>
      <c r="E24" s="672"/>
      <c r="F24" s="672"/>
      <c r="G24" s="673" t="s">
        <v>437</v>
      </c>
      <c r="H24" s="685" t="s">
        <v>347</v>
      </c>
      <c r="I24" s="567" t="s">
        <v>24</v>
      </c>
      <c r="J24" s="568" t="s">
        <v>438</v>
      </c>
      <c r="K24" s="675" t="s">
        <v>421</v>
      </c>
      <c r="L24" s="672"/>
      <c r="M24" s="675" t="s">
        <v>381</v>
      </c>
      <c r="N24" s="569" t="s">
        <v>439</v>
      </c>
      <c r="O24" s="676"/>
      <c r="P24" s="676"/>
      <c r="Q24" s="686">
        <v>1</v>
      </c>
      <c r="R24" s="676"/>
      <c r="S24" s="676"/>
      <c r="T24" s="677"/>
      <c r="U24" s="678" t="s">
        <v>440</v>
      </c>
      <c r="V24" s="679">
        <v>0</v>
      </c>
      <c r="W24" s="654">
        <v>0</v>
      </c>
      <c r="X24" s="687">
        <v>0.25</v>
      </c>
      <c r="Y24" s="654">
        <v>0</v>
      </c>
      <c r="Z24" s="654">
        <v>0</v>
      </c>
      <c r="AA24" s="687">
        <v>0.25</v>
      </c>
      <c r="AB24" s="654">
        <v>0</v>
      </c>
      <c r="AC24" s="654">
        <v>0</v>
      </c>
      <c r="AD24" s="687">
        <v>0.25</v>
      </c>
      <c r="AE24" s="654">
        <v>0</v>
      </c>
      <c r="AF24" s="654">
        <v>0</v>
      </c>
      <c r="AG24" s="687">
        <v>0.25</v>
      </c>
      <c r="AH24" s="679">
        <v>0</v>
      </c>
      <c r="AI24" s="654">
        <v>0</v>
      </c>
      <c r="AJ24" s="687">
        <v>0.25</v>
      </c>
      <c r="AK24" s="654">
        <v>0</v>
      </c>
      <c r="AL24" s="654">
        <v>0</v>
      </c>
      <c r="AM24" s="687">
        <v>0.25</v>
      </c>
      <c r="AN24" s="654">
        <v>0</v>
      </c>
      <c r="AO24" s="654">
        <v>0</v>
      </c>
      <c r="AP24" s="784">
        <v>0.25</v>
      </c>
      <c r="AQ24" s="654"/>
      <c r="AR24" s="654"/>
      <c r="AS24" s="680"/>
      <c r="AT24" s="688">
        <f t="shared" si="1"/>
        <v>0.75</v>
      </c>
      <c r="AU24" s="689">
        <f t="shared" si="0"/>
        <v>0.75</v>
      </c>
      <c r="AV24" s="759" t="s">
        <v>1282</v>
      </c>
      <c r="AW24" s="562" t="s">
        <v>378</v>
      </c>
      <c r="AX24" s="683" t="s">
        <v>378</v>
      </c>
    </row>
    <row r="25" spans="1:50" s="684" customFormat="1" ht="19.5" customHeight="1">
      <c r="A25" s="671"/>
      <c r="B25" s="672"/>
      <c r="C25" s="672"/>
      <c r="D25" s="672"/>
      <c r="E25" s="672"/>
      <c r="F25" s="672"/>
      <c r="G25" s="673" t="s">
        <v>437</v>
      </c>
      <c r="H25" s="685" t="s">
        <v>347</v>
      </c>
      <c r="I25" s="567" t="s">
        <v>441</v>
      </c>
      <c r="J25" s="568" t="s">
        <v>442</v>
      </c>
      <c r="K25" s="675" t="s">
        <v>421</v>
      </c>
      <c r="L25" s="672"/>
      <c r="M25" s="675" t="s">
        <v>381</v>
      </c>
      <c r="N25" s="569" t="s">
        <v>443</v>
      </c>
      <c r="O25" s="676"/>
      <c r="P25" s="676"/>
      <c r="Q25" s="686">
        <v>1</v>
      </c>
      <c r="R25" s="676"/>
      <c r="S25" s="676"/>
      <c r="T25" s="677"/>
      <c r="U25" s="678" t="s">
        <v>444</v>
      </c>
      <c r="V25" s="679">
        <v>0</v>
      </c>
      <c r="W25" s="654">
        <v>0</v>
      </c>
      <c r="X25" s="690">
        <v>0</v>
      </c>
      <c r="Y25" s="654">
        <v>0</v>
      </c>
      <c r="Z25" s="654">
        <v>0</v>
      </c>
      <c r="AA25" s="690">
        <v>0</v>
      </c>
      <c r="AB25" s="654">
        <v>1</v>
      </c>
      <c r="AC25" s="654">
        <v>0</v>
      </c>
      <c r="AD25" s="690">
        <v>0</v>
      </c>
      <c r="AE25" s="654">
        <v>0</v>
      </c>
      <c r="AF25" s="654">
        <v>0</v>
      </c>
      <c r="AG25" s="680">
        <v>0</v>
      </c>
      <c r="AH25" s="679">
        <v>0</v>
      </c>
      <c r="AI25" s="654">
        <v>0</v>
      </c>
      <c r="AJ25" s="654">
        <v>0</v>
      </c>
      <c r="AK25" s="654">
        <v>0</v>
      </c>
      <c r="AL25" s="654">
        <v>0</v>
      </c>
      <c r="AM25" s="654">
        <v>0</v>
      </c>
      <c r="AN25" s="654">
        <v>0</v>
      </c>
      <c r="AO25" s="654">
        <v>0</v>
      </c>
      <c r="AP25" s="710">
        <v>1</v>
      </c>
      <c r="AQ25" s="654"/>
      <c r="AR25" s="654"/>
      <c r="AS25" s="680"/>
      <c r="AT25" s="679">
        <f t="shared" si="1"/>
        <v>1</v>
      </c>
      <c r="AU25" s="689">
        <f t="shared" si="0"/>
        <v>1</v>
      </c>
      <c r="AV25" s="754" t="s">
        <v>1283</v>
      </c>
      <c r="AW25" s="562"/>
      <c r="AX25" s="563"/>
    </row>
    <row r="26" spans="1:50" s="556" customFormat="1" ht="19.5" customHeight="1" thickBot="1">
      <c r="A26" s="570"/>
      <c r="B26" s="571"/>
      <c r="C26" s="571"/>
      <c r="D26" s="571"/>
      <c r="E26" s="571"/>
      <c r="F26" s="571"/>
      <c r="G26" s="572" t="s">
        <v>437</v>
      </c>
      <c r="H26" s="573" t="s">
        <v>347</v>
      </c>
      <c r="I26" s="574" t="s">
        <v>445</v>
      </c>
      <c r="J26" s="575" t="s">
        <v>446</v>
      </c>
      <c r="K26" s="576" t="s">
        <v>421</v>
      </c>
      <c r="L26" s="571" t="s">
        <v>392</v>
      </c>
      <c r="M26" s="576" t="s">
        <v>447</v>
      </c>
      <c r="N26" s="577" t="s">
        <v>448</v>
      </c>
      <c r="O26" s="578"/>
      <c r="P26" s="578"/>
      <c r="Q26" s="579">
        <v>1</v>
      </c>
      <c r="R26" s="578"/>
      <c r="S26" s="578"/>
      <c r="T26" s="580" t="s">
        <v>416</v>
      </c>
      <c r="U26" s="581" t="s">
        <v>449</v>
      </c>
      <c r="V26" s="582">
        <v>0</v>
      </c>
      <c r="W26" s="583">
        <v>0</v>
      </c>
      <c r="X26" s="584">
        <v>25</v>
      </c>
      <c r="Y26" s="583">
        <v>0</v>
      </c>
      <c r="Z26" s="583">
        <v>0</v>
      </c>
      <c r="AA26" s="584">
        <v>25</v>
      </c>
      <c r="AB26" s="583">
        <v>0</v>
      </c>
      <c r="AC26" s="583">
        <v>0</v>
      </c>
      <c r="AD26" s="584">
        <v>25</v>
      </c>
      <c r="AE26" s="583">
        <v>0</v>
      </c>
      <c r="AF26" s="583">
        <v>0</v>
      </c>
      <c r="AG26" s="585">
        <v>25</v>
      </c>
      <c r="AH26" s="582">
        <v>0</v>
      </c>
      <c r="AI26" s="583">
        <v>0</v>
      </c>
      <c r="AJ26" s="583">
        <v>25</v>
      </c>
      <c r="AK26" s="583">
        <v>0</v>
      </c>
      <c r="AL26" s="583">
        <v>0</v>
      </c>
      <c r="AM26" s="691">
        <v>25</v>
      </c>
      <c r="AN26" s="583">
        <v>0</v>
      </c>
      <c r="AO26" s="583">
        <v>0</v>
      </c>
      <c r="AP26" s="712">
        <v>25</v>
      </c>
      <c r="AQ26" s="583"/>
      <c r="AR26" s="583"/>
      <c r="AS26" s="585"/>
      <c r="AT26" s="582">
        <f>SUM(AH26:AS26)</f>
        <v>75</v>
      </c>
      <c r="AU26" s="561">
        <v>1</v>
      </c>
      <c r="AV26" s="760" t="s">
        <v>1284</v>
      </c>
      <c r="AW26" s="763"/>
      <c r="AX26" s="764"/>
    </row>
    <row r="27" spans="1:50">
      <c r="A27" s="1235" t="s">
        <v>105</v>
      </c>
      <c r="B27" s="1236"/>
      <c r="C27" s="1236"/>
      <c r="D27" s="1236"/>
      <c r="E27" s="1236"/>
      <c r="F27" s="1236"/>
      <c r="G27" s="1236"/>
      <c r="H27" s="1236"/>
      <c r="I27" s="1236"/>
      <c r="J27" s="1236"/>
      <c r="K27" s="1236"/>
      <c r="L27" s="1236"/>
      <c r="M27" s="1236"/>
      <c r="N27" s="1236"/>
      <c r="O27" s="1236"/>
      <c r="P27" s="1236"/>
      <c r="Q27" s="1236"/>
      <c r="R27" s="1236"/>
      <c r="S27" s="1236"/>
      <c r="T27" s="1236"/>
      <c r="U27" s="1236"/>
      <c r="V27" s="1236"/>
      <c r="W27" s="1236"/>
      <c r="X27" s="1236"/>
      <c r="Y27" s="1236"/>
      <c r="Z27" s="1236"/>
      <c r="AA27" s="1236"/>
      <c r="AB27" s="1236"/>
      <c r="AC27" s="1236"/>
      <c r="AD27" s="1236"/>
      <c r="AE27" s="1236"/>
      <c r="AF27" s="1236"/>
      <c r="AG27" s="1236"/>
      <c r="AH27" s="1236"/>
      <c r="AI27" s="1236"/>
      <c r="AJ27" s="1236"/>
      <c r="AK27" s="1236"/>
      <c r="AL27" s="1236"/>
      <c r="AM27" s="1236"/>
      <c r="AN27" s="1236"/>
      <c r="AO27" s="1236"/>
      <c r="AP27" s="1236"/>
      <c r="AQ27" s="1236"/>
      <c r="AR27" s="1236"/>
      <c r="AS27" s="1236"/>
      <c r="AT27" s="1236"/>
      <c r="AU27" s="1236"/>
      <c r="AV27" s="1236"/>
      <c r="AW27" s="1236"/>
      <c r="AX27" s="1237"/>
    </row>
    <row r="28" spans="1:50" ht="78.75" customHeight="1">
      <c r="A28" s="1254" t="s">
        <v>450</v>
      </c>
      <c r="B28" s="1255"/>
      <c r="C28" s="1256"/>
      <c r="D28" s="1211" t="s">
        <v>451</v>
      </c>
      <c r="E28" s="1212"/>
      <c r="F28" s="1212"/>
      <c r="G28" s="1212"/>
      <c r="H28" s="1212"/>
      <c r="I28" s="1213"/>
      <c r="J28" s="1223" t="s">
        <v>452</v>
      </c>
      <c r="K28" s="1224"/>
      <c r="L28" s="1224"/>
      <c r="M28" s="1224"/>
      <c r="N28" s="1224"/>
      <c r="O28" s="1225"/>
      <c r="P28" s="1211" t="s">
        <v>451</v>
      </c>
      <c r="Q28" s="1212"/>
      <c r="R28" s="1212"/>
      <c r="S28" s="1212"/>
      <c r="T28" s="1212"/>
      <c r="U28" s="1213"/>
      <c r="V28" s="1220" t="s">
        <v>451</v>
      </c>
      <c r="W28" s="1221"/>
      <c r="X28" s="1221"/>
      <c r="Y28" s="1221"/>
      <c r="Z28" s="1221"/>
      <c r="AA28" s="1221"/>
      <c r="AB28" s="1221"/>
      <c r="AC28" s="1222"/>
      <c r="AD28" s="1220" t="s">
        <v>451</v>
      </c>
      <c r="AE28" s="1221"/>
      <c r="AF28" s="1221"/>
      <c r="AG28" s="1221"/>
      <c r="AH28" s="1221"/>
      <c r="AI28" s="1221"/>
      <c r="AJ28" s="1221"/>
      <c r="AK28" s="1221"/>
      <c r="AL28" s="1221"/>
      <c r="AM28" s="1221"/>
      <c r="AN28" s="1221"/>
      <c r="AO28" s="1222"/>
      <c r="AP28" s="1245" t="s">
        <v>453</v>
      </c>
      <c r="AQ28" s="1246"/>
      <c r="AR28" s="1246"/>
      <c r="AS28" s="1247"/>
      <c r="AT28" s="1211" t="s">
        <v>454</v>
      </c>
      <c r="AU28" s="1212"/>
      <c r="AV28" s="1212"/>
      <c r="AW28" s="1212"/>
      <c r="AX28" s="1267"/>
    </row>
    <row r="29" spans="1:50" ht="50.25" customHeight="1">
      <c r="A29" s="1257"/>
      <c r="B29" s="1258"/>
      <c r="C29" s="1259"/>
      <c r="D29" s="1211" t="s">
        <v>455</v>
      </c>
      <c r="E29" s="1212"/>
      <c r="F29" s="1212"/>
      <c r="G29" s="1212"/>
      <c r="H29" s="1212"/>
      <c r="I29" s="1213"/>
      <c r="J29" s="1226"/>
      <c r="K29" s="1227"/>
      <c r="L29" s="1227"/>
      <c r="M29" s="1227"/>
      <c r="N29" s="1227"/>
      <c r="O29" s="1228"/>
      <c r="P29" s="1211" t="s">
        <v>456</v>
      </c>
      <c r="Q29" s="1212"/>
      <c r="R29" s="1212"/>
      <c r="S29" s="1212"/>
      <c r="T29" s="1212"/>
      <c r="U29" s="1213"/>
      <c r="V29" s="1220" t="s">
        <v>457</v>
      </c>
      <c r="W29" s="1221"/>
      <c r="X29" s="1221"/>
      <c r="Y29" s="1221"/>
      <c r="Z29" s="1221"/>
      <c r="AA29" s="1221"/>
      <c r="AB29" s="1221"/>
      <c r="AC29" s="1222"/>
      <c r="AD29" s="1220" t="s">
        <v>458</v>
      </c>
      <c r="AE29" s="1221"/>
      <c r="AF29" s="1221"/>
      <c r="AG29" s="1221"/>
      <c r="AH29" s="1221"/>
      <c r="AI29" s="1221"/>
      <c r="AJ29" s="1221"/>
      <c r="AK29" s="1221"/>
      <c r="AL29" s="1221"/>
      <c r="AM29" s="1221"/>
      <c r="AN29" s="1221"/>
      <c r="AO29" s="1222"/>
      <c r="AP29" s="1248"/>
      <c r="AQ29" s="1249"/>
      <c r="AR29" s="1249"/>
      <c r="AS29" s="1250"/>
      <c r="AT29" s="1211" t="s">
        <v>459</v>
      </c>
      <c r="AU29" s="1212"/>
      <c r="AV29" s="1212"/>
      <c r="AW29" s="1212"/>
      <c r="AX29" s="1267"/>
    </row>
    <row r="30" spans="1:50" ht="32.25" customHeight="1">
      <c r="A30" s="1260"/>
      <c r="B30" s="1261"/>
      <c r="C30" s="1262"/>
      <c r="D30" s="1232" t="s">
        <v>460</v>
      </c>
      <c r="E30" s="1233"/>
      <c r="F30" s="1233"/>
      <c r="G30" s="1233"/>
      <c r="H30" s="1233"/>
      <c r="I30" s="1234"/>
      <c r="J30" s="1229"/>
      <c r="K30" s="1230"/>
      <c r="L30" s="1230"/>
      <c r="M30" s="1230"/>
      <c r="N30" s="1230"/>
      <c r="O30" s="1231"/>
      <c r="P30" s="1232" t="s">
        <v>461</v>
      </c>
      <c r="Q30" s="1233"/>
      <c r="R30" s="1233"/>
      <c r="S30" s="1233"/>
      <c r="T30" s="1233"/>
      <c r="U30" s="1234"/>
      <c r="V30" s="1205" t="s">
        <v>462</v>
      </c>
      <c r="W30" s="1206"/>
      <c r="X30" s="1206"/>
      <c r="Y30" s="1206"/>
      <c r="Z30" s="1206"/>
      <c r="AA30" s="1206"/>
      <c r="AB30" s="1206"/>
      <c r="AC30" s="1207"/>
      <c r="AD30" s="1205" t="s">
        <v>463</v>
      </c>
      <c r="AE30" s="1206"/>
      <c r="AF30" s="1206"/>
      <c r="AG30" s="1206"/>
      <c r="AH30" s="1206"/>
      <c r="AI30" s="1206"/>
      <c r="AJ30" s="1206"/>
      <c r="AK30" s="1206"/>
      <c r="AL30" s="1206"/>
      <c r="AM30" s="1206"/>
      <c r="AN30" s="1206"/>
      <c r="AO30" s="1207"/>
      <c r="AP30" s="1251"/>
      <c r="AQ30" s="1252"/>
      <c r="AR30" s="1252"/>
      <c r="AS30" s="1253"/>
      <c r="AT30" s="1232" t="s">
        <v>464</v>
      </c>
      <c r="AU30" s="1233"/>
      <c r="AV30" s="1233"/>
      <c r="AW30" s="1233"/>
      <c r="AX30" s="1238"/>
    </row>
  </sheetData>
  <mergeCells count="56">
    <mergeCell ref="AT29:AX29"/>
    <mergeCell ref="AT28:AX28"/>
    <mergeCell ref="A9:C9"/>
    <mergeCell ref="A5:AG5"/>
    <mergeCell ref="A6:C8"/>
    <mergeCell ref="D6:E8"/>
    <mergeCell ref="F6:G8"/>
    <mergeCell ref="H6:I6"/>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19" fitToHeight="0" orientation="landscape" r:id="rId1"/>
  <rowBreaks count="1" manualBreakCount="1">
    <brk id="23" max="4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F7" sqref="F7"/>
    </sheetView>
  </sheetViews>
  <sheetFormatPr baseColWidth="10" defaultColWidth="11.42578125" defaultRowHeight="15"/>
  <cols>
    <col min="1" max="1" width="8.85546875" style="157" bestFit="1" customWidth="1"/>
    <col min="2" max="2" width="11.42578125" style="50"/>
    <col min="3" max="3" width="55.7109375" style="50" customWidth="1"/>
    <col min="4" max="4" width="15.5703125" style="50" hidden="1" customWidth="1"/>
    <col min="5" max="5" width="17.28515625" style="50" hidden="1" customWidth="1"/>
    <col min="6" max="6" width="21.140625" style="50" customWidth="1"/>
    <col min="7" max="8" width="17.28515625" style="50" hidden="1" customWidth="1"/>
    <col min="9" max="9" width="18.5703125" style="50" hidden="1" customWidth="1"/>
    <col min="10" max="10" width="13.5703125" style="157" customWidth="1"/>
    <col min="11" max="11" width="14.42578125" style="157" customWidth="1"/>
    <col min="12" max="16384" width="11.42578125" style="50"/>
  </cols>
  <sheetData>
    <row r="1" spans="1:11" ht="15.75" thickBot="1">
      <c r="A1" s="1278" t="s">
        <v>465</v>
      </c>
      <c r="B1" s="1279"/>
      <c r="C1" s="1279"/>
      <c r="D1" s="1279"/>
      <c r="E1" s="1279"/>
      <c r="F1" s="1279"/>
      <c r="G1" s="1279"/>
      <c r="H1" s="1279"/>
      <c r="I1" s="1280"/>
    </row>
    <row r="2" spans="1:11" ht="45">
      <c r="A2" s="170" t="s">
        <v>466</v>
      </c>
      <c r="B2" s="171" t="s">
        <v>467</v>
      </c>
      <c r="C2" s="171" t="s">
        <v>468</v>
      </c>
      <c r="D2" s="171">
        <v>2020</v>
      </c>
      <c r="E2" s="171">
        <v>2021</v>
      </c>
      <c r="F2" s="172">
        <v>2022</v>
      </c>
      <c r="G2" s="171">
        <v>2023</v>
      </c>
      <c r="H2" s="171">
        <v>2024</v>
      </c>
      <c r="I2" s="173" t="s">
        <v>469</v>
      </c>
      <c r="J2" s="156" t="s">
        <v>470</v>
      </c>
      <c r="K2" s="156" t="s">
        <v>471</v>
      </c>
    </row>
    <row r="3" spans="1:11" ht="30">
      <c r="A3" s="182">
        <v>7673</v>
      </c>
      <c r="B3" s="183">
        <v>1</v>
      </c>
      <c r="C3" s="305" t="s">
        <v>472</v>
      </c>
      <c r="D3" s="174">
        <v>104564466</v>
      </c>
      <c r="E3" s="174">
        <v>2363000000</v>
      </c>
      <c r="F3" s="304">
        <f>'Meta 1'!AC22</f>
        <v>2334220914.1599998</v>
      </c>
      <c r="G3" s="174">
        <v>2491086000</v>
      </c>
      <c r="H3" s="174">
        <v>2219930000</v>
      </c>
      <c r="I3" s="184">
        <v>9680517466</v>
      </c>
      <c r="J3" s="181">
        <f>+F3/F7</f>
        <v>0.43025059525453069</v>
      </c>
      <c r="K3" s="187">
        <v>0.3</v>
      </c>
    </row>
    <row r="4" spans="1:11" ht="45">
      <c r="A4" s="182">
        <v>7673</v>
      </c>
      <c r="B4" s="183">
        <v>2</v>
      </c>
      <c r="C4" s="305" t="s">
        <v>473</v>
      </c>
      <c r="D4" s="174">
        <v>120000000</v>
      </c>
      <c r="E4" s="174">
        <v>727850000</v>
      </c>
      <c r="F4" s="304">
        <f>'Meta 2'!AC22</f>
        <v>280463582</v>
      </c>
      <c r="G4" s="174">
        <v>700000000</v>
      </c>
      <c r="H4" s="174">
        <v>0</v>
      </c>
      <c r="I4" s="184">
        <v>1732612000</v>
      </c>
      <c r="J4" s="181">
        <f>+F4/F7</f>
        <v>5.1695888067279372E-2</v>
      </c>
      <c r="K4" s="187">
        <v>0.1</v>
      </c>
    </row>
    <row r="5" spans="1:11" ht="60">
      <c r="A5" s="182">
        <v>7673</v>
      </c>
      <c r="B5" s="183">
        <v>3</v>
      </c>
      <c r="C5" s="305" t="s">
        <v>474</v>
      </c>
      <c r="D5" s="174">
        <v>97776667</v>
      </c>
      <c r="E5" s="174">
        <v>900135000</v>
      </c>
      <c r="F5" s="304">
        <f>'Meta 3'!AC22</f>
        <v>1580574503.8400002</v>
      </c>
      <c r="G5" s="174">
        <v>725114000</v>
      </c>
      <c r="H5" s="174">
        <v>746870000</v>
      </c>
      <c r="I5" s="184">
        <v>3978455667</v>
      </c>
      <c r="J5" s="181">
        <f>+F5/F7</f>
        <v>0.29133623000118525</v>
      </c>
      <c r="K5" s="187">
        <v>0.25</v>
      </c>
    </row>
    <row r="6" spans="1:11" ht="60">
      <c r="A6" s="182">
        <v>7673</v>
      </c>
      <c r="B6" s="183">
        <v>4</v>
      </c>
      <c r="C6" s="305" t="s">
        <v>475</v>
      </c>
      <c r="D6" s="174">
        <v>0</v>
      </c>
      <c r="E6" s="174">
        <v>0</v>
      </c>
      <c r="F6" s="304">
        <f>'Meta 4'!AC22</f>
        <v>1230000000</v>
      </c>
      <c r="G6" s="174">
        <v>0</v>
      </c>
      <c r="H6" s="174"/>
      <c r="I6" s="184">
        <v>1230000000</v>
      </c>
      <c r="J6" s="181">
        <f>+F6/F7</f>
        <v>0.22671728667700472</v>
      </c>
      <c r="K6" s="187">
        <v>0.35</v>
      </c>
    </row>
    <row r="7" spans="1:11">
      <c r="A7" s="1281" t="s">
        <v>41</v>
      </c>
      <c r="B7" s="1282"/>
      <c r="C7" s="1282"/>
      <c r="D7" s="175">
        <v>322341133</v>
      </c>
      <c r="E7" s="175">
        <v>3990985000</v>
      </c>
      <c r="F7" s="175">
        <f>SUM(F3:F6)</f>
        <v>5425259000</v>
      </c>
      <c r="G7" s="175">
        <v>3916200000</v>
      </c>
      <c r="H7" s="175">
        <v>2966800000</v>
      </c>
      <c r="I7" s="176">
        <v>16621585133</v>
      </c>
      <c r="J7" s="188">
        <f>SUM(J3:J6)</f>
        <v>1</v>
      </c>
      <c r="K7" s="188">
        <f>SUM(K3:K6)</f>
        <v>1</v>
      </c>
    </row>
    <row r="8" spans="1:11">
      <c r="A8" s="1281" t="s">
        <v>476</v>
      </c>
      <c r="B8" s="1282"/>
      <c r="C8" s="1282"/>
      <c r="D8" s="177"/>
      <c r="E8" s="177"/>
      <c r="F8" s="175">
        <v>5425259000</v>
      </c>
      <c r="G8" s="177"/>
      <c r="H8" s="177"/>
      <c r="I8" s="185"/>
    </row>
    <row r="9" spans="1:11" ht="15.75" thickBot="1">
      <c r="A9" s="1283" t="s">
        <v>477</v>
      </c>
      <c r="B9" s="1284"/>
      <c r="C9" s="1284"/>
      <c r="D9" s="178"/>
      <c r="E9" s="178"/>
      <c r="F9" s="179">
        <v>0</v>
      </c>
      <c r="G9" s="178"/>
      <c r="H9" s="178"/>
      <c r="I9" s="186"/>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7F73-FD80-4880-A730-F51C336FD526}">
  <sheetPr>
    <tabColor rgb="FF00B0F0"/>
    <pageSetUpPr fitToPage="1"/>
  </sheetPr>
  <dimension ref="A1:BN49"/>
  <sheetViews>
    <sheetView topLeftCell="AL1" zoomScale="90" zoomScaleNormal="90" workbookViewId="0">
      <selection activeCell="BA16" sqref="BA16"/>
    </sheetView>
  </sheetViews>
  <sheetFormatPr baseColWidth="10" defaultColWidth="11.42578125" defaultRowHeight="15"/>
  <cols>
    <col min="3" max="9" width="11.42578125" style="386"/>
    <col min="11" max="11" width="11.42578125" style="386"/>
    <col min="12" max="13" width="11.85546875" style="386" bestFit="1" customWidth="1"/>
    <col min="14" max="15" width="11.42578125" style="386"/>
    <col min="17" max="18" width="11.42578125" style="386"/>
    <col min="28" max="28" width="11.42578125" style="386"/>
    <col min="35" max="35" width="12.5703125" customWidth="1"/>
    <col min="38" max="38" width="12.42578125" customWidth="1"/>
    <col min="39" max="39" width="13.85546875" customWidth="1"/>
    <col min="40" max="40" width="12.7109375" bestFit="1" customWidth="1"/>
    <col min="41" max="41" width="16.42578125" bestFit="1" customWidth="1"/>
    <col min="42" max="45" width="0" hidden="1" customWidth="1"/>
    <col min="46" max="46" width="6.85546875" customWidth="1"/>
    <col min="47" max="47" width="8" customWidth="1"/>
    <col min="48" max="48" width="18.85546875" style="475" bestFit="1" customWidth="1"/>
    <col min="49" max="50" width="18.140625" style="475" bestFit="1" customWidth="1"/>
    <col min="51" max="51" width="18.5703125" style="475" bestFit="1" customWidth="1"/>
    <col min="52" max="52" width="4.28515625" style="478" customWidth="1"/>
    <col min="53" max="53" width="18.7109375" style="475" bestFit="1" customWidth="1"/>
    <col min="54" max="54" width="18.140625" style="475" bestFit="1" customWidth="1"/>
    <col min="55" max="55" width="17.5703125" style="475" bestFit="1" customWidth="1"/>
    <col min="56" max="56" width="19.140625" style="475" bestFit="1" customWidth="1"/>
    <col min="57" max="57" width="4.140625" style="478" customWidth="1"/>
    <col min="58" max="58" width="16.42578125" style="475" bestFit="1" customWidth="1"/>
    <col min="59" max="59" width="12.5703125" style="422" customWidth="1"/>
    <col min="60" max="61" width="16.42578125" bestFit="1" customWidth="1"/>
    <col min="62" max="66" width="14.42578125" bestFit="1" customWidth="1"/>
  </cols>
  <sheetData>
    <row r="1" spans="1:66">
      <c r="AV1" s="1285" t="s">
        <v>478</v>
      </c>
      <c r="AW1" s="1285"/>
      <c r="AX1" s="1285"/>
      <c r="AY1" s="1285"/>
      <c r="BA1" s="1285" t="s">
        <v>479</v>
      </c>
      <c r="BB1" s="1285"/>
      <c r="BC1" s="1285"/>
      <c r="BD1" s="1285"/>
    </row>
    <row r="2" spans="1:66" ht="60">
      <c r="A2" s="268" t="s">
        <v>480</v>
      </c>
      <c r="B2" s="268" t="s">
        <v>481</v>
      </c>
      <c r="C2" s="468" t="s">
        <v>482</v>
      </c>
      <c r="D2" s="444" t="s">
        <v>483</v>
      </c>
      <c r="E2" s="444" t="s">
        <v>484</v>
      </c>
      <c r="F2" s="444" t="s">
        <v>485</v>
      </c>
      <c r="G2" s="444" t="s">
        <v>486</v>
      </c>
      <c r="H2" s="444" t="s">
        <v>487</v>
      </c>
      <c r="I2" s="444" t="s">
        <v>488</v>
      </c>
      <c r="J2" s="444" t="s">
        <v>489</v>
      </c>
      <c r="K2" s="445" t="s">
        <v>490</v>
      </c>
      <c r="L2" s="444" t="s">
        <v>484</v>
      </c>
      <c r="M2" s="444" t="s">
        <v>485</v>
      </c>
      <c r="N2" s="444" t="s">
        <v>491</v>
      </c>
      <c r="O2" s="444" t="s">
        <v>492</v>
      </c>
      <c r="P2" s="444" t="s">
        <v>493</v>
      </c>
      <c r="Q2" s="444" t="s">
        <v>494</v>
      </c>
      <c r="R2" s="444" t="s">
        <v>495</v>
      </c>
      <c r="S2" s="444" t="s">
        <v>496</v>
      </c>
      <c r="T2" s="444" t="s">
        <v>497</v>
      </c>
      <c r="U2" s="444" t="s">
        <v>498</v>
      </c>
      <c r="V2" s="444" t="s">
        <v>499</v>
      </c>
      <c r="W2" s="444" t="s">
        <v>500</v>
      </c>
      <c r="X2" s="444" t="s">
        <v>501</v>
      </c>
      <c r="Y2" s="444" t="s">
        <v>502</v>
      </c>
      <c r="Z2" s="444" t="s">
        <v>503</v>
      </c>
      <c r="AA2" s="444" t="s">
        <v>504</v>
      </c>
      <c r="AB2" s="444" t="s">
        <v>505</v>
      </c>
      <c r="AC2" s="444" t="s">
        <v>493</v>
      </c>
      <c r="AD2" s="444" t="s">
        <v>506</v>
      </c>
      <c r="AE2" s="444" t="s">
        <v>507</v>
      </c>
      <c r="AF2" s="444" t="s">
        <v>508</v>
      </c>
      <c r="AG2" s="444" t="s">
        <v>509</v>
      </c>
      <c r="AH2" s="444" t="s">
        <v>510</v>
      </c>
      <c r="AI2" s="444" t="s">
        <v>511</v>
      </c>
      <c r="AJ2" s="444" t="s">
        <v>512</v>
      </c>
      <c r="AK2" s="444" t="s">
        <v>513</v>
      </c>
      <c r="AL2" s="444" t="s">
        <v>514</v>
      </c>
      <c r="AM2" s="444" t="s">
        <v>515</v>
      </c>
      <c r="AN2" s="444" t="s">
        <v>516</v>
      </c>
      <c r="AO2" s="444" t="s">
        <v>517</v>
      </c>
      <c r="AP2" s="444" t="s">
        <v>518</v>
      </c>
      <c r="AQ2" s="444" t="s">
        <v>519</v>
      </c>
      <c r="AR2" s="444" t="s">
        <v>520</v>
      </c>
      <c r="AS2" s="444" t="s">
        <v>521</v>
      </c>
      <c r="AT2" s="72"/>
      <c r="AU2" s="414"/>
      <c r="AV2" s="471" t="s">
        <v>522</v>
      </c>
      <c r="AW2" s="471" t="s">
        <v>523</v>
      </c>
      <c r="AX2" s="471" t="s">
        <v>524</v>
      </c>
      <c r="AY2" s="479"/>
      <c r="AZ2" s="480"/>
      <c r="BA2" s="471" t="s">
        <v>522</v>
      </c>
      <c r="BB2" s="471" t="s">
        <v>523</v>
      </c>
      <c r="BC2" s="471" t="s">
        <v>524</v>
      </c>
      <c r="BD2" s="479"/>
      <c r="BE2" s="480"/>
      <c r="BF2" s="480"/>
      <c r="BG2" s="435"/>
      <c r="BH2" s="72"/>
      <c r="BJ2" s="414" t="s">
        <v>525</v>
      </c>
      <c r="BK2" s="414" t="s">
        <v>526</v>
      </c>
      <c r="BL2" s="414" t="s">
        <v>527</v>
      </c>
      <c r="BM2" s="414" t="s">
        <v>528</v>
      </c>
      <c r="BN2" s="414" t="s">
        <v>529</v>
      </c>
    </row>
    <row r="3" spans="1:66">
      <c r="A3" s="269" t="s">
        <v>530</v>
      </c>
      <c r="B3" s="269">
        <v>7673</v>
      </c>
      <c r="C3" s="466" t="s">
        <v>531</v>
      </c>
      <c r="D3" s="467" t="s">
        <v>532</v>
      </c>
      <c r="E3" s="469">
        <v>44562</v>
      </c>
      <c r="F3" s="469">
        <v>44620</v>
      </c>
      <c r="G3" s="467" t="s">
        <v>533</v>
      </c>
      <c r="H3" s="469">
        <v>44562</v>
      </c>
      <c r="I3" s="467" t="s">
        <v>534</v>
      </c>
      <c r="J3" s="440" t="s">
        <v>535</v>
      </c>
      <c r="K3" s="467" t="s">
        <v>536</v>
      </c>
      <c r="L3" s="469">
        <v>44230</v>
      </c>
      <c r="M3" s="469">
        <v>44561</v>
      </c>
      <c r="N3" s="467" t="s">
        <v>537</v>
      </c>
      <c r="O3" s="467" t="s">
        <v>538</v>
      </c>
      <c r="P3" s="440" t="s">
        <v>539</v>
      </c>
      <c r="Q3" s="467" t="s">
        <v>540</v>
      </c>
      <c r="R3" s="467" t="s">
        <v>541</v>
      </c>
      <c r="S3" s="440" t="s">
        <v>542</v>
      </c>
      <c r="T3" s="440" t="s">
        <v>543</v>
      </c>
      <c r="U3" s="440" t="s">
        <v>544</v>
      </c>
      <c r="V3" s="440" t="s">
        <v>545</v>
      </c>
      <c r="W3" s="440" t="s">
        <v>546</v>
      </c>
      <c r="X3" s="440" t="s">
        <v>547</v>
      </c>
      <c r="Y3" s="440" t="s">
        <v>548</v>
      </c>
      <c r="Z3" s="440" t="s">
        <v>549</v>
      </c>
      <c r="AA3" s="440" t="s">
        <v>550</v>
      </c>
      <c r="AB3" s="467" t="s">
        <v>551</v>
      </c>
      <c r="AC3" s="440" t="s">
        <v>552</v>
      </c>
      <c r="AD3" s="440" t="s">
        <v>553</v>
      </c>
      <c r="AE3" s="440" t="s">
        <v>554</v>
      </c>
      <c r="AF3" s="440" t="s">
        <v>555</v>
      </c>
      <c r="AG3" s="440" t="s">
        <v>556</v>
      </c>
      <c r="AH3" s="440" t="s">
        <v>557</v>
      </c>
      <c r="AI3" s="442">
        <v>5250000</v>
      </c>
      <c r="AJ3" s="442">
        <v>0</v>
      </c>
      <c r="AK3" s="442">
        <v>0</v>
      </c>
      <c r="AL3" s="442">
        <v>5250000</v>
      </c>
      <c r="AM3" s="442">
        <f>3500000+1750000</f>
        <v>5250000</v>
      </c>
      <c r="AN3" s="442">
        <f>AI3-AJ3-AK3-AM3</f>
        <v>0</v>
      </c>
      <c r="AO3" s="440" t="s">
        <v>558</v>
      </c>
      <c r="AP3" s="440" t="s">
        <v>532</v>
      </c>
      <c r="AQ3" s="440" t="s">
        <v>559</v>
      </c>
      <c r="AR3" s="440" t="s">
        <v>532</v>
      </c>
      <c r="AS3" s="441">
        <v>44564</v>
      </c>
      <c r="AT3" s="439"/>
      <c r="AU3" s="443" t="s">
        <v>522</v>
      </c>
      <c r="AV3" s="472">
        <f>AL3</f>
        <v>5250000</v>
      </c>
      <c r="AW3" s="472">
        <v>0</v>
      </c>
      <c r="AX3" s="472">
        <v>0</v>
      </c>
      <c r="AY3" s="481">
        <f t="shared" ref="AY3:AY14" si="0">SUM(AV3:AX3)</f>
        <v>5250000</v>
      </c>
      <c r="AZ3" s="477"/>
      <c r="BA3" s="621">
        <f>AM3</f>
        <v>5250000</v>
      </c>
      <c r="BB3" s="472">
        <v>0</v>
      </c>
      <c r="BC3" s="472">
        <v>0</v>
      </c>
      <c r="BD3" s="481">
        <f t="shared" ref="BD3:BD14" si="1">SUM(BA3:BC3)</f>
        <v>5250000</v>
      </c>
      <c r="BE3" s="477"/>
      <c r="BF3" s="481">
        <f t="shared" ref="BF3:BF14" si="2">BD3-AM3</f>
        <v>0</v>
      </c>
      <c r="BG3" s="423"/>
      <c r="BH3" s="266"/>
      <c r="BJ3" s="447"/>
      <c r="BK3" s="447"/>
      <c r="BL3" s="447"/>
      <c r="BM3" s="447"/>
      <c r="BN3" s="447"/>
    </row>
    <row r="4" spans="1:66">
      <c r="A4" s="269" t="s">
        <v>560</v>
      </c>
      <c r="B4" s="269">
        <v>7673</v>
      </c>
      <c r="C4" s="466" t="s">
        <v>531</v>
      </c>
      <c r="D4" s="467" t="s">
        <v>532</v>
      </c>
      <c r="E4" s="469">
        <v>44562</v>
      </c>
      <c r="F4" s="469">
        <v>44620</v>
      </c>
      <c r="G4" s="467" t="s">
        <v>533</v>
      </c>
      <c r="H4" s="469">
        <v>44562</v>
      </c>
      <c r="I4" s="467" t="s">
        <v>561</v>
      </c>
      <c r="J4" s="440" t="s">
        <v>562</v>
      </c>
      <c r="K4" s="467" t="s">
        <v>563</v>
      </c>
      <c r="L4" s="469">
        <v>44561</v>
      </c>
      <c r="M4" s="469">
        <v>44561</v>
      </c>
      <c r="N4" s="467" t="s">
        <v>564</v>
      </c>
      <c r="O4" s="467" t="s">
        <v>538</v>
      </c>
      <c r="P4" s="440" t="s">
        <v>539</v>
      </c>
      <c r="Q4" s="467" t="s">
        <v>565</v>
      </c>
      <c r="R4" s="467" t="s">
        <v>566</v>
      </c>
      <c r="S4" s="440" t="s">
        <v>567</v>
      </c>
      <c r="T4" s="440" t="s">
        <v>543</v>
      </c>
      <c r="U4" s="440" t="s">
        <v>544</v>
      </c>
      <c r="V4" s="440" t="s">
        <v>545</v>
      </c>
      <c r="W4" s="440" t="s">
        <v>546</v>
      </c>
      <c r="X4" s="440" t="s">
        <v>547</v>
      </c>
      <c r="Y4" s="440" t="s">
        <v>548</v>
      </c>
      <c r="Z4" s="440" t="s">
        <v>568</v>
      </c>
      <c r="AA4" s="440" t="s">
        <v>569</v>
      </c>
      <c r="AB4" s="467" t="s">
        <v>551</v>
      </c>
      <c r="AC4" s="440" t="s">
        <v>552</v>
      </c>
      <c r="AD4" s="440" t="s">
        <v>570</v>
      </c>
      <c r="AE4" s="440" t="s">
        <v>554</v>
      </c>
      <c r="AF4" s="440" t="s">
        <v>571</v>
      </c>
      <c r="AG4" s="440" t="s">
        <v>319</v>
      </c>
      <c r="AH4" s="440" t="s">
        <v>557</v>
      </c>
      <c r="AI4" s="442">
        <v>2833333</v>
      </c>
      <c r="AJ4" s="442">
        <v>0</v>
      </c>
      <c r="AK4" s="442">
        <v>0</v>
      </c>
      <c r="AL4" s="442">
        <v>2833333</v>
      </c>
      <c r="AM4" s="442">
        <v>2833333</v>
      </c>
      <c r="AN4" s="442">
        <f t="shared" ref="AN4:AN14" si="3">AI4-AJ4-AK4-AM4</f>
        <v>0</v>
      </c>
      <c r="AO4" s="440" t="s">
        <v>572</v>
      </c>
      <c r="AP4" s="440" t="s">
        <v>532</v>
      </c>
      <c r="AQ4" s="440" t="s">
        <v>573</v>
      </c>
      <c r="AR4" s="440" t="s">
        <v>532</v>
      </c>
      <c r="AS4" s="441">
        <v>44564</v>
      </c>
      <c r="AT4" s="439"/>
      <c r="AU4" s="443" t="s">
        <v>524</v>
      </c>
      <c r="AV4" s="472">
        <v>0</v>
      </c>
      <c r="AW4" s="472">
        <v>0</v>
      </c>
      <c r="AX4" s="472">
        <v>2833333</v>
      </c>
      <c r="AY4" s="481">
        <f t="shared" si="0"/>
        <v>2833333</v>
      </c>
      <c r="AZ4" s="477"/>
      <c r="BA4" s="472">
        <v>0</v>
      </c>
      <c r="BB4" s="472">
        <v>0</v>
      </c>
      <c r="BC4" s="472">
        <f>AM4</f>
        <v>2833333</v>
      </c>
      <c r="BD4" s="481">
        <f t="shared" si="1"/>
        <v>2833333</v>
      </c>
      <c r="BE4" s="477"/>
      <c r="BF4" s="481">
        <f t="shared" si="2"/>
        <v>0</v>
      </c>
      <c r="BG4" s="423"/>
      <c r="BH4" s="266"/>
      <c r="BJ4" s="447">
        <v>2833333</v>
      </c>
      <c r="BK4" s="447"/>
      <c r="BL4" s="447"/>
      <c r="BM4" s="447"/>
      <c r="BN4" s="447"/>
    </row>
    <row r="5" spans="1:66">
      <c r="A5" s="269" t="s">
        <v>574</v>
      </c>
      <c r="B5" s="269">
        <v>7673</v>
      </c>
      <c r="C5" s="466" t="s">
        <v>531</v>
      </c>
      <c r="D5" s="467" t="s">
        <v>532</v>
      </c>
      <c r="E5" s="469">
        <v>44562</v>
      </c>
      <c r="F5" s="469">
        <v>44620</v>
      </c>
      <c r="G5" s="467" t="s">
        <v>533</v>
      </c>
      <c r="H5" s="469">
        <v>44562</v>
      </c>
      <c r="I5" s="467" t="s">
        <v>575</v>
      </c>
      <c r="J5" s="440" t="s">
        <v>576</v>
      </c>
      <c r="K5" s="467" t="s">
        <v>577</v>
      </c>
      <c r="L5" s="469">
        <v>44378</v>
      </c>
      <c r="M5" s="469">
        <v>44561</v>
      </c>
      <c r="N5" s="467" t="s">
        <v>578</v>
      </c>
      <c r="O5" s="467" t="s">
        <v>538</v>
      </c>
      <c r="P5" s="440" t="s">
        <v>539</v>
      </c>
      <c r="Q5" s="467" t="s">
        <v>579</v>
      </c>
      <c r="R5" s="467" t="s">
        <v>580</v>
      </c>
      <c r="S5" s="440" t="s">
        <v>581</v>
      </c>
      <c r="T5" s="440" t="s">
        <v>543</v>
      </c>
      <c r="U5" s="440" t="s">
        <v>544</v>
      </c>
      <c r="V5" s="440" t="s">
        <v>545</v>
      </c>
      <c r="W5" s="440" t="s">
        <v>546</v>
      </c>
      <c r="X5" s="440" t="s">
        <v>582</v>
      </c>
      <c r="Y5" s="440" t="s">
        <v>583</v>
      </c>
      <c r="Z5" s="440" t="s">
        <v>568</v>
      </c>
      <c r="AA5" s="440" t="s">
        <v>569</v>
      </c>
      <c r="AB5" s="467" t="s">
        <v>551</v>
      </c>
      <c r="AC5" s="440" t="s">
        <v>552</v>
      </c>
      <c r="AD5" s="440" t="s">
        <v>584</v>
      </c>
      <c r="AE5" s="440" t="s">
        <v>585</v>
      </c>
      <c r="AF5" s="440" t="s">
        <v>586</v>
      </c>
      <c r="AG5" s="440" t="s">
        <v>587</v>
      </c>
      <c r="AH5" s="440" t="s">
        <v>557</v>
      </c>
      <c r="AI5" s="442">
        <v>253060895</v>
      </c>
      <c r="AJ5" s="442">
        <v>0</v>
      </c>
      <c r="AK5" s="442">
        <v>0</v>
      </c>
      <c r="AL5" s="442">
        <v>253060895</v>
      </c>
      <c r="AM5" s="442">
        <f>28688359+10006641+49766332+0+57070608+29338503+35681367+26958669+15550416</f>
        <v>253060895</v>
      </c>
      <c r="AN5" s="442">
        <f t="shared" si="3"/>
        <v>0</v>
      </c>
      <c r="AO5" s="440" t="s">
        <v>588</v>
      </c>
      <c r="AP5" s="440" t="s">
        <v>532</v>
      </c>
      <c r="AQ5" s="440" t="s">
        <v>589</v>
      </c>
      <c r="AR5" s="440" t="s">
        <v>532</v>
      </c>
      <c r="AS5" s="441">
        <v>44564</v>
      </c>
      <c r="AT5" s="439"/>
      <c r="AU5" s="443" t="s">
        <v>522</v>
      </c>
      <c r="AV5" s="472">
        <f>AL5*94%</f>
        <v>237877241.29999998</v>
      </c>
      <c r="AW5" s="472">
        <v>0</v>
      </c>
      <c r="AX5" s="472">
        <f>AL5*6%</f>
        <v>15183653.699999999</v>
      </c>
      <c r="AY5" s="481">
        <f t="shared" si="0"/>
        <v>253060894.99999997</v>
      </c>
      <c r="AZ5" s="477"/>
      <c r="BA5" s="621">
        <f>AM5*94%</f>
        <v>237877241.29999998</v>
      </c>
      <c r="BB5" s="472">
        <v>0</v>
      </c>
      <c r="BC5" s="621">
        <f>AM5*6%</f>
        <v>15183653.699999999</v>
      </c>
      <c r="BD5" s="481">
        <f t="shared" si="1"/>
        <v>253060894.99999997</v>
      </c>
      <c r="BE5" s="477"/>
      <c r="BF5" s="481">
        <f t="shared" si="2"/>
        <v>0</v>
      </c>
      <c r="BG5" s="423"/>
      <c r="BH5" s="266">
        <v>15550416</v>
      </c>
      <c r="BI5" s="366">
        <f>BH5*94%</f>
        <v>14617391.039999999</v>
      </c>
      <c r="BJ5" s="447"/>
      <c r="BK5" s="447">
        <f>BF5/4</f>
        <v>0</v>
      </c>
      <c r="BL5" s="447">
        <v>3795913.4249999998</v>
      </c>
      <c r="BM5" s="447">
        <f>3795913.425+3795913.425</f>
        <v>7591826.8499999996</v>
      </c>
      <c r="BN5" s="447"/>
    </row>
    <row r="6" spans="1:66">
      <c r="A6" s="269" t="s">
        <v>590</v>
      </c>
      <c r="B6" s="269">
        <v>7673</v>
      </c>
      <c r="C6" s="466" t="s">
        <v>531</v>
      </c>
      <c r="D6" s="467" t="s">
        <v>532</v>
      </c>
      <c r="E6" s="469">
        <v>44562</v>
      </c>
      <c r="F6" s="469">
        <v>44620</v>
      </c>
      <c r="G6" s="467" t="s">
        <v>533</v>
      </c>
      <c r="H6" s="469">
        <v>44562</v>
      </c>
      <c r="I6" s="467" t="s">
        <v>561</v>
      </c>
      <c r="J6" s="440" t="s">
        <v>562</v>
      </c>
      <c r="K6" s="467" t="s">
        <v>591</v>
      </c>
      <c r="L6" s="469">
        <v>44561</v>
      </c>
      <c r="M6" s="469">
        <v>44561</v>
      </c>
      <c r="N6" s="467" t="s">
        <v>564</v>
      </c>
      <c r="O6" s="467" t="s">
        <v>538</v>
      </c>
      <c r="P6" s="440" t="s">
        <v>539</v>
      </c>
      <c r="Q6" s="467" t="s">
        <v>592</v>
      </c>
      <c r="R6" s="467" t="s">
        <v>593</v>
      </c>
      <c r="S6" s="440" t="s">
        <v>594</v>
      </c>
      <c r="T6" s="440" t="s">
        <v>543</v>
      </c>
      <c r="U6" s="440" t="s">
        <v>544</v>
      </c>
      <c r="V6" s="440" t="s">
        <v>545</v>
      </c>
      <c r="W6" s="440" t="s">
        <v>546</v>
      </c>
      <c r="X6" s="440" t="s">
        <v>547</v>
      </c>
      <c r="Y6" s="440" t="s">
        <v>548</v>
      </c>
      <c r="Z6" s="440" t="s">
        <v>568</v>
      </c>
      <c r="AA6" s="440" t="s">
        <v>569</v>
      </c>
      <c r="AB6" s="467" t="s">
        <v>551</v>
      </c>
      <c r="AC6" s="440" t="s">
        <v>552</v>
      </c>
      <c r="AD6" s="440" t="s">
        <v>595</v>
      </c>
      <c r="AE6" s="440" t="s">
        <v>554</v>
      </c>
      <c r="AF6" s="440" t="s">
        <v>596</v>
      </c>
      <c r="AG6" s="440" t="s">
        <v>315</v>
      </c>
      <c r="AH6" s="440" t="s">
        <v>557</v>
      </c>
      <c r="AI6" s="442">
        <v>1700000</v>
      </c>
      <c r="AJ6" s="442">
        <v>0</v>
      </c>
      <c r="AK6" s="442">
        <v>0</v>
      </c>
      <c r="AL6" s="442">
        <v>1700000</v>
      </c>
      <c r="AM6" s="442">
        <v>1700000</v>
      </c>
      <c r="AN6" s="442">
        <f t="shared" si="3"/>
        <v>0</v>
      </c>
      <c r="AO6" s="440" t="s">
        <v>597</v>
      </c>
      <c r="AP6" s="440" t="s">
        <v>532</v>
      </c>
      <c r="AQ6" s="440" t="s">
        <v>598</v>
      </c>
      <c r="AR6" s="440" t="s">
        <v>532</v>
      </c>
      <c r="AS6" s="441">
        <v>44564</v>
      </c>
      <c r="AT6" s="439"/>
      <c r="AU6" s="443" t="s">
        <v>524</v>
      </c>
      <c r="AV6" s="472">
        <v>0</v>
      </c>
      <c r="AW6" s="472">
        <v>0</v>
      </c>
      <c r="AX6" s="472">
        <v>1700000</v>
      </c>
      <c r="AY6" s="481">
        <f t="shared" si="0"/>
        <v>1700000</v>
      </c>
      <c r="AZ6" s="477"/>
      <c r="BA6" s="472">
        <v>0</v>
      </c>
      <c r="BB6" s="472">
        <v>0</v>
      </c>
      <c r="BC6" s="472">
        <v>1700000</v>
      </c>
      <c r="BD6" s="481">
        <f t="shared" si="1"/>
        <v>1700000</v>
      </c>
      <c r="BE6" s="477"/>
      <c r="BF6" s="481">
        <f t="shared" si="2"/>
        <v>0</v>
      </c>
      <c r="BG6" s="423"/>
      <c r="BH6" s="266"/>
      <c r="BI6" s="366">
        <f>BH5*6%</f>
        <v>933024.96</v>
      </c>
      <c r="BJ6" s="447">
        <v>1700000</v>
      </c>
      <c r="BK6" s="447"/>
      <c r="BL6" s="447"/>
      <c r="BM6" s="447"/>
      <c r="BN6" s="447"/>
    </row>
    <row r="7" spans="1:66">
      <c r="A7" s="269" t="s">
        <v>599</v>
      </c>
      <c r="B7" s="269">
        <v>7673</v>
      </c>
      <c r="C7" s="466" t="s">
        <v>531</v>
      </c>
      <c r="D7" s="467" t="s">
        <v>532</v>
      </c>
      <c r="E7" s="469">
        <v>44562</v>
      </c>
      <c r="F7" s="469">
        <v>44620</v>
      </c>
      <c r="G7" s="467" t="s">
        <v>533</v>
      </c>
      <c r="H7" s="469">
        <v>44562</v>
      </c>
      <c r="I7" s="467" t="s">
        <v>600</v>
      </c>
      <c r="J7" s="440" t="s">
        <v>601</v>
      </c>
      <c r="K7" s="467" t="s">
        <v>602</v>
      </c>
      <c r="L7" s="469">
        <v>44411</v>
      </c>
      <c r="M7" s="469">
        <v>44561</v>
      </c>
      <c r="N7" s="467" t="s">
        <v>603</v>
      </c>
      <c r="O7" s="467" t="s">
        <v>538</v>
      </c>
      <c r="P7" s="440" t="s">
        <v>539</v>
      </c>
      <c r="Q7" s="467" t="s">
        <v>604</v>
      </c>
      <c r="R7" s="467" t="s">
        <v>605</v>
      </c>
      <c r="S7" s="440" t="s">
        <v>606</v>
      </c>
      <c r="T7" s="440" t="s">
        <v>543</v>
      </c>
      <c r="U7" s="440" t="s">
        <v>544</v>
      </c>
      <c r="V7" s="440" t="s">
        <v>545</v>
      </c>
      <c r="W7" s="440" t="s">
        <v>546</v>
      </c>
      <c r="X7" s="440" t="s">
        <v>582</v>
      </c>
      <c r="Y7" s="440" t="s">
        <v>583</v>
      </c>
      <c r="Z7" s="440" t="s">
        <v>568</v>
      </c>
      <c r="AA7" s="440" t="s">
        <v>569</v>
      </c>
      <c r="AB7" s="467" t="s">
        <v>607</v>
      </c>
      <c r="AC7" s="440" t="s">
        <v>608</v>
      </c>
      <c r="AD7" s="440" t="s">
        <v>609</v>
      </c>
      <c r="AE7" s="440" t="s">
        <v>585</v>
      </c>
      <c r="AF7" s="440" t="s">
        <v>610</v>
      </c>
      <c r="AG7" s="440" t="s">
        <v>611</v>
      </c>
      <c r="AH7" s="440" t="s">
        <v>557</v>
      </c>
      <c r="AI7" s="442">
        <v>2712013</v>
      </c>
      <c r="AJ7" s="442">
        <v>0</v>
      </c>
      <c r="AK7" s="442">
        <v>0</v>
      </c>
      <c r="AL7" s="442">
        <v>2712013</v>
      </c>
      <c r="AM7" s="442">
        <v>2712013</v>
      </c>
      <c r="AN7" s="442">
        <f t="shared" si="3"/>
        <v>0</v>
      </c>
      <c r="AO7" s="440" t="s">
        <v>612</v>
      </c>
      <c r="AP7" s="440" t="s">
        <v>532</v>
      </c>
      <c r="AQ7" s="440" t="s">
        <v>613</v>
      </c>
      <c r="AR7" s="440" t="s">
        <v>532</v>
      </c>
      <c r="AS7" s="441">
        <v>44564</v>
      </c>
      <c r="AT7" s="439"/>
      <c r="AU7" s="443" t="s">
        <v>524</v>
      </c>
      <c r="AV7" s="472">
        <v>0</v>
      </c>
      <c r="AW7" s="472">
        <v>0</v>
      </c>
      <c r="AX7" s="472">
        <v>2712013</v>
      </c>
      <c r="AY7" s="481">
        <f t="shared" si="0"/>
        <v>2712013</v>
      </c>
      <c r="AZ7" s="477"/>
      <c r="BA7" s="472">
        <v>0</v>
      </c>
      <c r="BB7" s="472">
        <v>0</v>
      </c>
      <c r="BC7" s="472">
        <v>2712013</v>
      </c>
      <c r="BD7" s="481">
        <f t="shared" si="1"/>
        <v>2712013</v>
      </c>
      <c r="BE7" s="477"/>
      <c r="BF7" s="481">
        <f t="shared" si="2"/>
        <v>0</v>
      </c>
      <c r="BG7" s="423"/>
      <c r="BH7" s="266"/>
      <c r="BJ7" s="447"/>
      <c r="BK7" s="447"/>
      <c r="BL7" s="447">
        <v>2712013</v>
      </c>
      <c r="BM7" s="447"/>
      <c r="BN7" s="447"/>
    </row>
    <row r="8" spans="1:66" s="266" customFormat="1">
      <c r="A8" s="489" t="s">
        <v>614</v>
      </c>
      <c r="B8" s="489">
        <v>7673</v>
      </c>
      <c r="C8" s="490" t="s">
        <v>531</v>
      </c>
      <c r="D8" s="491" t="s">
        <v>532</v>
      </c>
      <c r="E8" s="492">
        <v>44562</v>
      </c>
      <c r="F8" s="492">
        <v>44620</v>
      </c>
      <c r="G8" s="491" t="s">
        <v>533</v>
      </c>
      <c r="H8" s="492">
        <v>44562</v>
      </c>
      <c r="I8" s="491" t="s">
        <v>575</v>
      </c>
      <c r="J8" s="493" t="s">
        <v>576</v>
      </c>
      <c r="K8" s="491" t="s">
        <v>615</v>
      </c>
      <c r="L8" s="492">
        <v>44477</v>
      </c>
      <c r="M8" s="492">
        <v>44561</v>
      </c>
      <c r="N8" s="491" t="s">
        <v>616</v>
      </c>
      <c r="O8" s="491" t="s">
        <v>538</v>
      </c>
      <c r="P8" s="493" t="s">
        <v>539</v>
      </c>
      <c r="Q8" s="491" t="s">
        <v>617</v>
      </c>
      <c r="R8" s="491" t="s">
        <v>618</v>
      </c>
      <c r="S8" s="493" t="s">
        <v>619</v>
      </c>
      <c r="T8" s="493" t="s">
        <v>543</v>
      </c>
      <c r="U8" s="493" t="s">
        <v>544</v>
      </c>
      <c r="V8" s="493" t="s">
        <v>545</v>
      </c>
      <c r="W8" s="493" t="s">
        <v>546</v>
      </c>
      <c r="X8" s="493" t="s">
        <v>582</v>
      </c>
      <c r="Y8" s="493" t="s">
        <v>583</v>
      </c>
      <c r="Z8" s="493" t="s">
        <v>568</v>
      </c>
      <c r="AA8" s="493" t="s">
        <v>569</v>
      </c>
      <c r="AB8" s="491" t="s">
        <v>551</v>
      </c>
      <c r="AC8" s="493" t="s">
        <v>552</v>
      </c>
      <c r="AD8" s="493" t="s">
        <v>620</v>
      </c>
      <c r="AE8" s="493" t="s">
        <v>585</v>
      </c>
      <c r="AF8" s="493" t="s">
        <v>621</v>
      </c>
      <c r="AG8" s="493" t="s">
        <v>622</v>
      </c>
      <c r="AH8" s="493" t="s">
        <v>557</v>
      </c>
      <c r="AI8" s="494">
        <v>24000003</v>
      </c>
      <c r="AJ8" s="494">
        <v>0</v>
      </c>
      <c r="AK8" s="494">
        <v>0</v>
      </c>
      <c r="AL8" s="494">
        <v>24000003</v>
      </c>
      <c r="AM8" s="494">
        <v>24000003</v>
      </c>
      <c r="AN8" s="494">
        <f t="shared" si="3"/>
        <v>0</v>
      </c>
      <c r="AO8" s="493" t="s">
        <v>623</v>
      </c>
      <c r="AP8" s="493" t="s">
        <v>532</v>
      </c>
      <c r="AQ8" s="493" t="s">
        <v>624</v>
      </c>
      <c r="AR8" s="493" t="s">
        <v>532</v>
      </c>
      <c r="AS8" s="495">
        <v>44564</v>
      </c>
      <c r="AU8" s="489" t="s">
        <v>523</v>
      </c>
      <c r="AV8" s="496">
        <v>0</v>
      </c>
      <c r="AW8" s="472">
        <f>AL8</f>
        <v>24000003</v>
      </c>
      <c r="AX8" s="496">
        <v>0</v>
      </c>
      <c r="AY8" s="481">
        <f t="shared" si="0"/>
        <v>24000003</v>
      </c>
      <c r="AZ8" s="477"/>
      <c r="BA8" s="496">
        <v>0</v>
      </c>
      <c r="BB8" s="496">
        <f>AM8</f>
        <v>24000003</v>
      </c>
      <c r="BC8" s="496">
        <v>0</v>
      </c>
      <c r="BD8" s="481">
        <f t="shared" si="1"/>
        <v>24000003</v>
      </c>
      <c r="BE8" s="477"/>
      <c r="BF8" s="481">
        <f t="shared" si="2"/>
        <v>0</v>
      </c>
      <c r="BG8" s="423"/>
      <c r="BJ8" s="497"/>
      <c r="BK8" s="497"/>
      <c r="BL8" s="497"/>
      <c r="BM8" s="497"/>
      <c r="BN8" s="497"/>
    </row>
    <row r="9" spans="1:66" s="266" customFormat="1">
      <c r="A9" s="489" t="s">
        <v>625</v>
      </c>
      <c r="B9" s="489">
        <v>7673</v>
      </c>
      <c r="C9" s="490" t="s">
        <v>531</v>
      </c>
      <c r="D9" s="491" t="s">
        <v>532</v>
      </c>
      <c r="E9" s="492">
        <v>44562</v>
      </c>
      <c r="F9" s="492">
        <v>44620</v>
      </c>
      <c r="G9" s="491" t="s">
        <v>533</v>
      </c>
      <c r="H9" s="492">
        <v>44562</v>
      </c>
      <c r="I9" s="491" t="s">
        <v>626</v>
      </c>
      <c r="J9" s="493" t="s">
        <v>627</v>
      </c>
      <c r="K9" s="491" t="s">
        <v>628</v>
      </c>
      <c r="L9" s="492">
        <v>44525</v>
      </c>
      <c r="M9" s="492">
        <v>44561</v>
      </c>
      <c r="N9" s="491" t="s">
        <v>629</v>
      </c>
      <c r="O9" s="491" t="s">
        <v>538</v>
      </c>
      <c r="P9" s="493" t="s">
        <v>539</v>
      </c>
      <c r="Q9" s="491" t="s">
        <v>630</v>
      </c>
      <c r="R9" s="491" t="s">
        <v>631</v>
      </c>
      <c r="S9" s="493" t="s">
        <v>632</v>
      </c>
      <c r="T9" s="493" t="s">
        <v>543</v>
      </c>
      <c r="U9" s="493" t="s">
        <v>544</v>
      </c>
      <c r="V9" s="493" t="s">
        <v>545</v>
      </c>
      <c r="W9" s="493" t="s">
        <v>546</v>
      </c>
      <c r="X9" s="493" t="s">
        <v>633</v>
      </c>
      <c r="Y9" s="493" t="s">
        <v>634</v>
      </c>
      <c r="Z9" s="493" t="s">
        <v>568</v>
      </c>
      <c r="AA9" s="493" t="s">
        <v>569</v>
      </c>
      <c r="AB9" s="491" t="s">
        <v>551</v>
      </c>
      <c r="AC9" s="493" t="s">
        <v>552</v>
      </c>
      <c r="AD9" s="493" t="s">
        <v>635</v>
      </c>
      <c r="AE9" s="493" t="s">
        <v>585</v>
      </c>
      <c r="AF9" s="493" t="s">
        <v>636</v>
      </c>
      <c r="AG9" s="493" t="s">
        <v>637</v>
      </c>
      <c r="AH9" s="493" t="s">
        <v>557</v>
      </c>
      <c r="AI9" s="494">
        <v>84577253</v>
      </c>
      <c r="AJ9" s="494">
        <v>0</v>
      </c>
      <c r="AK9" s="494">
        <v>0</v>
      </c>
      <c r="AL9" s="494">
        <v>84577253</v>
      </c>
      <c r="AM9" s="494">
        <v>0</v>
      </c>
      <c r="AN9" s="494">
        <f t="shared" si="3"/>
        <v>84577253</v>
      </c>
      <c r="AO9" s="493" t="s">
        <v>638</v>
      </c>
      <c r="AP9" s="493" t="s">
        <v>532</v>
      </c>
      <c r="AQ9" s="493" t="s">
        <v>639</v>
      </c>
      <c r="AR9" s="493" t="s">
        <v>532</v>
      </c>
      <c r="AS9" s="495">
        <v>44564</v>
      </c>
      <c r="AU9" s="489" t="s">
        <v>522</v>
      </c>
      <c r="AV9" s="472">
        <f t="shared" ref="AV9:AV14" si="4">AL9</f>
        <v>84577253</v>
      </c>
      <c r="AW9" s="496">
        <v>0</v>
      </c>
      <c r="AX9" s="496">
        <v>0</v>
      </c>
      <c r="AY9" s="481">
        <f t="shared" si="0"/>
        <v>84577253</v>
      </c>
      <c r="AZ9" s="477"/>
      <c r="BA9" s="496">
        <v>0</v>
      </c>
      <c r="BB9" s="496">
        <v>0</v>
      </c>
      <c r="BC9" s="496">
        <v>0</v>
      </c>
      <c r="BD9" s="481">
        <f t="shared" si="1"/>
        <v>0</v>
      </c>
      <c r="BE9" s="477"/>
      <c r="BF9" s="481">
        <f t="shared" si="2"/>
        <v>0</v>
      </c>
      <c r="BG9" s="423"/>
      <c r="BJ9" s="497"/>
      <c r="BK9" s="497"/>
      <c r="BL9" s="497"/>
      <c r="BM9" s="497"/>
      <c r="BN9" s="497"/>
    </row>
    <row r="10" spans="1:66">
      <c r="A10" s="269" t="s">
        <v>640</v>
      </c>
      <c r="B10" s="269">
        <v>7673</v>
      </c>
      <c r="C10" s="466" t="s">
        <v>531</v>
      </c>
      <c r="D10" s="467" t="s">
        <v>532</v>
      </c>
      <c r="E10" s="469">
        <v>44562</v>
      </c>
      <c r="F10" s="469">
        <v>44620</v>
      </c>
      <c r="G10" s="467" t="s">
        <v>533</v>
      </c>
      <c r="H10" s="469">
        <v>44562</v>
      </c>
      <c r="I10" s="467" t="s">
        <v>641</v>
      </c>
      <c r="J10" s="440" t="s">
        <v>642</v>
      </c>
      <c r="K10" s="467" t="s">
        <v>643</v>
      </c>
      <c r="L10" s="469">
        <v>44530</v>
      </c>
      <c r="M10" s="469">
        <v>44561</v>
      </c>
      <c r="N10" s="467" t="s">
        <v>644</v>
      </c>
      <c r="O10" s="467" t="s">
        <v>538</v>
      </c>
      <c r="P10" s="440" t="s">
        <v>539</v>
      </c>
      <c r="Q10" s="467" t="s">
        <v>645</v>
      </c>
      <c r="R10" s="467" t="s">
        <v>646</v>
      </c>
      <c r="S10" s="440" t="s">
        <v>647</v>
      </c>
      <c r="T10" s="440" t="s">
        <v>543</v>
      </c>
      <c r="U10" s="440" t="s">
        <v>544</v>
      </c>
      <c r="V10" s="440" t="s">
        <v>545</v>
      </c>
      <c r="W10" s="440" t="s">
        <v>546</v>
      </c>
      <c r="X10" s="440" t="s">
        <v>648</v>
      </c>
      <c r="Y10" s="440" t="s">
        <v>649</v>
      </c>
      <c r="Z10" s="440" t="s">
        <v>568</v>
      </c>
      <c r="AA10" s="440" t="s">
        <v>569</v>
      </c>
      <c r="AB10" s="467" t="s">
        <v>650</v>
      </c>
      <c r="AC10" s="440" t="s">
        <v>651</v>
      </c>
      <c r="AD10" s="440" t="s">
        <v>652</v>
      </c>
      <c r="AE10" s="440" t="s">
        <v>585</v>
      </c>
      <c r="AF10" s="440" t="s">
        <v>653</v>
      </c>
      <c r="AG10" s="440" t="s">
        <v>654</v>
      </c>
      <c r="AH10" s="440" t="s">
        <v>557</v>
      </c>
      <c r="AI10" s="442">
        <v>16000000</v>
      </c>
      <c r="AJ10" s="442">
        <v>0</v>
      </c>
      <c r="AK10" s="442">
        <v>0</v>
      </c>
      <c r="AL10" s="442">
        <v>16000000</v>
      </c>
      <c r="AM10" s="442">
        <f>3514700+2946700</f>
        <v>6461400</v>
      </c>
      <c r="AN10" s="442">
        <f t="shared" si="3"/>
        <v>9538600</v>
      </c>
      <c r="AO10" s="440" t="s">
        <v>655</v>
      </c>
      <c r="AP10" s="440" t="s">
        <v>532</v>
      </c>
      <c r="AQ10" s="440" t="s">
        <v>656</v>
      </c>
      <c r="AR10" s="440" t="s">
        <v>532</v>
      </c>
      <c r="AS10" s="441">
        <v>44564</v>
      </c>
      <c r="AT10" s="439"/>
      <c r="AU10" s="443" t="s">
        <v>522</v>
      </c>
      <c r="AV10" s="472">
        <f t="shared" si="4"/>
        <v>16000000</v>
      </c>
      <c r="AW10" s="472">
        <v>0</v>
      </c>
      <c r="AX10" s="472">
        <v>0</v>
      </c>
      <c r="AY10" s="481">
        <f t="shared" si="0"/>
        <v>16000000</v>
      </c>
      <c r="AZ10" s="477"/>
      <c r="BA10" s="472">
        <f>3514700+2946700</f>
        <v>6461400</v>
      </c>
      <c r="BB10" s="472">
        <v>0</v>
      </c>
      <c r="BC10" s="472">
        <v>0</v>
      </c>
      <c r="BD10" s="481">
        <f t="shared" si="1"/>
        <v>6461400</v>
      </c>
      <c r="BE10" s="477"/>
      <c r="BF10" s="481">
        <f t="shared" si="2"/>
        <v>0</v>
      </c>
      <c r="BG10" s="423"/>
      <c r="BH10" s="266"/>
      <c r="BJ10" s="447"/>
      <c r="BK10" s="447"/>
      <c r="BL10" s="447"/>
      <c r="BM10" s="447"/>
      <c r="BN10" s="447"/>
    </row>
    <row r="11" spans="1:66" s="266" customFormat="1">
      <c r="A11" s="489" t="s">
        <v>657</v>
      </c>
      <c r="B11" s="489">
        <v>7673</v>
      </c>
      <c r="C11" s="490" t="s">
        <v>531</v>
      </c>
      <c r="D11" s="491" t="s">
        <v>532</v>
      </c>
      <c r="E11" s="492">
        <v>44562</v>
      </c>
      <c r="F11" s="492">
        <v>44620</v>
      </c>
      <c r="G11" s="491" t="s">
        <v>533</v>
      </c>
      <c r="H11" s="492">
        <v>44562</v>
      </c>
      <c r="I11" s="491" t="s">
        <v>626</v>
      </c>
      <c r="J11" s="493" t="s">
        <v>627</v>
      </c>
      <c r="K11" s="491">
        <v>963</v>
      </c>
      <c r="L11" s="492">
        <v>44554</v>
      </c>
      <c r="M11" s="492">
        <v>44561</v>
      </c>
      <c r="N11" s="491" t="s">
        <v>658</v>
      </c>
      <c r="O11" s="491" t="s">
        <v>538</v>
      </c>
      <c r="P11" s="493" t="s">
        <v>539</v>
      </c>
      <c r="Q11" s="491" t="s">
        <v>659</v>
      </c>
      <c r="R11" s="491">
        <v>1634</v>
      </c>
      <c r="S11" s="493" t="s">
        <v>660</v>
      </c>
      <c r="T11" s="493" t="s">
        <v>543</v>
      </c>
      <c r="U11" s="493" t="s">
        <v>544</v>
      </c>
      <c r="V11" s="493" t="s">
        <v>545</v>
      </c>
      <c r="W11" s="493" t="s">
        <v>546</v>
      </c>
      <c r="X11" s="493" t="s">
        <v>582</v>
      </c>
      <c r="Y11" s="493" t="s">
        <v>583</v>
      </c>
      <c r="Z11" s="493" t="s">
        <v>568</v>
      </c>
      <c r="AA11" s="493" t="s">
        <v>569</v>
      </c>
      <c r="AB11" s="491" t="s">
        <v>661</v>
      </c>
      <c r="AC11" s="493" t="s">
        <v>662</v>
      </c>
      <c r="AD11" s="493" t="s">
        <v>663</v>
      </c>
      <c r="AE11" s="493" t="s">
        <v>585</v>
      </c>
      <c r="AF11" s="493" t="s">
        <v>664</v>
      </c>
      <c r="AG11" s="493" t="s">
        <v>665</v>
      </c>
      <c r="AH11" s="493" t="s">
        <v>557</v>
      </c>
      <c r="AI11" s="494">
        <v>31500000</v>
      </c>
      <c r="AJ11" s="494">
        <v>0</v>
      </c>
      <c r="AK11" s="494">
        <v>0</v>
      </c>
      <c r="AL11" s="494">
        <v>31500000</v>
      </c>
      <c r="AM11" s="494">
        <v>31500000</v>
      </c>
      <c r="AN11" s="494">
        <f t="shared" si="3"/>
        <v>0</v>
      </c>
      <c r="AO11" s="493" t="s">
        <v>666</v>
      </c>
      <c r="AP11" s="493" t="s">
        <v>532</v>
      </c>
      <c r="AQ11" s="493" t="s">
        <v>667</v>
      </c>
      <c r="AR11" s="493" t="s">
        <v>532</v>
      </c>
      <c r="AS11" s="495">
        <v>44564</v>
      </c>
      <c r="AU11" s="489" t="s">
        <v>522</v>
      </c>
      <c r="AV11" s="496">
        <f t="shared" si="4"/>
        <v>31500000</v>
      </c>
      <c r="AW11" s="496">
        <v>0</v>
      </c>
      <c r="AX11" s="496">
        <v>0</v>
      </c>
      <c r="AY11" s="481">
        <f t="shared" si="0"/>
        <v>31500000</v>
      </c>
      <c r="AZ11" s="477"/>
      <c r="BA11" s="472">
        <v>31500000</v>
      </c>
      <c r="BB11" s="472">
        <v>0</v>
      </c>
      <c r="BC11" s="472">
        <v>0</v>
      </c>
      <c r="BD11" s="481">
        <f t="shared" si="1"/>
        <v>31500000</v>
      </c>
      <c r="BE11" s="477"/>
      <c r="BF11" s="481">
        <f t="shared" si="2"/>
        <v>0</v>
      </c>
      <c r="BG11" s="423"/>
      <c r="BJ11" s="497"/>
      <c r="BK11" s="497"/>
      <c r="BL11" s="497"/>
      <c r="BM11" s="497"/>
      <c r="BN11" s="497"/>
    </row>
    <row r="12" spans="1:66">
      <c r="A12" s="269" t="s">
        <v>668</v>
      </c>
      <c r="B12" s="269">
        <v>7673</v>
      </c>
      <c r="C12" s="466" t="s">
        <v>531</v>
      </c>
      <c r="D12" s="467" t="s">
        <v>532</v>
      </c>
      <c r="E12" s="469">
        <v>44562</v>
      </c>
      <c r="F12" s="469">
        <v>44620</v>
      </c>
      <c r="G12" s="467" t="s">
        <v>533</v>
      </c>
      <c r="H12" s="469">
        <v>44562</v>
      </c>
      <c r="I12" s="467" t="s">
        <v>661</v>
      </c>
      <c r="J12" s="440" t="s">
        <v>669</v>
      </c>
      <c r="K12" s="467">
        <v>78092</v>
      </c>
      <c r="L12" s="469">
        <v>44490</v>
      </c>
      <c r="M12" s="469">
        <v>44497</v>
      </c>
      <c r="N12" s="467" t="s">
        <v>658</v>
      </c>
      <c r="O12" s="467" t="s">
        <v>538</v>
      </c>
      <c r="P12" s="440" t="s">
        <v>539</v>
      </c>
      <c r="Q12" s="467" t="s">
        <v>670</v>
      </c>
      <c r="R12" s="467" t="s">
        <v>671</v>
      </c>
      <c r="S12" s="440" t="s">
        <v>672</v>
      </c>
      <c r="T12" s="440" t="s">
        <v>543</v>
      </c>
      <c r="U12" s="440" t="s">
        <v>544</v>
      </c>
      <c r="V12" s="440" t="s">
        <v>545</v>
      </c>
      <c r="W12" s="440" t="s">
        <v>546</v>
      </c>
      <c r="X12" s="440" t="s">
        <v>648</v>
      </c>
      <c r="Y12" s="440" t="s">
        <v>649</v>
      </c>
      <c r="Z12" s="440" t="s">
        <v>568</v>
      </c>
      <c r="AA12" s="440" t="s">
        <v>569</v>
      </c>
      <c r="AB12" s="467" t="s">
        <v>661</v>
      </c>
      <c r="AC12" s="440" t="s">
        <v>662</v>
      </c>
      <c r="AD12" s="440" t="s">
        <v>673</v>
      </c>
      <c r="AE12" s="440" t="s">
        <v>585</v>
      </c>
      <c r="AF12" s="440" t="s">
        <v>674</v>
      </c>
      <c r="AG12" s="440" t="s">
        <v>675</v>
      </c>
      <c r="AH12" s="440" t="s">
        <v>557</v>
      </c>
      <c r="AI12" s="442">
        <v>4759996</v>
      </c>
      <c r="AJ12" s="442">
        <v>4759996</v>
      </c>
      <c r="AK12" s="442">
        <v>0</v>
      </c>
      <c r="AL12" s="442">
        <f>AI12-AJ12</f>
        <v>0</v>
      </c>
      <c r="AM12" s="442">
        <v>0</v>
      </c>
      <c r="AN12" s="442">
        <f t="shared" si="3"/>
        <v>0</v>
      </c>
      <c r="AO12" s="440" t="s">
        <v>676</v>
      </c>
      <c r="AP12" s="440" t="s">
        <v>532</v>
      </c>
      <c r="AQ12" s="440" t="s">
        <v>677</v>
      </c>
      <c r="AR12" s="440" t="s">
        <v>532</v>
      </c>
      <c r="AS12" s="441">
        <v>44564</v>
      </c>
      <c r="AT12" s="439"/>
      <c r="AU12" s="443" t="s">
        <v>522</v>
      </c>
      <c r="AV12" s="472">
        <f t="shared" si="4"/>
        <v>0</v>
      </c>
      <c r="AW12" s="472">
        <v>0</v>
      </c>
      <c r="AX12" s="472">
        <v>0</v>
      </c>
      <c r="AY12" s="481">
        <f t="shared" si="0"/>
        <v>0</v>
      </c>
      <c r="AZ12" s="477"/>
      <c r="BA12" s="472">
        <v>0</v>
      </c>
      <c r="BB12" s="472">
        <v>0</v>
      </c>
      <c r="BC12" s="472">
        <v>0</v>
      </c>
      <c r="BD12" s="481">
        <f t="shared" si="1"/>
        <v>0</v>
      </c>
      <c r="BE12" s="477"/>
      <c r="BF12" s="481">
        <f t="shared" si="2"/>
        <v>0</v>
      </c>
      <c r="BG12" s="423"/>
      <c r="BH12" s="266"/>
      <c r="BJ12" s="447"/>
      <c r="BK12" s="447"/>
      <c r="BL12" s="447"/>
      <c r="BM12" s="447"/>
      <c r="BN12" s="447"/>
    </row>
    <row r="13" spans="1:66">
      <c r="A13" s="269" t="s">
        <v>678</v>
      </c>
      <c r="B13" s="269">
        <v>7673</v>
      </c>
      <c r="C13" s="466" t="s">
        <v>531</v>
      </c>
      <c r="D13" s="467" t="s">
        <v>532</v>
      </c>
      <c r="E13" s="469">
        <v>44562</v>
      </c>
      <c r="F13" s="469">
        <v>44620</v>
      </c>
      <c r="G13" s="467" t="s">
        <v>533</v>
      </c>
      <c r="H13" s="469">
        <v>44562</v>
      </c>
      <c r="I13" s="467" t="s">
        <v>661</v>
      </c>
      <c r="J13" s="440" t="s">
        <v>669</v>
      </c>
      <c r="K13" s="467" t="s">
        <v>679</v>
      </c>
      <c r="L13" s="469">
        <v>44557</v>
      </c>
      <c r="M13" s="469">
        <v>44561</v>
      </c>
      <c r="N13" s="467" t="s">
        <v>680</v>
      </c>
      <c r="O13" s="467" t="s">
        <v>538</v>
      </c>
      <c r="P13" s="440" t="s">
        <v>539</v>
      </c>
      <c r="Q13" s="467" t="s">
        <v>681</v>
      </c>
      <c r="R13" s="467" t="s">
        <v>682</v>
      </c>
      <c r="S13" s="440" t="s">
        <v>683</v>
      </c>
      <c r="T13" s="440" t="s">
        <v>543</v>
      </c>
      <c r="U13" s="440" t="s">
        <v>544</v>
      </c>
      <c r="V13" s="440" t="s">
        <v>545</v>
      </c>
      <c r="W13" s="440" t="s">
        <v>546</v>
      </c>
      <c r="X13" s="440" t="s">
        <v>684</v>
      </c>
      <c r="Y13" s="440" t="s">
        <v>685</v>
      </c>
      <c r="Z13" s="440" t="s">
        <v>568</v>
      </c>
      <c r="AA13" s="440" t="s">
        <v>569</v>
      </c>
      <c r="AB13" s="467" t="s">
        <v>686</v>
      </c>
      <c r="AC13" s="440" t="s">
        <v>687</v>
      </c>
      <c r="AD13" s="440" t="s">
        <v>688</v>
      </c>
      <c r="AE13" s="440" t="s">
        <v>585</v>
      </c>
      <c r="AF13" s="440" t="s">
        <v>689</v>
      </c>
      <c r="AG13" s="440" t="s">
        <v>690</v>
      </c>
      <c r="AH13" s="440" t="s">
        <v>557</v>
      </c>
      <c r="AI13" s="442">
        <v>130507157</v>
      </c>
      <c r="AJ13" s="442">
        <v>0</v>
      </c>
      <c r="AK13" s="442">
        <v>0</v>
      </c>
      <c r="AL13" s="442">
        <v>130507157</v>
      </c>
      <c r="AM13" s="442">
        <v>130507157</v>
      </c>
      <c r="AN13" s="442">
        <f t="shared" si="3"/>
        <v>0</v>
      </c>
      <c r="AO13" s="440" t="s">
        <v>691</v>
      </c>
      <c r="AP13" s="440" t="s">
        <v>532</v>
      </c>
      <c r="AQ13" s="440" t="s">
        <v>692</v>
      </c>
      <c r="AR13" s="440" t="s">
        <v>532</v>
      </c>
      <c r="AS13" s="441">
        <v>44564</v>
      </c>
      <c r="AT13" s="439"/>
      <c r="AU13" s="443" t="s">
        <v>693</v>
      </c>
      <c r="AV13" s="472">
        <f t="shared" si="4"/>
        <v>130507157</v>
      </c>
      <c r="AW13" s="472">
        <v>0</v>
      </c>
      <c r="AX13" s="472">
        <v>0</v>
      </c>
      <c r="AY13" s="481">
        <f t="shared" si="0"/>
        <v>130507157</v>
      </c>
      <c r="AZ13" s="477"/>
      <c r="BA13" s="472">
        <f>120066584.44+10440572.56</f>
        <v>130507157</v>
      </c>
      <c r="BB13" s="472">
        <v>0</v>
      </c>
      <c r="BC13" s="472"/>
      <c r="BD13" s="481">
        <f t="shared" si="1"/>
        <v>130507157</v>
      </c>
      <c r="BE13" s="477"/>
      <c r="BF13" s="481">
        <f t="shared" si="2"/>
        <v>0</v>
      </c>
      <c r="BG13" s="423"/>
      <c r="BH13" s="266"/>
      <c r="BJ13" s="447"/>
      <c r="BK13" s="447"/>
      <c r="BL13" s="447"/>
      <c r="BM13" s="447"/>
      <c r="BN13" s="447"/>
    </row>
    <row r="14" spans="1:66">
      <c r="A14" s="269" t="s">
        <v>694</v>
      </c>
      <c r="B14" s="269">
        <v>7673</v>
      </c>
      <c r="C14" s="466" t="s">
        <v>531</v>
      </c>
      <c r="D14" s="467" t="s">
        <v>532</v>
      </c>
      <c r="E14" s="469">
        <v>44562</v>
      </c>
      <c r="F14" s="469">
        <v>44620</v>
      </c>
      <c r="G14" s="467" t="s">
        <v>533</v>
      </c>
      <c r="H14" s="469">
        <v>44562</v>
      </c>
      <c r="I14" s="467" t="s">
        <v>575</v>
      </c>
      <c r="J14" s="440" t="s">
        <v>576</v>
      </c>
      <c r="K14" s="467" t="s">
        <v>695</v>
      </c>
      <c r="L14" s="469">
        <v>44319</v>
      </c>
      <c r="M14" s="469">
        <v>44377</v>
      </c>
      <c r="N14" s="467" t="s">
        <v>696</v>
      </c>
      <c r="O14" s="467" t="s">
        <v>538</v>
      </c>
      <c r="P14" s="440" t="s">
        <v>539</v>
      </c>
      <c r="Q14" s="467" t="s">
        <v>697</v>
      </c>
      <c r="R14" s="467" t="s">
        <v>698</v>
      </c>
      <c r="S14" s="440" t="s">
        <v>699</v>
      </c>
      <c r="T14" s="440" t="s">
        <v>543</v>
      </c>
      <c r="U14" s="440" t="s">
        <v>544</v>
      </c>
      <c r="V14" s="440" t="s">
        <v>545</v>
      </c>
      <c r="W14" s="440" t="s">
        <v>546</v>
      </c>
      <c r="X14" s="440" t="s">
        <v>582</v>
      </c>
      <c r="Y14" s="440" t="s">
        <v>583</v>
      </c>
      <c r="Z14" s="440" t="s">
        <v>568</v>
      </c>
      <c r="AA14" s="440" t="s">
        <v>569</v>
      </c>
      <c r="AB14" s="467" t="s">
        <v>551</v>
      </c>
      <c r="AC14" s="440" t="s">
        <v>552</v>
      </c>
      <c r="AD14" s="440" t="s">
        <v>584</v>
      </c>
      <c r="AE14" s="440" t="s">
        <v>585</v>
      </c>
      <c r="AF14" s="440" t="s">
        <v>586</v>
      </c>
      <c r="AG14" s="440" t="s">
        <v>587</v>
      </c>
      <c r="AH14" s="440" t="s">
        <v>557</v>
      </c>
      <c r="AI14" s="442">
        <v>4167765</v>
      </c>
      <c r="AJ14" s="442">
        <v>4167765</v>
      </c>
      <c r="AK14" s="442">
        <v>0</v>
      </c>
      <c r="AL14" s="442">
        <f>AI14-AJ14</f>
        <v>0</v>
      </c>
      <c r="AM14" s="442">
        <v>0</v>
      </c>
      <c r="AN14" s="442">
        <f t="shared" si="3"/>
        <v>0</v>
      </c>
      <c r="AO14" s="440" t="s">
        <v>700</v>
      </c>
      <c r="AP14" s="440" t="s">
        <v>532</v>
      </c>
      <c r="AQ14" s="440" t="s">
        <v>701</v>
      </c>
      <c r="AR14" s="440" t="s">
        <v>532</v>
      </c>
      <c r="AS14" s="441">
        <v>44564</v>
      </c>
      <c r="AT14" s="439"/>
      <c r="AU14" s="443" t="s">
        <v>522</v>
      </c>
      <c r="AV14" s="472">
        <f t="shared" si="4"/>
        <v>0</v>
      </c>
      <c r="AW14" s="472">
        <v>0</v>
      </c>
      <c r="AX14" s="472">
        <v>0</v>
      </c>
      <c r="AY14" s="481">
        <f t="shared" si="0"/>
        <v>0</v>
      </c>
      <c r="AZ14" s="477"/>
      <c r="BA14" s="472">
        <v>0</v>
      </c>
      <c r="BB14" s="472">
        <v>0</v>
      </c>
      <c r="BC14" s="472">
        <v>0</v>
      </c>
      <c r="BD14" s="481">
        <f t="shared" si="1"/>
        <v>0</v>
      </c>
      <c r="BE14" s="477"/>
      <c r="BF14" s="481">
        <f t="shared" si="2"/>
        <v>0</v>
      </c>
      <c r="BG14" s="423"/>
      <c r="BH14" s="266"/>
      <c r="BJ14" s="447"/>
      <c r="BK14" s="447"/>
      <c r="BL14" s="447"/>
      <c r="BM14" s="447"/>
      <c r="BN14" s="447"/>
    </row>
    <row r="15" spans="1:66" s="266" customFormat="1">
      <c r="A15" s="498"/>
      <c r="B15" s="498"/>
      <c r="C15" s="490"/>
      <c r="D15" s="490"/>
      <c r="E15" s="490"/>
      <c r="F15" s="490"/>
      <c r="G15" s="490"/>
      <c r="H15" s="490"/>
      <c r="I15" s="490"/>
      <c r="J15" s="498"/>
      <c r="K15" s="490"/>
      <c r="L15" s="490"/>
      <c r="M15" s="490"/>
      <c r="N15" s="490"/>
      <c r="O15" s="490"/>
      <c r="P15" s="498"/>
      <c r="Q15" s="490"/>
      <c r="R15" s="490"/>
      <c r="S15" s="498"/>
      <c r="T15" s="498"/>
      <c r="U15" s="498"/>
      <c r="V15" s="498"/>
      <c r="W15" s="498"/>
      <c r="X15" s="498"/>
      <c r="Y15" s="498"/>
      <c r="Z15" s="498"/>
      <c r="AA15" s="498"/>
      <c r="AB15" s="490"/>
      <c r="AC15" s="498"/>
      <c r="AD15" s="498"/>
      <c r="AE15" s="498"/>
      <c r="AF15" s="498"/>
      <c r="AG15" s="498"/>
      <c r="AH15" s="498"/>
      <c r="AI15" s="499">
        <f t="shared" ref="AI15:AN15" si="5">SUM(AI3:AI14)</f>
        <v>561068415</v>
      </c>
      <c r="AJ15" s="499">
        <f t="shared" si="5"/>
        <v>8927761</v>
      </c>
      <c r="AK15" s="499">
        <f t="shared" si="5"/>
        <v>0</v>
      </c>
      <c r="AL15" s="499">
        <f>SUM(AL3:AL14)</f>
        <v>552140654</v>
      </c>
      <c r="AM15" s="499">
        <f t="shared" si="5"/>
        <v>458024801</v>
      </c>
      <c r="AN15" s="499">
        <f t="shared" si="5"/>
        <v>94115853</v>
      </c>
      <c r="AO15" s="498"/>
      <c r="AP15" s="498"/>
      <c r="AQ15" s="498"/>
      <c r="AR15" s="498"/>
      <c r="AS15" s="498"/>
      <c r="AT15" s="498"/>
      <c r="AU15" s="498"/>
      <c r="AV15" s="500"/>
      <c r="AW15" s="500"/>
      <c r="AX15" s="500"/>
      <c r="AY15" s="500"/>
      <c r="AZ15" s="501"/>
      <c r="BA15" s="500"/>
      <c r="BB15" s="500"/>
      <c r="BC15" s="500"/>
      <c r="BD15" s="500"/>
      <c r="BE15" s="501"/>
      <c r="BF15" s="500"/>
      <c r="BG15" s="423"/>
      <c r="BJ15" s="497"/>
      <c r="BK15" s="497"/>
      <c r="BL15" s="497"/>
      <c r="BM15" s="497"/>
      <c r="BN15" s="497"/>
    </row>
    <row r="16" spans="1:66">
      <c r="A16" s="270"/>
      <c r="B16" s="270"/>
      <c r="C16" s="466"/>
      <c r="D16" s="466"/>
      <c r="E16" s="466"/>
      <c r="F16" s="466"/>
      <c r="G16" s="466"/>
      <c r="H16" s="466"/>
      <c r="I16" s="466"/>
      <c r="J16" s="270"/>
      <c r="K16" s="466"/>
      <c r="L16" s="466"/>
      <c r="M16" s="466"/>
      <c r="N16" s="466"/>
      <c r="O16" s="466"/>
      <c r="P16" s="270"/>
      <c r="Q16" s="466"/>
      <c r="R16" s="466"/>
      <c r="S16" s="270"/>
      <c r="T16" s="270"/>
      <c r="U16" s="270"/>
      <c r="V16" s="270"/>
      <c r="W16" s="270"/>
      <c r="X16" s="270"/>
      <c r="Y16" s="270"/>
      <c r="Z16" s="270"/>
      <c r="AA16" s="270"/>
      <c r="AB16" s="466"/>
      <c r="AC16" s="270"/>
      <c r="AD16" s="270"/>
      <c r="AE16" s="270"/>
      <c r="AF16" s="270"/>
      <c r="AG16" s="270"/>
      <c r="AH16" s="270"/>
      <c r="AI16" s="270"/>
      <c r="AJ16" s="270"/>
      <c r="AK16" s="270"/>
      <c r="AL16" s="270"/>
      <c r="AM16" s="270"/>
      <c r="AN16" s="270"/>
      <c r="AO16" s="270"/>
      <c r="AP16" s="270"/>
      <c r="AQ16" s="270"/>
      <c r="AR16" s="271">
        <v>5753056358</v>
      </c>
      <c r="AS16" s="270"/>
      <c r="AT16" s="270"/>
      <c r="AU16" s="270"/>
      <c r="AV16" s="474">
        <f>SUM(AV3:AV14)</f>
        <v>505711651.29999995</v>
      </c>
      <c r="AW16" s="474">
        <f t="shared" ref="AW16:AY16" si="6">SUM(AW3:AW14)</f>
        <v>24000003</v>
      </c>
      <c r="AX16" s="474">
        <f t="shared" si="6"/>
        <v>22428999.699999999</v>
      </c>
      <c r="AY16" s="474">
        <f t="shared" si="6"/>
        <v>552140654</v>
      </c>
      <c r="AZ16" s="482"/>
      <c r="BA16" s="474">
        <f>SUM(BA3:BA14)</f>
        <v>411595798.29999995</v>
      </c>
      <c r="BB16" s="474">
        <f t="shared" ref="BB16:BC16" si="7">SUM(BB3:BB14)</f>
        <v>24000003</v>
      </c>
      <c r="BC16" s="474">
        <f t="shared" si="7"/>
        <v>22428999.699999999</v>
      </c>
      <c r="BD16" s="474">
        <f>SUM(BD3:BD14)</f>
        <v>458024801</v>
      </c>
      <c r="BE16" s="482">
        <f t="shared" ref="BE16:BF16" si="8">SUM(BE3:BE15)</f>
        <v>0</v>
      </c>
      <c r="BF16" s="473">
        <f t="shared" si="8"/>
        <v>0</v>
      </c>
      <c r="BG16" s="423"/>
      <c r="BJ16" s="447">
        <f>SUM(BJ3:BJ15)</f>
        <v>4533333</v>
      </c>
      <c r="BK16" s="447">
        <f>SUM(BK3:BK15)</f>
        <v>0</v>
      </c>
      <c r="BL16" s="447">
        <f>SUM(BL3:BL15)</f>
        <v>6507926.4249999998</v>
      </c>
      <c r="BM16" s="447">
        <f>SUM(BM3:BM15)</f>
        <v>7591826.8499999996</v>
      </c>
      <c r="BN16" s="447">
        <f>SUM(BN3:BN15)</f>
        <v>0</v>
      </c>
    </row>
    <row r="17" spans="38:59">
      <c r="AL17" s="366">
        <v>235751579</v>
      </c>
      <c r="AM17" s="366">
        <v>-442474385</v>
      </c>
    </row>
    <row r="18" spans="38:59">
      <c r="AM18" s="366">
        <f>AM5-145531940</f>
        <v>107528955</v>
      </c>
      <c r="AN18" s="328">
        <v>0.94</v>
      </c>
      <c r="AO18" s="475">
        <f>AM18*AN18</f>
        <v>101077217.69999999</v>
      </c>
      <c r="BA18" s="475">
        <f>AV16-BA16</f>
        <v>94115853</v>
      </c>
      <c r="BB18" s="475">
        <f>AW16-BB16</f>
        <v>0</v>
      </c>
      <c r="BC18" s="475">
        <f>AX16-BC16</f>
        <v>0</v>
      </c>
      <c r="BD18" s="473">
        <f>SUM(BA18:BC18)</f>
        <v>94115853</v>
      </c>
      <c r="BE18" s="482"/>
      <c r="BF18" s="473"/>
      <c r="BG18" s="423"/>
    </row>
    <row r="19" spans="38:59">
      <c r="AN19" s="328">
        <v>0.06</v>
      </c>
      <c r="AO19" s="475">
        <f>AM18*AN19</f>
        <v>6451737.2999999998</v>
      </c>
      <c r="BE19" s="482"/>
      <c r="BF19" s="473"/>
    </row>
    <row r="20" spans="38:59">
      <c r="AM20" s="366">
        <v>415515716</v>
      </c>
      <c r="BD20" s="475">
        <v>305849447</v>
      </c>
    </row>
    <row r="21" spans="38:59">
      <c r="AM21" s="366">
        <f>AM20-AM15</f>
        <v>-42509085</v>
      </c>
    </row>
    <row r="32" spans="38:59">
      <c r="AV32" s="1286" t="s">
        <v>478</v>
      </c>
      <c r="AW32" s="1286"/>
      <c r="AX32" s="1286"/>
      <c r="BA32" s="1286" t="s">
        <v>479</v>
      </c>
      <c r="BB32" s="1286"/>
      <c r="BC32" s="1286"/>
    </row>
    <row r="33" spans="2:61" s="72" customFormat="1" ht="60">
      <c r="D33" s="444" t="s">
        <v>483</v>
      </c>
      <c r="E33" s="444" t="s">
        <v>484</v>
      </c>
      <c r="F33" s="444" t="s">
        <v>485</v>
      </c>
      <c r="G33" s="444" t="s">
        <v>486</v>
      </c>
      <c r="H33" s="444" t="s">
        <v>487</v>
      </c>
      <c r="I33" s="444" t="s">
        <v>702</v>
      </c>
      <c r="J33" s="444" t="s">
        <v>489</v>
      </c>
      <c r="K33" s="445" t="s">
        <v>490</v>
      </c>
      <c r="L33" s="444" t="s">
        <v>484</v>
      </c>
      <c r="M33" s="444" t="s">
        <v>485</v>
      </c>
      <c r="N33" s="444" t="s">
        <v>491</v>
      </c>
      <c r="O33" s="444" t="s">
        <v>492</v>
      </c>
      <c r="P33" s="444" t="s">
        <v>493</v>
      </c>
      <c r="Q33" s="444" t="s">
        <v>494</v>
      </c>
      <c r="R33" s="444" t="s">
        <v>495</v>
      </c>
      <c r="S33" s="444" t="s">
        <v>496</v>
      </c>
      <c r="T33" s="444" t="s">
        <v>497</v>
      </c>
      <c r="U33" s="444" t="s">
        <v>498</v>
      </c>
      <c r="V33" s="444" t="s">
        <v>499</v>
      </c>
      <c r="W33" s="444" t="s">
        <v>500</v>
      </c>
      <c r="X33" s="444" t="s">
        <v>501</v>
      </c>
      <c r="Y33" s="444" t="s">
        <v>502</v>
      </c>
      <c r="Z33" s="444" t="s">
        <v>503</v>
      </c>
      <c r="AA33" s="444" t="s">
        <v>504</v>
      </c>
      <c r="AB33" s="444" t="s">
        <v>505</v>
      </c>
      <c r="AC33" s="444" t="s">
        <v>493</v>
      </c>
      <c r="AD33" s="444" t="s">
        <v>506</v>
      </c>
      <c r="AE33" s="444" t="s">
        <v>507</v>
      </c>
      <c r="AF33" s="444" t="s">
        <v>508</v>
      </c>
      <c r="AG33" s="444" t="s">
        <v>509</v>
      </c>
      <c r="AH33" s="444" t="s">
        <v>510</v>
      </c>
      <c r="AI33" s="444" t="s">
        <v>511</v>
      </c>
      <c r="AJ33" s="444" t="s">
        <v>512</v>
      </c>
      <c r="AK33" s="444" t="s">
        <v>513</v>
      </c>
      <c r="AL33" s="444" t="s">
        <v>514</v>
      </c>
      <c r="AM33" s="444" t="s">
        <v>515</v>
      </c>
      <c r="AN33" s="444" t="s">
        <v>516</v>
      </c>
      <c r="AO33" s="444" t="s">
        <v>517</v>
      </c>
      <c r="AP33" s="444" t="s">
        <v>518</v>
      </c>
      <c r="AQ33" s="444" t="s">
        <v>519</v>
      </c>
      <c r="AR33" s="444" t="s">
        <v>520</v>
      </c>
      <c r="AS33" s="444" t="s">
        <v>521</v>
      </c>
      <c r="AU33" s="414"/>
      <c r="AV33" s="471" t="s">
        <v>522</v>
      </c>
      <c r="AW33" s="471" t="s">
        <v>523</v>
      </c>
      <c r="AX33" s="471" t="s">
        <v>524</v>
      </c>
      <c r="AY33" s="480"/>
      <c r="AZ33" s="483"/>
      <c r="BA33" s="471" t="s">
        <v>522</v>
      </c>
      <c r="BB33" s="471" t="s">
        <v>523</v>
      </c>
      <c r="BC33" s="471" t="s">
        <v>524</v>
      </c>
      <c r="BD33" s="480"/>
      <c r="BE33" s="483"/>
      <c r="BF33" s="480"/>
      <c r="BG33" s="435"/>
    </row>
    <row r="34" spans="2:61" s="266" customFormat="1">
      <c r="B34" s="266">
        <f>K34-K3</f>
        <v>0</v>
      </c>
      <c r="C34" s="663"/>
      <c r="D34" s="491" t="s">
        <v>532</v>
      </c>
      <c r="E34" s="492">
        <v>44562</v>
      </c>
      <c r="F34" s="492">
        <v>44620</v>
      </c>
      <c r="G34" s="491" t="s">
        <v>533</v>
      </c>
      <c r="H34" s="492">
        <v>44562</v>
      </c>
      <c r="I34" s="491" t="s">
        <v>534</v>
      </c>
      <c r="J34" s="493" t="s">
        <v>535</v>
      </c>
      <c r="K34" s="491" t="s">
        <v>536</v>
      </c>
      <c r="L34" s="492">
        <v>44230</v>
      </c>
      <c r="M34" s="492">
        <v>44561</v>
      </c>
      <c r="N34" s="491" t="s">
        <v>537</v>
      </c>
      <c r="O34" s="491" t="s">
        <v>538</v>
      </c>
      <c r="P34" s="493" t="s">
        <v>539</v>
      </c>
      <c r="Q34" s="491" t="s">
        <v>540</v>
      </c>
      <c r="R34" s="491" t="s">
        <v>541</v>
      </c>
      <c r="S34" s="493" t="s">
        <v>542</v>
      </c>
      <c r="T34" s="493" t="s">
        <v>543</v>
      </c>
      <c r="U34" s="493" t="s">
        <v>544</v>
      </c>
      <c r="V34" s="493" t="s">
        <v>545</v>
      </c>
      <c r="W34" s="493" t="s">
        <v>546</v>
      </c>
      <c r="X34" s="493" t="s">
        <v>547</v>
      </c>
      <c r="Y34" s="493" t="s">
        <v>548</v>
      </c>
      <c r="Z34" s="493" t="s">
        <v>549</v>
      </c>
      <c r="AA34" s="493" t="s">
        <v>550</v>
      </c>
      <c r="AB34" s="491" t="s">
        <v>551</v>
      </c>
      <c r="AC34" s="493" t="s">
        <v>552</v>
      </c>
      <c r="AD34" s="493" t="s">
        <v>553</v>
      </c>
      <c r="AE34" s="493" t="s">
        <v>554</v>
      </c>
      <c r="AF34" s="493" t="s">
        <v>555</v>
      </c>
      <c r="AG34" s="493" t="s">
        <v>556</v>
      </c>
      <c r="AH34" s="493" t="s">
        <v>557</v>
      </c>
      <c r="AI34" s="494">
        <v>5250000</v>
      </c>
      <c r="AJ34" s="494">
        <v>0</v>
      </c>
      <c r="AK34" s="494">
        <v>0</v>
      </c>
      <c r="AL34" s="494">
        <v>5250000</v>
      </c>
      <c r="AM34" s="494">
        <v>5250000</v>
      </c>
      <c r="AN34" s="494">
        <v>0</v>
      </c>
      <c r="AO34" s="493" t="s">
        <v>558</v>
      </c>
      <c r="AP34" s="493" t="s">
        <v>532</v>
      </c>
      <c r="AQ34" s="493" t="s">
        <v>559</v>
      </c>
      <c r="AR34" s="493" t="s">
        <v>532</v>
      </c>
      <c r="AS34" s="495">
        <v>44564</v>
      </c>
      <c r="AU34" s="489" t="s">
        <v>522</v>
      </c>
      <c r="AV34" s="476">
        <f>AL34</f>
        <v>5250000</v>
      </c>
      <c r="AW34" s="476">
        <v>0</v>
      </c>
      <c r="AX34" s="476">
        <v>0</v>
      </c>
      <c r="AY34" s="484">
        <f t="shared" ref="AY34:AY45" si="9">SUM(AV34:AX34)</f>
        <v>5250000</v>
      </c>
      <c r="AZ34" s="484"/>
      <c r="BA34" s="476">
        <f>AM34</f>
        <v>5250000</v>
      </c>
      <c r="BB34" s="476">
        <v>0</v>
      </c>
      <c r="BC34" s="476">
        <v>0</v>
      </c>
      <c r="BD34" s="481">
        <f t="shared" ref="BD34:BD47" si="10">SUM(BA34:BC34)</f>
        <v>5250000</v>
      </c>
      <c r="BE34" s="484"/>
      <c r="BF34" s="484">
        <f>BD34-AM34</f>
        <v>0</v>
      </c>
      <c r="BG34" s="423"/>
    </row>
    <row r="35" spans="2:61" s="266" customFormat="1">
      <c r="B35" s="266">
        <f t="shared" ref="B35:B45" si="11">K35-K4</f>
        <v>0</v>
      </c>
      <c r="C35" s="663"/>
      <c r="D35" s="491" t="s">
        <v>532</v>
      </c>
      <c r="E35" s="492">
        <v>44562</v>
      </c>
      <c r="F35" s="492">
        <v>44620</v>
      </c>
      <c r="G35" s="491" t="s">
        <v>533</v>
      </c>
      <c r="H35" s="492">
        <v>44562</v>
      </c>
      <c r="I35" s="491" t="s">
        <v>561</v>
      </c>
      <c r="J35" s="493" t="s">
        <v>562</v>
      </c>
      <c r="K35" s="491" t="s">
        <v>563</v>
      </c>
      <c r="L35" s="492">
        <v>44561</v>
      </c>
      <c r="M35" s="492">
        <v>44561</v>
      </c>
      <c r="N35" s="491" t="s">
        <v>564</v>
      </c>
      <c r="O35" s="491" t="s">
        <v>538</v>
      </c>
      <c r="P35" s="493" t="s">
        <v>539</v>
      </c>
      <c r="Q35" s="491" t="s">
        <v>565</v>
      </c>
      <c r="R35" s="491" t="s">
        <v>566</v>
      </c>
      <c r="S35" s="493" t="s">
        <v>567</v>
      </c>
      <c r="T35" s="493" t="s">
        <v>543</v>
      </c>
      <c r="U35" s="493" t="s">
        <v>544</v>
      </c>
      <c r="V35" s="493" t="s">
        <v>545</v>
      </c>
      <c r="W35" s="493" t="s">
        <v>546</v>
      </c>
      <c r="X35" s="493" t="s">
        <v>547</v>
      </c>
      <c r="Y35" s="493" t="s">
        <v>548</v>
      </c>
      <c r="Z35" s="493" t="s">
        <v>568</v>
      </c>
      <c r="AA35" s="493" t="s">
        <v>569</v>
      </c>
      <c r="AB35" s="491" t="s">
        <v>551</v>
      </c>
      <c r="AC35" s="493" t="s">
        <v>552</v>
      </c>
      <c r="AD35" s="493" t="s">
        <v>570</v>
      </c>
      <c r="AE35" s="493" t="s">
        <v>554</v>
      </c>
      <c r="AF35" s="493" t="s">
        <v>571</v>
      </c>
      <c r="AG35" s="493" t="s">
        <v>319</v>
      </c>
      <c r="AH35" s="493" t="s">
        <v>557</v>
      </c>
      <c r="AI35" s="494">
        <v>2833333</v>
      </c>
      <c r="AJ35" s="494">
        <v>0</v>
      </c>
      <c r="AK35" s="494">
        <v>0</v>
      </c>
      <c r="AL35" s="494">
        <v>2833333</v>
      </c>
      <c r="AM35" s="494">
        <v>2833333</v>
      </c>
      <c r="AN35" s="494">
        <f t="shared" ref="AN35:AN45" si="12">AI35-AJ35-AK35-AM35</f>
        <v>0</v>
      </c>
      <c r="AO35" s="493" t="s">
        <v>572</v>
      </c>
      <c r="AP35" s="493" t="s">
        <v>532</v>
      </c>
      <c r="AQ35" s="493" t="s">
        <v>573</v>
      </c>
      <c r="AR35" s="493" t="s">
        <v>532</v>
      </c>
      <c r="AS35" s="495">
        <v>44564</v>
      </c>
      <c r="AU35" s="489" t="s">
        <v>524</v>
      </c>
      <c r="AV35" s="476">
        <v>0</v>
      </c>
      <c r="AW35" s="476">
        <v>0</v>
      </c>
      <c r="AX35" s="476">
        <v>2833333</v>
      </c>
      <c r="AY35" s="484">
        <f t="shared" si="9"/>
        <v>2833333</v>
      </c>
      <c r="AZ35" s="484"/>
      <c r="BA35" s="476">
        <v>0</v>
      </c>
      <c r="BB35" s="476">
        <v>0</v>
      </c>
      <c r="BC35" s="476">
        <f>AM35</f>
        <v>2833333</v>
      </c>
      <c r="BD35" s="481">
        <f t="shared" si="10"/>
        <v>2833333</v>
      </c>
      <c r="BE35" s="484"/>
      <c r="BF35" s="484">
        <f t="shared" ref="BF35:BF45" si="13">BD35-AM35</f>
        <v>0</v>
      </c>
      <c r="BG35" s="423"/>
      <c r="BH35" s="266" t="s">
        <v>703</v>
      </c>
    </row>
    <row r="36" spans="2:61" s="266" customFormat="1">
      <c r="B36" s="266">
        <f t="shared" si="11"/>
        <v>0</v>
      </c>
      <c r="C36" s="663"/>
      <c r="D36" s="491" t="s">
        <v>532</v>
      </c>
      <c r="E36" s="492">
        <v>44562</v>
      </c>
      <c r="F36" s="492">
        <v>44620</v>
      </c>
      <c r="G36" s="491" t="s">
        <v>533</v>
      </c>
      <c r="H36" s="492">
        <v>44562</v>
      </c>
      <c r="I36" s="491" t="s">
        <v>575</v>
      </c>
      <c r="J36" s="493" t="s">
        <v>576</v>
      </c>
      <c r="K36" s="491" t="s">
        <v>577</v>
      </c>
      <c r="L36" s="492">
        <v>44378</v>
      </c>
      <c r="M36" s="492">
        <v>44561</v>
      </c>
      <c r="N36" s="491" t="s">
        <v>578</v>
      </c>
      <c r="O36" s="491" t="s">
        <v>538</v>
      </c>
      <c r="P36" s="493" t="s">
        <v>539</v>
      </c>
      <c r="Q36" s="491" t="s">
        <v>579</v>
      </c>
      <c r="R36" s="491" t="s">
        <v>580</v>
      </c>
      <c r="S36" s="493" t="s">
        <v>581</v>
      </c>
      <c r="T36" s="493" t="s">
        <v>543</v>
      </c>
      <c r="U36" s="493" t="s">
        <v>544</v>
      </c>
      <c r="V36" s="493" t="s">
        <v>545</v>
      </c>
      <c r="W36" s="493" t="s">
        <v>546</v>
      </c>
      <c r="X36" s="493" t="s">
        <v>582</v>
      </c>
      <c r="Y36" s="493" t="s">
        <v>583</v>
      </c>
      <c r="Z36" s="493" t="s">
        <v>568</v>
      </c>
      <c r="AA36" s="493" t="s">
        <v>569</v>
      </c>
      <c r="AB36" s="491" t="s">
        <v>551</v>
      </c>
      <c r="AC36" s="493" t="s">
        <v>552</v>
      </c>
      <c r="AD36" s="493" t="s">
        <v>584</v>
      </c>
      <c r="AE36" s="493" t="s">
        <v>585</v>
      </c>
      <c r="AF36" s="493" t="s">
        <v>586</v>
      </c>
      <c r="AG36" s="493" t="s">
        <v>587</v>
      </c>
      <c r="AH36" s="493" t="s">
        <v>557</v>
      </c>
      <c r="AI36" s="494">
        <v>253060895</v>
      </c>
      <c r="AJ36" s="494">
        <v>0</v>
      </c>
      <c r="AK36" s="494">
        <v>0</v>
      </c>
      <c r="AL36" s="494">
        <v>253060895</v>
      </c>
      <c r="AM36" s="494">
        <f>28688359+10006641+49766332+0+57070608+29338503+35681367</f>
        <v>210551810</v>
      </c>
      <c r="AN36" s="494">
        <f>AI36-AJ36-AK36-AM36</f>
        <v>42509085</v>
      </c>
      <c r="AO36" s="493" t="s">
        <v>588</v>
      </c>
      <c r="AP36" s="493" t="s">
        <v>532</v>
      </c>
      <c r="AQ36" s="493" t="s">
        <v>589</v>
      </c>
      <c r="AR36" s="493" t="s">
        <v>532</v>
      </c>
      <c r="AS36" s="495">
        <v>44564</v>
      </c>
      <c r="AU36" s="489" t="s">
        <v>522</v>
      </c>
      <c r="AV36" s="476">
        <f>AL36*94%</f>
        <v>237877241.29999998</v>
      </c>
      <c r="AW36" s="476">
        <v>0</v>
      </c>
      <c r="AX36" s="476">
        <f>AL36*6%</f>
        <v>15183653.699999999</v>
      </c>
      <c r="AY36" s="484">
        <f t="shared" si="9"/>
        <v>253060894.99999997</v>
      </c>
      <c r="AZ36" s="484"/>
      <c r="BA36" s="476">
        <f>AM36*94%</f>
        <v>197918701.39999998</v>
      </c>
      <c r="BB36" s="476">
        <v>0</v>
      </c>
      <c r="BC36" s="476">
        <f>AM36*6%</f>
        <v>12633108.6</v>
      </c>
      <c r="BD36" s="481">
        <f t="shared" si="10"/>
        <v>210551809.99999997</v>
      </c>
      <c r="BE36" s="484"/>
      <c r="BF36" s="484">
        <f t="shared" si="13"/>
        <v>0</v>
      </c>
      <c r="BG36" s="423"/>
      <c r="BH36" s="484">
        <v>35681367</v>
      </c>
      <c r="BI36" s="484">
        <f>BH36*94%</f>
        <v>33540484.979999997</v>
      </c>
    </row>
    <row r="37" spans="2:61" s="266" customFormat="1">
      <c r="B37" s="266">
        <f t="shared" si="11"/>
        <v>0</v>
      </c>
      <c r="C37" s="663"/>
      <c r="D37" s="491" t="s">
        <v>532</v>
      </c>
      <c r="E37" s="492">
        <v>44562</v>
      </c>
      <c r="F37" s="492">
        <v>44620</v>
      </c>
      <c r="G37" s="491" t="s">
        <v>533</v>
      </c>
      <c r="H37" s="492">
        <v>44562</v>
      </c>
      <c r="I37" s="491" t="s">
        <v>561</v>
      </c>
      <c r="J37" s="493" t="s">
        <v>562</v>
      </c>
      <c r="K37" s="491" t="s">
        <v>591</v>
      </c>
      <c r="L37" s="492">
        <v>44561</v>
      </c>
      <c r="M37" s="492">
        <v>44561</v>
      </c>
      <c r="N37" s="491" t="s">
        <v>564</v>
      </c>
      <c r="O37" s="491" t="s">
        <v>538</v>
      </c>
      <c r="P37" s="493" t="s">
        <v>539</v>
      </c>
      <c r="Q37" s="491" t="s">
        <v>592</v>
      </c>
      <c r="R37" s="491" t="s">
        <v>593</v>
      </c>
      <c r="S37" s="493" t="s">
        <v>594</v>
      </c>
      <c r="T37" s="493" t="s">
        <v>543</v>
      </c>
      <c r="U37" s="493" t="s">
        <v>544</v>
      </c>
      <c r="V37" s="493" t="s">
        <v>545</v>
      </c>
      <c r="W37" s="493" t="s">
        <v>546</v>
      </c>
      <c r="X37" s="493" t="s">
        <v>547</v>
      </c>
      <c r="Y37" s="493" t="s">
        <v>548</v>
      </c>
      <c r="Z37" s="493" t="s">
        <v>568</v>
      </c>
      <c r="AA37" s="493" t="s">
        <v>569</v>
      </c>
      <c r="AB37" s="491" t="s">
        <v>551</v>
      </c>
      <c r="AC37" s="493" t="s">
        <v>552</v>
      </c>
      <c r="AD37" s="493" t="s">
        <v>595</v>
      </c>
      <c r="AE37" s="493" t="s">
        <v>554</v>
      </c>
      <c r="AF37" s="493" t="s">
        <v>596</v>
      </c>
      <c r="AG37" s="493" t="s">
        <v>315</v>
      </c>
      <c r="AH37" s="493" t="s">
        <v>557</v>
      </c>
      <c r="AI37" s="494">
        <v>1700000</v>
      </c>
      <c r="AJ37" s="494">
        <v>0</v>
      </c>
      <c r="AK37" s="494">
        <v>0</v>
      </c>
      <c r="AL37" s="494">
        <v>1700000</v>
      </c>
      <c r="AM37" s="494">
        <v>1700000</v>
      </c>
      <c r="AN37" s="494">
        <f t="shared" si="12"/>
        <v>0</v>
      </c>
      <c r="AO37" s="493" t="s">
        <v>597</v>
      </c>
      <c r="AP37" s="493" t="s">
        <v>532</v>
      </c>
      <c r="AQ37" s="493" t="s">
        <v>598</v>
      </c>
      <c r="AR37" s="493" t="s">
        <v>532</v>
      </c>
      <c r="AS37" s="495">
        <v>44564</v>
      </c>
      <c r="AU37" s="489" t="s">
        <v>524</v>
      </c>
      <c r="AV37" s="476">
        <v>0</v>
      </c>
      <c r="AW37" s="476">
        <v>0</v>
      </c>
      <c r="AX37" s="476">
        <v>1700000</v>
      </c>
      <c r="AY37" s="484">
        <f t="shared" si="9"/>
        <v>1700000</v>
      </c>
      <c r="AZ37" s="484"/>
      <c r="BA37" s="476">
        <v>0</v>
      </c>
      <c r="BB37" s="476">
        <v>0</v>
      </c>
      <c r="BC37" s="476">
        <v>1700000</v>
      </c>
      <c r="BD37" s="481">
        <f t="shared" si="10"/>
        <v>1700000</v>
      </c>
      <c r="BE37" s="484"/>
      <c r="BF37" s="484">
        <f t="shared" si="13"/>
        <v>0</v>
      </c>
      <c r="BG37" s="423"/>
      <c r="BH37" s="484"/>
      <c r="BI37" s="484">
        <f>BH36*6%</f>
        <v>2140882.02</v>
      </c>
    </row>
    <row r="38" spans="2:61" s="266" customFormat="1">
      <c r="B38" s="266">
        <f t="shared" si="11"/>
        <v>0</v>
      </c>
      <c r="C38" s="663"/>
      <c r="D38" s="491" t="s">
        <v>532</v>
      </c>
      <c r="E38" s="492">
        <v>44562</v>
      </c>
      <c r="F38" s="492">
        <v>44620</v>
      </c>
      <c r="G38" s="491" t="s">
        <v>533</v>
      </c>
      <c r="H38" s="492">
        <v>44562</v>
      </c>
      <c r="I38" s="491" t="s">
        <v>600</v>
      </c>
      <c r="J38" s="493" t="s">
        <v>601</v>
      </c>
      <c r="K38" s="491" t="s">
        <v>602</v>
      </c>
      <c r="L38" s="492">
        <v>44411</v>
      </c>
      <c r="M38" s="492">
        <v>44561</v>
      </c>
      <c r="N38" s="491" t="s">
        <v>603</v>
      </c>
      <c r="O38" s="491" t="s">
        <v>538</v>
      </c>
      <c r="P38" s="493" t="s">
        <v>539</v>
      </c>
      <c r="Q38" s="491" t="s">
        <v>604</v>
      </c>
      <c r="R38" s="491" t="s">
        <v>605</v>
      </c>
      <c r="S38" s="493" t="s">
        <v>606</v>
      </c>
      <c r="T38" s="493" t="s">
        <v>543</v>
      </c>
      <c r="U38" s="493" t="s">
        <v>544</v>
      </c>
      <c r="V38" s="493" t="s">
        <v>545</v>
      </c>
      <c r="W38" s="493" t="s">
        <v>546</v>
      </c>
      <c r="X38" s="493" t="s">
        <v>582</v>
      </c>
      <c r="Y38" s="493" t="s">
        <v>583</v>
      </c>
      <c r="Z38" s="493" t="s">
        <v>568</v>
      </c>
      <c r="AA38" s="493" t="s">
        <v>569</v>
      </c>
      <c r="AB38" s="491" t="s">
        <v>607</v>
      </c>
      <c r="AC38" s="493" t="s">
        <v>608</v>
      </c>
      <c r="AD38" s="493" t="s">
        <v>609</v>
      </c>
      <c r="AE38" s="493" t="s">
        <v>585</v>
      </c>
      <c r="AF38" s="493" t="s">
        <v>610</v>
      </c>
      <c r="AG38" s="493" t="s">
        <v>611</v>
      </c>
      <c r="AH38" s="493" t="s">
        <v>557</v>
      </c>
      <c r="AI38" s="494">
        <v>2712013</v>
      </c>
      <c r="AJ38" s="494">
        <v>0</v>
      </c>
      <c r="AK38" s="494">
        <v>0</v>
      </c>
      <c r="AL38" s="494">
        <v>2712013</v>
      </c>
      <c r="AM38" s="494">
        <v>2712013</v>
      </c>
      <c r="AN38" s="494">
        <f t="shared" si="12"/>
        <v>0</v>
      </c>
      <c r="AO38" s="493" t="s">
        <v>612</v>
      </c>
      <c r="AP38" s="493" t="s">
        <v>532</v>
      </c>
      <c r="AQ38" s="493" t="s">
        <v>613</v>
      </c>
      <c r="AR38" s="493" t="s">
        <v>532</v>
      </c>
      <c r="AS38" s="495">
        <v>44564</v>
      </c>
      <c r="AU38" s="489" t="s">
        <v>524</v>
      </c>
      <c r="AV38" s="476">
        <v>0</v>
      </c>
      <c r="AW38" s="476">
        <v>0</v>
      </c>
      <c r="AX38" s="476">
        <v>2712013</v>
      </c>
      <c r="AY38" s="484">
        <f t="shared" si="9"/>
        <v>2712013</v>
      </c>
      <c r="AZ38" s="484"/>
      <c r="BA38" s="476">
        <v>0</v>
      </c>
      <c r="BB38" s="476">
        <v>0</v>
      </c>
      <c r="BC38" s="476">
        <v>2712013</v>
      </c>
      <c r="BD38" s="481">
        <f t="shared" si="10"/>
        <v>2712013</v>
      </c>
      <c r="BE38" s="484"/>
      <c r="BF38" s="484">
        <f t="shared" si="13"/>
        <v>0</v>
      </c>
      <c r="BG38" s="423"/>
    </row>
    <row r="39" spans="2:61">
      <c r="B39">
        <f t="shared" si="11"/>
        <v>0</v>
      </c>
      <c r="D39" s="664" t="s">
        <v>532</v>
      </c>
      <c r="E39" s="665">
        <v>44562</v>
      </c>
      <c r="F39" s="665">
        <v>44620</v>
      </c>
      <c r="G39" s="664" t="s">
        <v>533</v>
      </c>
      <c r="H39" s="665">
        <v>44562</v>
      </c>
      <c r="I39" s="664" t="s">
        <v>575</v>
      </c>
      <c r="J39" s="666" t="s">
        <v>576</v>
      </c>
      <c r="K39" s="664" t="s">
        <v>615</v>
      </c>
      <c r="L39" s="665">
        <v>44477</v>
      </c>
      <c r="M39" s="665">
        <v>44561</v>
      </c>
      <c r="N39" s="664" t="s">
        <v>616</v>
      </c>
      <c r="O39" s="664" t="s">
        <v>538</v>
      </c>
      <c r="P39" s="666" t="s">
        <v>539</v>
      </c>
      <c r="Q39" s="664" t="s">
        <v>617</v>
      </c>
      <c r="R39" s="664" t="s">
        <v>618</v>
      </c>
      <c r="S39" s="666" t="s">
        <v>619</v>
      </c>
      <c r="T39" s="666" t="s">
        <v>543</v>
      </c>
      <c r="U39" s="666" t="s">
        <v>544</v>
      </c>
      <c r="V39" s="666" t="s">
        <v>545</v>
      </c>
      <c r="W39" s="666" t="s">
        <v>546</v>
      </c>
      <c r="X39" s="666" t="s">
        <v>582</v>
      </c>
      <c r="Y39" s="666" t="s">
        <v>583</v>
      </c>
      <c r="Z39" s="666" t="s">
        <v>568</v>
      </c>
      <c r="AA39" s="666" t="s">
        <v>569</v>
      </c>
      <c r="AB39" s="664" t="s">
        <v>551</v>
      </c>
      <c r="AC39" s="666" t="s">
        <v>552</v>
      </c>
      <c r="AD39" s="666" t="s">
        <v>620</v>
      </c>
      <c r="AE39" s="666" t="s">
        <v>585</v>
      </c>
      <c r="AF39" s="666" t="s">
        <v>621</v>
      </c>
      <c r="AG39" s="666" t="s">
        <v>622</v>
      </c>
      <c r="AH39" s="666" t="s">
        <v>557</v>
      </c>
      <c r="AI39" s="667">
        <v>24000003</v>
      </c>
      <c r="AJ39" s="667">
        <v>0</v>
      </c>
      <c r="AK39" s="667">
        <v>0</v>
      </c>
      <c r="AL39" s="667">
        <v>24000003</v>
      </c>
      <c r="AM39" s="667">
        <v>24000003</v>
      </c>
      <c r="AN39" s="667">
        <f t="shared" si="12"/>
        <v>0</v>
      </c>
      <c r="AO39" s="666" t="s">
        <v>623</v>
      </c>
      <c r="AP39" s="666" t="s">
        <v>532</v>
      </c>
      <c r="AQ39" s="666" t="s">
        <v>624</v>
      </c>
      <c r="AR39" s="666" t="s">
        <v>532</v>
      </c>
      <c r="AS39" s="668">
        <v>44564</v>
      </c>
      <c r="AU39" s="269" t="s">
        <v>523</v>
      </c>
      <c r="AV39" s="476">
        <v>0</v>
      </c>
      <c r="AW39" s="476">
        <f>AL39</f>
        <v>24000003</v>
      </c>
      <c r="AX39" s="476">
        <v>0</v>
      </c>
      <c r="AY39" s="484">
        <f t="shared" si="9"/>
        <v>24000003</v>
      </c>
      <c r="AZ39" s="484"/>
      <c r="BA39" s="476">
        <v>0</v>
      </c>
      <c r="BB39" s="476">
        <v>24000003</v>
      </c>
      <c r="BC39" s="476">
        <v>0</v>
      </c>
      <c r="BD39" s="481">
        <f t="shared" si="10"/>
        <v>24000003</v>
      </c>
      <c r="BF39" s="484">
        <f t="shared" si="13"/>
        <v>0</v>
      </c>
    </row>
    <row r="40" spans="2:61">
      <c r="B40">
        <f t="shared" si="11"/>
        <v>0</v>
      </c>
      <c r="D40" s="664" t="s">
        <v>532</v>
      </c>
      <c r="E40" s="665">
        <v>44562</v>
      </c>
      <c r="F40" s="665">
        <v>44620</v>
      </c>
      <c r="G40" s="664" t="s">
        <v>533</v>
      </c>
      <c r="H40" s="665">
        <v>44562</v>
      </c>
      <c r="I40" s="664" t="s">
        <v>626</v>
      </c>
      <c r="J40" s="666" t="s">
        <v>627</v>
      </c>
      <c r="K40" s="664" t="s">
        <v>628</v>
      </c>
      <c r="L40" s="665">
        <v>44525</v>
      </c>
      <c r="M40" s="665">
        <v>44561</v>
      </c>
      <c r="N40" s="664" t="s">
        <v>629</v>
      </c>
      <c r="O40" s="664" t="s">
        <v>538</v>
      </c>
      <c r="P40" s="666" t="s">
        <v>539</v>
      </c>
      <c r="Q40" s="664" t="s">
        <v>630</v>
      </c>
      <c r="R40" s="664" t="s">
        <v>631</v>
      </c>
      <c r="S40" s="666" t="s">
        <v>632</v>
      </c>
      <c r="T40" s="666" t="s">
        <v>543</v>
      </c>
      <c r="U40" s="666" t="s">
        <v>544</v>
      </c>
      <c r="V40" s="666" t="s">
        <v>545</v>
      </c>
      <c r="W40" s="666" t="s">
        <v>546</v>
      </c>
      <c r="X40" s="666" t="s">
        <v>633</v>
      </c>
      <c r="Y40" s="666" t="s">
        <v>634</v>
      </c>
      <c r="Z40" s="666" t="s">
        <v>568</v>
      </c>
      <c r="AA40" s="666" t="s">
        <v>569</v>
      </c>
      <c r="AB40" s="664" t="s">
        <v>551</v>
      </c>
      <c r="AC40" s="666" t="s">
        <v>552</v>
      </c>
      <c r="AD40" s="666" t="s">
        <v>635</v>
      </c>
      <c r="AE40" s="666" t="s">
        <v>585</v>
      </c>
      <c r="AF40" s="666" t="s">
        <v>636</v>
      </c>
      <c r="AG40" s="666" t="s">
        <v>637</v>
      </c>
      <c r="AH40" s="666" t="s">
        <v>557</v>
      </c>
      <c r="AI40" s="667">
        <v>84577253</v>
      </c>
      <c r="AJ40" s="667">
        <v>0</v>
      </c>
      <c r="AK40" s="667">
        <v>0</v>
      </c>
      <c r="AL40" s="667">
        <v>84577253</v>
      </c>
      <c r="AM40" s="667">
        <v>0</v>
      </c>
      <c r="AN40" s="667">
        <f t="shared" si="12"/>
        <v>84577253</v>
      </c>
      <c r="AO40" s="666" t="s">
        <v>638</v>
      </c>
      <c r="AP40" s="666" t="s">
        <v>532</v>
      </c>
      <c r="AQ40" s="666" t="s">
        <v>639</v>
      </c>
      <c r="AR40" s="666" t="s">
        <v>532</v>
      </c>
      <c r="AS40" s="668">
        <v>44564</v>
      </c>
      <c r="AU40" s="269" t="s">
        <v>522</v>
      </c>
      <c r="AV40" s="476">
        <f t="shared" ref="AV40:AV45" si="14">AL40</f>
        <v>84577253</v>
      </c>
      <c r="AW40" s="476">
        <v>0</v>
      </c>
      <c r="AX40" s="476">
        <v>0</v>
      </c>
      <c r="AY40" s="484">
        <f t="shared" si="9"/>
        <v>84577253</v>
      </c>
      <c r="AZ40" s="484"/>
      <c r="BA40" s="476">
        <v>0</v>
      </c>
      <c r="BB40" s="476">
        <v>0</v>
      </c>
      <c r="BC40" s="476">
        <v>0</v>
      </c>
      <c r="BD40" s="481">
        <f t="shared" si="10"/>
        <v>0</v>
      </c>
      <c r="BF40" s="484">
        <f t="shared" si="13"/>
        <v>0</v>
      </c>
    </row>
    <row r="41" spans="2:61" s="266" customFormat="1">
      <c r="B41" s="266">
        <f t="shared" si="11"/>
        <v>0</v>
      </c>
      <c r="C41" s="663"/>
      <c r="D41" s="491" t="s">
        <v>532</v>
      </c>
      <c r="E41" s="492">
        <v>44562</v>
      </c>
      <c r="F41" s="492">
        <v>44620</v>
      </c>
      <c r="G41" s="491" t="s">
        <v>533</v>
      </c>
      <c r="H41" s="492">
        <v>44562</v>
      </c>
      <c r="I41" s="491" t="s">
        <v>641</v>
      </c>
      <c r="J41" s="493" t="s">
        <v>642</v>
      </c>
      <c r="K41" s="491" t="s">
        <v>643</v>
      </c>
      <c r="L41" s="492">
        <v>44530</v>
      </c>
      <c r="M41" s="492">
        <v>44561</v>
      </c>
      <c r="N41" s="491" t="s">
        <v>644</v>
      </c>
      <c r="O41" s="491" t="s">
        <v>538</v>
      </c>
      <c r="P41" s="493" t="s">
        <v>539</v>
      </c>
      <c r="Q41" s="491" t="s">
        <v>645</v>
      </c>
      <c r="R41" s="491" t="s">
        <v>646</v>
      </c>
      <c r="S41" s="493" t="s">
        <v>647</v>
      </c>
      <c r="T41" s="493" t="s">
        <v>543</v>
      </c>
      <c r="U41" s="493" t="s">
        <v>544</v>
      </c>
      <c r="V41" s="493" t="s">
        <v>545</v>
      </c>
      <c r="W41" s="493" t="s">
        <v>546</v>
      </c>
      <c r="X41" s="493" t="s">
        <v>648</v>
      </c>
      <c r="Y41" s="493" t="s">
        <v>649</v>
      </c>
      <c r="Z41" s="493" t="s">
        <v>568</v>
      </c>
      <c r="AA41" s="493" t="s">
        <v>569</v>
      </c>
      <c r="AB41" s="491" t="s">
        <v>650</v>
      </c>
      <c r="AC41" s="493" t="s">
        <v>651</v>
      </c>
      <c r="AD41" s="493" t="s">
        <v>652</v>
      </c>
      <c r="AE41" s="493" t="s">
        <v>585</v>
      </c>
      <c r="AF41" s="493" t="s">
        <v>653</v>
      </c>
      <c r="AG41" s="493" t="s">
        <v>654</v>
      </c>
      <c r="AH41" s="493" t="s">
        <v>557</v>
      </c>
      <c r="AI41" s="494">
        <v>16000000</v>
      </c>
      <c r="AJ41" s="494">
        <v>0</v>
      </c>
      <c r="AK41" s="494">
        <v>0</v>
      </c>
      <c r="AL41" s="494">
        <v>16000000</v>
      </c>
      <c r="AM41" s="494">
        <f>3514700+2946700</f>
        <v>6461400</v>
      </c>
      <c r="AN41" s="494">
        <f t="shared" si="12"/>
        <v>9538600</v>
      </c>
      <c r="AO41" s="493" t="s">
        <v>655</v>
      </c>
      <c r="AP41" s="493" t="s">
        <v>532</v>
      </c>
      <c r="AQ41" s="493" t="s">
        <v>656</v>
      </c>
      <c r="AR41" s="493" t="s">
        <v>532</v>
      </c>
      <c r="AS41" s="495">
        <v>44564</v>
      </c>
      <c r="AU41" s="489" t="s">
        <v>522</v>
      </c>
      <c r="AV41" s="476">
        <f t="shared" si="14"/>
        <v>16000000</v>
      </c>
      <c r="AW41" s="476">
        <v>0</v>
      </c>
      <c r="AX41" s="476">
        <v>0</v>
      </c>
      <c r="AY41" s="484">
        <f t="shared" si="9"/>
        <v>16000000</v>
      </c>
      <c r="AZ41" s="484"/>
      <c r="BA41" s="476">
        <f>3514700+2946700</f>
        <v>6461400</v>
      </c>
      <c r="BB41" s="476">
        <v>0</v>
      </c>
      <c r="BC41" s="476">
        <v>0</v>
      </c>
      <c r="BD41" s="481">
        <f t="shared" si="10"/>
        <v>6461400</v>
      </c>
      <c r="BE41" s="484"/>
      <c r="BF41" s="484">
        <f t="shared" si="13"/>
        <v>0</v>
      </c>
      <c r="BG41" s="423"/>
    </row>
    <row r="42" spans="2:61">
      <c r="B42">
        <f t="shared" si="11"/>
        <v>0</v>
      </c>
      <c r="D42" s="664" t="s">
        <v>532</v>
      </c>
      <c r="E42" s="665">
        <v>44562</v>
      </c>
      <c r="F42" s="665">
        <v>44620</v>
      </c>
      <c r="G42" s="664" t="s">
        <v>533</v>
      </c>
      <c r="H42" s="665">
        <v>44562</v>
      </c>
      <c r="I42" s="664" t="s">
        <v>626</v>
      </c>
      <c r="J42" s="666" t="s">
        <v>627</v>
      </c>
      <c r="K42" s="664" t="s">
        <v>704</v>
      </c>
      <c r="L42" s="665">
        <v>44554</v>
      </c>
      <c r="M42" s="665">
        <v>44561</v>
      </c>
      <c r="N42" s="664" t="s">
        <v>658</v>
      </c>
      <c r="O42" s="664" t="s">
        <v>538</v>
      </c>
      <c r="P42" s="666" t="s">
        <v>539</v>
      </c>
      <c r="Q42" s="664" t="s">
        <v>659</v>
      </c>
      <c r="R42" s="664" t="s">
        <v>705</v>
      </c>
      <c r="S42" s="666" t="s">
        <v>660</v>
      </c>
      <c r="T42" s="666" t="s">
        <v>543</v>
      </c>
      <c r="U42" s="666" t="s">
        <v>544</v>
      </c>
      <c r="V42" s="666" t="s">
        <v>545</v>
      </c>
      <c r="W42" s="666" t="s">
        <v>546</v>
      </c>
      <c r="X42" s="666" t="s">
        <v>582</v>
      </c>
      <c r="Y42" s="666" t="s">
        <v>583</v>
      </c>
      <c r="Z42" s="666" t="s">
        <v>568</v>
      </c>
      <c r="AA42" s="666" t="s">
        <v>569</v>
      </c>
      <c r="AB42" s="664" t="s">
        <v>661</v>
      </c>
      <c r="AC42" s="666" t="s">
        <v>662</v>
      </c>
      <c r="AD42" s="666" t="s">
        <v>663</v>
      </c>
      <c r="AE42" s="666" t="s">
        <v>585</v>
      </c>
      <c r="AF42" s="666" t="s">
        <v>664</v>
      </c>
      <c r="AG42" s="666" t="s">
        <v>665</v>
      </c>
      <c r="AH42" s="666" t="s">
        <v>557</v>
      </c>
      <c r="AI42" s="667">
        <v>31500000</v>
      </c>
      <c r="AJ42" s="667">
        <v>0</v>
      </c>
      <c r="AK42" s="667">
        <v>0</v>
      </c>
      <c r="AL42" s="667">
        <v>31500000</v>
      </c>
      <c r="AM42" s="494">
        <v>31500000</v>
      </c>
      <c r="AN42" s="667">
        <f t="shared" si="12"/>
        <v>0</v>
      </c>
      <c r="AO42" s="666" t="s">
        <v>666</v>
      </c>
      <c r="AP42" s="666" t="s">
        <v>532</v>
      </c>
      <c r="AQ42" s="666" t="s">
        <v>667</v>
      </c>
      <c r="AR42" s="666" t="s">
        <v>532</v>
      </c>
      <c r="AS42" s="668">
        <v>44564</v>
      </c>
      <c r="AU42" s="269" t="s">
        <v>522</v>
      </c>
      <c r="AV42" s="476">
        <f t="shared" si="14"/>
        <v>31500000</v>
      </c>
      <c r="AW42" s="476">
        <v>0</v>
      </c>
      <c r="AX42" s="476">
        <v>0</v>
      </c>
      <c r="AY42" s="484">
        <f t="shared" si="9"/>
        <v>31500000</v>
      </c>
      <c r="AZ42" s="484"/>
      <c r="BA42" s="476">
        <v>31500000</v>
      </c>
      <c r="BB42" s="476">
        <v>0</v>
      </c>
      <c r="BC42" s="476">
        <v>0</v>
      </c>
      <c r="BD42" s="481">
        <f t="shared" si="10"/>
        <v>31500000</v>
      </c>
      <c r="BF42" s="484">
        <f t="shared" si="13"/>
        <v>0</v>
      </c>
    </row>
    <row r="43" spans="2:61">
      <c r="B43">
        <f t="shared" si="11"/>
        <v>0</v>
      </c>
      <c r="D43" s="664" t="s">
        <v>532</v>
      </c>
      <c r="E43" s="665">
        <v>44562</v>
      </c>
      <c r="F43" s="665">
        <v>44620</v>
      </c>
      <c r="G43" s="664" t="s">
        <v>533</v>
      </c>
      <c r="H43" s="665">
        <v>44562</v>
      </c>
      <c r="I43" s="664" t="s">
        <v>661</v>
      </c>
      <c r="J43" s="666" t="s">
        <v>669</v>
      </c>
      <c r="K43" s="664" t="s">
        <v>706</v>
      </c>
      <c r="L43" s="665">
        <v>44490</v>
      </c>
      <c r="M43" s="665">
        <v>44497</v>
      </c>
      <c r="N43" s="664" t="s">
        <v>658</v>
      </c>
      <c r="O43" s="664" t="s">
        <v>538</v>
      </c>
      <c r="P43" s="666" t="s">
        <v>539</v>
      </c>
      <c r="Q43" s="664" t="s">
        <v>670</v>
      </c>
      <c r="R43" s="664" t="s">
        <v>671</v>
      </c>
      <c r="S43" s="666" t="s">
        <v>672</v>
      </c>
      <c r="T43" s="666" t="s">
        <v>543</v>
      </c>
      <c r="U43" s="666" t="s">
        <v>544</v>
      </c>
      <c r="V43" s="666" t="s">
        <v>545</v>
      </c>
      <c r="W43" s="666" t="s">
        <v>546</v>
      </c>
      <c r="X43" s="666" t="s">
        <v>648</v>
      </c>
      <c r="Y43" s="666" t="s">
        <v>649</v>
      </c>
      <c r="Z43" s="666" t="s">
        <v>568</v>
      </c>
      <c r="AA43" s="666" t="s">
        <v>569</v>
      </c>
      <c r="AB43" s="664" t="s">
        <v>661</v>
      </c>
      <c r="AC43" s="666" t="s">
        <v>662</v>
      </c>
      <c r="AD43" s="666" t="s">
        <v>673</v>
      </c>
      <c r="AE43" s="666" t="s">
        <v>585</v>
      </c>
      <c r="AF43" s="666" t="s">
        <v>674</v>
      </c>
      <c r="AG43" s="666" t="s">
        <v>675</v>
      </c>
      <c r="AH43" s="666" t="s">
        <v>557</v>
      </c>
      <c r="AI43" s="667">
        <v>4759996</v>
      </c>
      <c r="AJ43" s="667">
        <v>4759996</v>
      </c>
      <c r="AK43" s="667">
        <v>0</v>
      </c>
      <c r="AL43" s="667">
        <v>0</v>
      </c>
      <c r="AM43" s="667">
        <v>0</v>
      </c>
      <c r="AN43" s="667">
        <f t="shared" si="12"/>
        <v>0</v>
      </c>
      <c r="AO43" s="666" t="s">
        <v>676</v>
      </c>
      <c r="AP43" s="666" t="s">
        <v>532</v>
      </c>
      <c r="AQ43" s="666" t="s">
        <v>677</v>
      </c>
      <c r="AR43" s="666" t="s">
        <v>532</v>
      </c>
      <c r="AS43" s="668">
        <v>44564</v>
      </c>
      <c r="AU43" s="269" t="s">
        <v>522</v>
      </c>
      <c r="AV43" s="476">
        <f t="shared" si="14"/>
        <v>0</v>
      </c>
      <c r="AW43" s="476">
        <v>0</v>
      </c>
      <c r="AX43" s="476">
        <v>0</v>
      </c>
      <c r="AY43" s="484">
        <f t="shared" si="9"/>
        <v>0</v>
      </c>
      <c r="AZ43" s="484"/>
      <c r="BA43" s="476">
        <v>0</v>
      </c>
      <c r="BB43" s="476">
        <v>0</v>
      </c>
      <c r="BC43" s="476">
        <v>0</v>
      </c>
      <c r="BD43" s="481">
        <f t="shared" si="10"/>
        <v>0</v>
      </c>
      <c r="BF43" s="484">
        <f t="shared" si="13"/>
        <v>0</v>
      </c>
    </row>
    <row r="44" spans="2:61" s="266" customFormat="1">
      <c r="B44" s="266">
        <f t="shared" si="11"/>
        <v>0</v>
      </c>
      <c r="C44" s="663"/>
      <c r="D44" s="491" t="s">
        <v>532</v>
      </c>
      <c r="E44" s="492">
        <v>44562</v>
      </c>
      <c r="F44" s="492">
        <v>44620</v>
      </c>
      <c r="G44" s="491" t="s">
        <v>533</v>
      </c>
      <c r="H44" s="492">
        <v>44562</v>
      </c>
      <c r="I44" s="491" t="s">
        <v>661</v>
      </c>
      <c r="J44" s="493" t="s">
        <v>669</v>
      </c>
      <c r="K44" s="491" t="s">
        <v>679</v>
      </c>
      <c r="L44" s="492">
        <v>44557</v>
      </c>
      <c r="M44" s="492">
        <v>44561</v>
      </c>
      <c r="N44" s="491" t="s">
        <v>680</v>
      </c>
      <c r="O44" s="491" t="s">
        <v>538</v>
      </c>
      <c r="P44" s="493" t="s">
        <v>539</v>
      </c>
      <c r="Q44" s="491" t="s">
        <v>681</v>
      </c>
      <c r="R44" s="491" t="s">
        <v>682</v>
      </c>
      <c r="S44" s="493" t="s">
        <v>683</v>
      </c>
      <c r="T44" s="493" t="s">
        <v>543</v>
      </c>
      <c r="U44" s="493" t="s">
        <v>544</v>
      </c>
      <c r="V44" s="493" t="s">
        <v>545</v>
      </c>
      <c r="W44" s="493" t="s">
        <v>546</v>
      </c>
      <c r="X44" s="493" t="s">
        <v>684</v>
      </c>
      <c r="Y44" s="493" t="s">
        <v>685</v>
      </c>
      <c r="Z44" s="493" t="s">
        <v>568</v>
      </c>
      <c r="AA44" s="493" t="s">
        <v>569</v>
      </c>
      <c r="AB44" s="491" t="s">
        <v>686</v>
      </c>
      <c r="AC44" s="493" t="s">
        <v>687</v>
      </c>
      <c r="AD44" s="493" t="s">
        <v>688</v>
      </c>
      <c r="AE44" s="493" t="s">
        <v>585</v>
      </c>
      <c r="AF44" s="493" t="s">
        <v>689</v>
      </c>
      <c r="AG44" s="493" t="s">
        <v>690</v>
      </c>
      <c r="AH44" s="493" t="s">
        <v>557</v>
      </c>
      <c r="AI44" s="494">
        <v>130507157</v>
      </c>
      <c r="AJ44" s="494">
        <v>0</v>
      </c>
      <c r="AK44" s="494">
        <v>0</v>
      </c>
      <c r="AL44" s="494">
        <v>130507157</v>
      </c>
      <c r="AM44" s="494">
        <v>130507157</v>
      </c>
      <c r="AN44" s="494">
        <f t="shared" si="12"/>
        <v>0</v>
      </c>
      <c r="AO44" s="493" t="s">
        <v>691</v>
      </c>
      <c r="AP44" s="493" t="s">
        <v>532</v>
      </c>
      <c r="AQ44" s="493" t="s">
        <v>692</v>
      </c>
      <c r="AR44" s="493" t="s">
        <v>532</v>
      </c>
      <c r="AS44" s="495">
        <v>44564</v>
      </c>
      <c r="AU44" s="489" t="s">
        <v>693</v>
      </c>
      <c r="AV44" s="476">
        <f t="shared" si="14"/>
        <v>130507157</v>
      </c>
      <c r="AW44" s="476">
        <v>0</v>
      </c>
      <c r="AX44" s="476">
        <v>0</v>
      </c>
      <c r="AY44" s="484">
        <f t="shared" si="9"/>
        <v>130507157</v>
      </c>
      <c r="AZ44" s="484"/>
      <c r="BA44" s="476">
        <f>120066584.44+10440572.56</f>
        <v>130507157</v>
      </c>
      <c r="BB44" s="476">
        <v>0</v>
      </c>
      <c r="BC44" s="476">
        <v>0</v>
      </c>
      <c r="BD44" s="481">
        <f t="shared" si="10"/>
        <v>130507157</v>
      </c>
      <c r="BE44" s="484"/>
      <c r="BF44" s="484">
        <f t="shared" si="13"/>
        <v>0</v>
      </c>
      <c r="BG44" s="423"/>
    </row>
    <row r="45" spans="2:61" s="266" customFormat="1">
      <c r="B45" s="266" t="e">
        <f t="shared" si="11"/>
        <v>#VALUE!</v>
      </c>
      <c r="C45" s="663"/>
      <c r="D45" s="491" t="s">
        <v>532</v>
      </c>
      <c r="E45" s="492">
        <v>44562</v>
      </c>
      <c r="F45" s="492">
        <v>44620</v>
      </c>
      <c r="G45" s="491" t="s">
        <v>533</v>
      </c>
      <c r="H45" s="492">
        <v>44562</v>
      </c>
      <c r="I45" s="491" t="s">
        <v>575</v>
      </c>
      <c r="J45" s="493" t="s">
        <v>576</v>
      </c>
      <c r="K45" s="491" t="s">
        <v>695</v>
      </c>
      <c r="L45" s="492">
        <v>44319</v>
      </c>
      <c r="M45" s="492">
        <v>44377</v>
      </c>
      <c r="N45" s="491" t="s">
        <v>696</v>
      </c>
      <c r="O45" s="491" t="s">
        <v>538</v>
      </c>
      <c r="P45" s="493" t="s">
        <v>539</v>
      </c>
      <c r="Q45" s="491" t="s">
        <v>697</v>
      </c>
      <c r="R45" s="491" t="s">
        <v>698</v>
      </c>
      <c r="S45" s="493" t="s">
        <v>699</v>
      </c>
      <c r="T45" s="493" t="s">
        <v>543</v>
      </c>
      <c r="U45" s="493" t="s">
        <v>544</v>
      </c>
      <c r="V45" s="493" t="s">
        <v>545</v>
      </c>
      <c r="W45" s="493" t="s">
        <v>546</v>
      </c>
      <c r="X45" s="493" t="s">
        <v>582</v>
      </c>
      <c r="Y45" s="493" t="s">
        <v>583</v>
      </c>
      <c r="Z45" s="493" t="s">
        <v>568</v>
      </c>
      <c r="AA45" s="493" t="s">
        <v>569</v>
      </c>
      <c r="AB45" s="491" t="s">
        <v>551</v>
      </c>
      <c r="AC45" s="493" t="s">
        <v>552</v>
      </c>
      <c r="AD45" s="493" t="s">
        <v>584</v>
      </c>
      <c r="AE45" s="493" t="s">
        <v>585</v>
      </c>
      <c r="AF45" s="493" t="s">
        <v>586</v>
      </c>
      <c r="AG45" s="493" t="s">
        <v>587</v>
      </c>
      <c r="AH45" s="493" t="s">
        <v>557</v>
      </c>
      <c r="AI45" s="494">
        <v>4167765</v>
      </c>
      <c r="AJ45" s="494">
        <v>4167765</v>
      </c>
      <c r="AK45" s="494">
        <v>0</v>
      </c>
      <c r="AL45" s="494">
        <v>4167765</v>
      </c>
      <c r="AM45" s="494">
        <v>0</v>
      </c>
      <c r="AN45" s="494">
        <f t="shared" si="12"/>
        <v>0</v>
      </c>
      <c r="AO45" s="493" t="s">
        <v>700</v>
      </c>
      <c r="AP45" s="493" t="s">
        <v>532</v>
      </c>
      <c r="AQ45" s="493" t="s">
        <v>701</v>
      </c>
      <c r="AR45" s="493" t="s">
        <v>532</v>
      </c>
      <c r="AS45" s="495">
        <v>44564</v>
      </c>
      <c r="AU45" s="489" t="s">
        <v>522</v>
      </c>
      <c r="AV45" s="476">
        <f t="shared" si="14"/>
        <v>4167765</v>
      </c>
      <c r="AW45" s="476">
        <v>0</v>
      </c>
      <c r="AX45" s="476">
        <v>0</v>
      </c>
      <c r="AY45" s="484">
        <f t="shared" si="9"/>
        <v>4167765</v>
      </c>
      <c r="AZ45" s="484"/>
      <c r="BA45" s="476">
        <v>0</v>
      </c>
      <c r="BB45" s="476">
        <v>0</v>
      </c>
      <c r="BC45" s="476">
        <v>0</v>
      </c>
      <c r="BD45" s="484">
        <f t="shared" si="10"/>
        <v>0</v>
      </c>
      <c r="BE45" s="484"/>
      <c r="BF45" s="484">
        <f t="shared" si="13"/>
        <v>0</v>
      </c>
      <c r="BG45" s="423"/>
    </row>
    <row r="46" spans="2:61">
      <c r="AZ46" s="484"/>
      <c r="BA46" s="476"/>
      <c r="BB46" s="476"/>
      <c r="BC46" s="476"/>
      <c r="BD46" s="484">
        <f t="shared" si="10"/>
        <v>0</v>
      </c>
      <c r="BF46" s="481">
        <f>BD46-AM46</f>
        <v>0</v>
      </c>
    </row>
    <row r="47" spans="2:61">
      <c r="AI47" s="446">
        <f t="shared" ref="AI47:AN47" si="15">AI34+AI35+AI36+AI37+AI38+AI39+AI40+AI41+AI42+AI43+AI44+AI45</f>
        <v>561068415</v>
      </c>
      <c r="AJ47" s="446">
        <f t="shared" si="15"/>
        <v>8927761</v>
      </c>
      <c r="AK47" s="446">
        <f t="shared" si="15"/>
        <v>0</v>
      </c>
      <c r="AL47" s="446">
        <f t="shared" si="15"/>
        <v>556308419</v>
      </c>
      <c r="AM47" s="446">
        <f t="shared" si="15"/>
        <v>415515716</v>
      </c>
      <c r="AN47" s="446">
        <f t="shared" si="15"/>
        <v>136624938</v>
      </c>
      <c r="AV47" s="484">
        <f>SUM(AV34:AV45)</f>
        <v>509879416.29999995</v>
      </c>
      <c r="AW47" s="484">
        <f>SUM(AW34:AW45)</f>
        <v>24000003</v>
      </c>
      <c r="AX47" s="484">
        <f>SUM(AX34:AX45)</f>
        <v>22428999.699999999</v>
      </c>
      <c r="AY47" s="484">
        <f>SUM(AV47:AX47)</f>
        <v>556308419</v>
      </c>
      <c r="BA47" s="477">
        <f>SUM(BA34:BA46)</f>
        <v>371637258.39999998</v>
      </c>
      <c r="BB47" s="477">
        <f>SUM(BB34:BB46)</f>
        <v>24000003</v>
      </c>
      <c r="BC47" s="477">
        <f>SUM(BC34:BC46)</f>
        <v>19878454.600000001</v>
      </c>
      <c r="BD47" s="477">
        <f t="shared" si="10"/>
        <v>415515716</v>
      </c>
    </row>
    <row r="48" spans="2:61">
      <c r="BA48" s="477"/>
      <c r="BB48" s="477"/>
      <c r="BC48" s="477"/>
      <c r="BD48" s="477"/>
    </row>
    <row r="49" spans="39:53">
      <c r="AM49" s="366"/>
      <c r="BA49" s="475">
        <v>371637258.40000004</v>
      </c>
    </row>
  </sheetData>
  <mergeCells count="4">
    <mergeCell ref="AV1:AY1"/>
    <mergeCell ref="BA1:BD1"/>
    <mergeCell ref="AV32:AX32"/>
    <mergeCell ref="BA32:BC32"/>
  </mergeCells>
  <printOptions horizontalCentered="1"/>
  <pageMargins left="0.19685039370078741" right="0.19685039370078741" top="0.19685039370078741" bottom="0.19685039370078741" header="0" footer="0"/>
  <pageSetup scale="1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Lesly Paola Nino Palencia</DisplayName>
        <AccountId>509</AccountId>
        <AccountType/>
      </UserInfo>
      <UserInfo>
        <DisplayName>Angela Marcela Forero Ruiz</DisplayName>
        <AccountId>27</AccountId>
        <AccountType/>
      </UserInfo>
      <UserInfo>
        <DisplayName>Ángela Adriana Ávila Ospina</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Meta 1</vt:lpstr>
      <vt:lpstr>Meta 2</vt:lpstr>
      <vt:lpstr>Meta 3</vt:lpstr>
      <vt:lpstr>Meta 4</vt:lpstr>
      <vt:lpstr>Meta 1..n</vt:lpstr>
      <vt:lpstr>Territorialización PA</vt:lpstr>
      <vt:lpstr>Indicadores PA</vt:lpstr>
      <vt:lpstr>Prog.Pptal</vt:lpstr>
      <vt:lpstr>Reserva</vt:lpstr>
      <vt:lpstr>Vigencia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'Territorialización PA'!Área_de_impresión</vt:lpstr>
      <vt:lpstr>'Indicadores PA'!Títulos_a_imprimir</vt:lpstr>
      <vt:lpstr>'Territorialización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cp:lastPrinted>2022-10-06T15:53:48Z</cp:lastPrinted>
  <dcterms:created xsi:type="dcterms:W3CDTF">2011-04-26T22:16:52Z</dcterms:created>
  <dcterms:modified xsi:type="dcterms:W3CDTF">2022-10-14T17:01:09Z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