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1/PLAN DE ACCIÓN/"/>
    </mc:Choice>
  </mc:AlternateContent>
  <xr:revisionPtr revIDLastSave="0" documentId="8_{B8660FC9-AAAB-42AF-972D-32EA7190D9F5}" xr6:coauthVersionLast="47" xr6:coauthVersionMax="47" xr10:uidLastSave="{00000000-0000-0000-0000-000000000000}"/>
  <bookViews>
    <workbookView xWindow="-120" yWindow="-120" windowWidth="20730" windowHeight="11160" tabRatio="867" activeTab="7" xr2:uid="{00000000-000D-0000-FFFF-FFFF00000000}"/>
  </bookViews>
  <sheets>
    <sheet name="Meta 1 DED. SCPI" sheetId="40" r:id="rId1"/>
    <sheet name="Meta 2 DED" sheetId="42" r:id="rId2"/>
    <sheet name="Meta 3 DED" sheetId="43" r:id="rId3"/>
    <sheet name="Meta 4 DED" sheetId="44" r:id="rId4"/>
    <sheet name="Meta 5 SCPI" sheetId="45" r:id="rId5"/>
    <sheet name="Meta 6 SCPI" sheetId="46" r:id="rId6"/>
    <sheet name="Meta 7 DED" sheetId="48" r:id="rId7"/>
    <sheet name="Indicadores PA" sheetId="36" r:id="rId8"/>
    <sheet name="Meta 1..n" sheetId="1" state="hidden" r:id="rId9"/>
    <sheet name="Territorialización PA" sheetId="37" r:id="rId10"/>
    <sheet name="Instructivo" sheetId="39" r:id="rId11"/>
    <sheet name="Generalidades" sheetId="38" r:id="rId12"/>
    <sheet name="Hoja2" sheetId="47" r:id="rId13"/>
    <sheet name="Hoja13" sheetId="32" state="hidden" r:id="rId14"/>
    <sheet name="Hoja1" sheetId="20" state="hidden" r:id="rId15"/>
  </sheets>
  <definedNames>
    <definedName name="_xlnm._FilterDatabase" localSheetId="7" hidden="1">'Indicadores PA'!$A$12:$AX$12</definedName>
    <definedName name="_xlnm.Print_Area" localSheetId="0">'Meta 1 DED. SCPI'!$A$1:$AD$51</definedName>
    <definedName name="_xlnm.Print_Area" localSheetId="1">'Meta 2 DED'!$A$1:$AD$57</definedName>
    <definedName name="_xlnm.Print_Area" localSheetId="2">'Meta 3 DED'!$A$1:$AD$45</definedName>
    <definedName name="_xlnm.Print_Area" localSheetId="4">'Meta 5 SCPI'!$A$1:$AD$43</definedName>
    <definedName name="_xlnm.Print_Area" localSheetId="5">'Meta 6 SCPI'!$A$1:$AD$51</definedName>
    <definedName name="_xlnm.Print_Area" localSheetId="6">'Meta 7 DED'!$A$1:$AD$43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42" l="1"/>
  <c r="G24" i="48"/>
  <c r="AT18" i="36" l="1"/>
  <c r="AU17" i="36"/>
  <c r="P43" i="45" l="1"/>
  <c r="P42" i="45"/>
  <c r="P41" i="45"/>
  <c r="P40" i="45"/>
  <c r="P39" i="45"/>
  <c r="P38" i="45"/>
  <c r="P51" i="40"/>
  <c r="P50" i="40"/>
  <c r="P49" i="40"/>
  <c r="P48" i="40"/>
  <c r="P47" i="40"/>
  <c r="P46" i="40"/>
  <c r="P45" i="40"/>
  <c r="P44" i="40"/>
  <c r="H25" i="43" l="1"/>
  <c r="P38" i="40"/>
  <c r="P40" i="40"/>
  <c r="D60" i="40"/>
  <c r="P42" i="40"/>
  <c r="D64" i="40"/>
  <c r="D66" i="40"/>
  <c r="D68" i="40"/>
  <c r="D70" i="40"/>
  <c r="B34" i="40"/>
  <c r="E60" i="40"/>
  <c r="E64" i="40"/>
  <c r="E66" i="40"/>
  <c r="E68" i="40"/>
  <c r="E70" i="40"/>
  <c r="F60" i="40"/>
  <c r="F62" i="40"/>
  <c r="F64" i="40"/>
  <c r="F66" i="40"/>
  <c r="F68" i="40"/>
  <c r="F70" i="40"/>
  <c r="G64" i="40"/>
  <c r="G66" i="40"/>
  <c r="G68" i="40"/>
  <c r="G70" i="40"/>
  <c r="J64" i="40"/>
  <c r="J66" i="40"/>
  <c r="J68" i="40"/>
  <c r="J70" i="40"/>
  <c r="K58" i="40"/>
  <c r="K64" i="40"/>
  <c r="K66" i="40"/>
  <c r="K68" i="40"/>
  <c r="K70" i="40"/>
  <c r="L58" i="40"/>
  <c r="L64" i="40"/>
  <c r="L66" i="40"/>
  <c r="L68" i="40"/>
  <c r="L70" i="40"/>
  <c r="M64" i="40"/>
  <c r="M66" i="40"/>
  <c r="M68" i="40"/>
  <c r="M70" i="40"/>
  <c r="N64" i="40"/>
  <c r="N66" i="40"/>
  <c r="N68" i="40"/>
  <c r="N70" i="40"/>
  <c r="O62" i="40"/>
  <c r="O64" i="40"/>
  <c r="O66" i="40"/>
  <c r="O68" i="40"/>
  <c r="O70" i="40"/>
  <c r="P47" i="42"/>
  <c r="P45" i="42"/>
  <c r="AL19" i="36"/>
  <c r="AT19" i="36" s="1"/>
  <c r="AT17" i="36"/>
  <c r="AU15" i="36"/>
  <c r="P38" i="48"/>
  <c r="P40" i="48"/>
  <c r="E59" i="48" s="1"/>
  <c r="P42" i="48"/>
  <c r="K61" i="48"/>
  <c r="B34" i="48"/>
  <c r="H59" i="48"/>
  <c r="K59" i="48"/>
  <c r="M59" i="48"/>
  <c r="N59" i="48"/>
  <c r="O59" i="48"/>
  <c r="E60" i="48"/>
  <c r="F60" i="48"/>
  <c r="G60" i="48"/>
  <c r="I60" i="48"/>
  <c r="J60" i="48"/>
  <c r="K60" i="48"/>
  <c r="M60" i="48"/>
  <c r="N60" i="48"/>
  <c r="O60" i="48"/>
  <c r="B61" i="48"/>
  <c r="A61" i="48"/>
  <c r="B59" i="48"/>
  <c r="A59" i="48"/>
  <c r="B57" i="48"/>
  <c r="A57" i="48"/>
  <c r="P43" i="48"/>
  <c r="P41" i="48"/>
  <c r="P39" i="48"/>
  <c r="P30" i="48"/>
  <c r="U25" i="48"/>
  <c r="D25" i="48"/>
  <c r="D24" i="48"/>
  <c r="F24" i="48"/>
  <c r="AC24" i="48"/>
  <c r="S23" i="48"/>
  <c r="T22" i="48"/>
  <c r="AC22" i="48" s="1"/>
  <c r="O22" i="48"/>
  <c r="G24" i="46"/>
  <c r="G24" i="45"/>
  <c r="G24" i="44"/>
  <c r="G24" i="40"/>
  <c r="O24" i="40" s="1"/>
  <c r="U25" i="44"/>
  <c r="U25" i="42"/>
  <c r="U25" i="40"/>
  <c r="G25" i="45"/>
  <c r="AT13" i="36"/>
  <c r="T23" i="44"/>
  <c r="U23" i="44" s="1"/>
  <c r="V23" i="44" s="1"/>
  <c r="S25" i="45"/>
  <c r="S25" i="46"/>
  <c r="R23" i="46"/>
  <c r="R23" i="45"/>
  <c r="S23" i="44"/>
  <c r="S23" i="40"/>
  <c r="S23" i="42"/>
  <c r="BQ89" i="37"/>
  <c r="BP89" i="37"/>
  <c r="BO89" i="37"/>
  <c r="BN89" i="37"/>
  <c r="BM89" i="37"/>
  <c r="BL89" i="37"/>
  <c r="BH89" i="37"/>
  <c r="BG89" i="37"/>
  <c r="BF89" i="37"/>
  <c r="BE89" i="37"/>
  <c r="BD89" i="37"/>
  <c r="BC89" i="37"/>
  <c r="BB89" i="37"/>
  <c r="BA89" i="37"/>
  <c r="AZ89" i="37"/>
  <c r="AY89" i="37"/>
  <c r="AX89" i="37"/>
  <c r="AW89" i="37"/>
  <c r="AV89" i="37"/>
  <c r="AU89" i="37"/>
  <c r="AT89" i="37"/>
  <c r="AS89" i="37"/>
  <c r="AR89" i="37"/>
  <c r="AQ89" i="37"/>
  <c r="AP89" i="37"/>
  <c r="AO89" i="37"/>
  <c r="AN89" i="37"/>
  <c r="AM89" i="37"/>
  <c r="AL89" i="37"/>
  <c r="AK89" i="37"/>
  <c r="AH89" i="37"/>
  <c r="AG89" i="37"/>
  <c r="AF89" i="37"/>
  <c r="AE89" i="37"/>
  <c r="AD89" i="37"/>
  <c r="AC89" i="37"/>
  <c r="Y89" i="37"/>
  <c r="X89" i="37"/>
  <c r="W89" i="37"/>
  <c r="V89" i="37"/>
  <c r="U89" i="37"/>
  <c r="T89" i="37"/>
  <c r="S89" i="37"/>
  <c r="R89" i="37"/>
  <c r="Q89" i="37"/>
  <c r="P89" i="37"/>
  <c r="O89" i="37"/>
  <c r="N89" i="37"/>
  <c r="M89" i="37"/>
  <c r="L89" i="37"/>
  <c r="K89" i="37"/>
  <c r="J89" i="37"/>
  <c r="I89" i="37"/>
  <c r="H89" i="37"/>
  <c r="G89" i="37"/>
  <c r="F89" i="37"/>
  <c r="E89" i="37"/>
  <c r="D89" i="37"/>
  <c r="C89" i="37"/>
  <c r="B89" i="37"/>
  <c r="BJ88" i="37"/>
  <c r="BI88" i="37"/>
  <c r="AA88" i="37"/>
  <c r="Z88" i="37"/>
  <c r="BJ87" i="37"/>
  <c r="BI87" i="37"/>
  <c r="AA87" i="37"/>
  <c r="Z87" i="37"/>
  <c r="BJ86" i="37"/>
  <c r="BI86" i="37"/>
  <c r="AA86" i="37"/>
  <c r="Z86" i="37"/>
  <c r="BJ85" i="37"/>
  <c r="BI85" i="37"/>
  <c r="AA85" i="37"/>
  <c r="Z85" i="37"/>
  <c r="BJ84" i="37"/>
  <c r="BI84" i="37"/>
  <c r="AA84" i="37"/>
  <c r="Z84" i="37"/>
  <c r="BJ83" i="37"/>
  <c r="BI83" i="37"/>
  <c r="AA83" i="37"/>
  <c r="Z83" i="37"/>
  <c r="BJ82" i="37"/>
  <c r="BI82" i="37"/>
  <c r="AA82" i="37"/>
  <c r="Z82" i="37"/>
  <c r="BJ81" i="37"/>
  <c r="BI81" i="37"/>
  <c r="AA81" i="37"/>
  <c r="Z81" i="37"/>
  <c r="BJ80" i="37"/>
  <c r="BI80" i="37"/>
  <c r="AA80" i="37"/>
  <c r="Z80" i="37"/>
  <c r="BJ79" i="37"/>
  <c r="BI79" i="37"/>
  <c r="AA79" i="37"/>
  <c r="Z79" i="37"/>
  <c r="BJ78" i="37"/>
  <c r="BI78" i="37"/>
  <c r="AA78" i="37"/>
  <c r="Z78" i="37"/>
  <c r="BJ77" i="37"/>
  <c r="BI77" i="37"/>
  <c r="AA77" i="37"/>
  <c r="Z77" i="37"/>
  <c r="BJ76" i="37"/>
  <c r="BI76" i="37"/>
  <c r="AA76" i="37"/>
  <c r="Z76" i="37"/>
  <c r="BJ75" i="37"/>
  <c r="BI75" i="37"/>
  <c r="AA75" i="37"/>
  <c r="Z75" i="37"/>
  <c r="BJ74" i="37"/>
  <c r="BI74" i="37"/>
  <c r="AA74" i="37"/>
  <c r="Z74" i="37"/>
  <c r="BJ73" i="37"/>
  <c r="BI73" i="37"/>
  <c r="AA73" i="37"/>
  <c r="Z73" i="37"/>
  <c r="BJ72" i="37"/>
  <c r="BI72" i="37"/>
  <c r="AA72" i="37"/>
  <c r="Z72" i="37"/>
  <c r="BJ71" i="37"/>
  <c r="BI71" i="37"/>
  <c r="AA71" i="37"/>
  <c r="Z71" i="37"/>
  <c r="BJ70" i="37"/>
  <c r="BI70" i="37"/>
  <c r="AA70" i="37"/>
  <c r="Z70" i="37"/>
  <c r="BJ69" i="37"/>
  <c r="BJ89" i="37" s="1"/>
  <c r="BI69" i="37"/>
  <c r="BI89" i="37"/>
  <c r="AA69" i="37"/>
  <c r="AA89" i="37" s="1"/>
  <c r="Z69" i="37"/>
  <c r="Z89" i="37"/>
  <c r="BJ68" i="37"/>
  <c r="BI68" i="37"/>
  <c r="AA68" i="37"/>
  <c r="Z68" i="37"/>
  <c r="BQ61" i="37"/>
  <c r="BP61" i="37"/>
  <c r="BO61" i="37"/>
  <c r="BN61" i="37"/>
  <c r="BM61" i="37"/>
  <c r="BL61" i="37"/>
  <c r="BH61" i="37"/>
  <c r="BG61" i="37"/>
  <c r="BF61" i="37"/>
  <c r="BE61" i="37"/>
  <c r="BD61" i="37"/>
  <c r="BC61" i="37"/>
  <c r="BB61" i="37"/>
  <c r="BA61" i="37"/>
  <c r="AZ61" i="37"/>
  <c r="AY61" i="37"/>
  <c r="AX61" i="37"/>
  <c r="AW61" i="37"/>
  <c r="AV61" i="37"/>
  <c r="AU61" i="37"/>
  <c r="AT61" i="37"/>
  <c r="AS61" i="37"/>
  <c r="AR61" i="37"/>
  <c r="AQ61" i="37"/>
  <c r="AP61" i="37"/>
  <c r="AO61" i="37"/>
  <c r="AN61" i="37"/>
  <c r="AM61" i="37"/>
  <c r="AL61" i="37"/>
  <c r="AK61" i="37"/>
  <c r="AH61" i="37"/>
  <c r="AG61" i="37"/>
  <c r="AF61" i="37"/>
  <c r="AE61" i="37"/>
  <c r="AD61" i="37"/>
  <c r="AC61" i="37"/>
  <c r="Y61" i="37"/>
  <c r="X61" i="37"/>
  <c r="W61" i="37"/>
  <c r="V61" i="37"/>
  <c r="U61" i="37"/>
  <c r="T61" i="37"/>
  <c r="S61" i="37"/>
  <c r="R61" i="37"/>
  <c r="Q61" i="37"/>
  <c r="P61" i="37"/>
  <c r="O61" i="37"/>
  <c r="N61" i="37"/>
  <c r="M61" i="37"/>
  <c r="L61" i="37"/>
  <c r="K61" i="37"/>
  <c r="J61" i="37"/>
  <c r="I61" i="37"/>
  <c r="H61" i="37"/>
  <c r="G61" i="37"/>
  <c r="F61" i="37"/>
  <c r="E61" i="37"/>
  <c r="D61" i="37"/>
  <c r="C61" i="37"/>
  <c r="B61" i="37"/>
  <c r="BJ60" i="37"/>
  <c r="BI60" i="37"/>
  <c r="AA60" i="37"/>
  <c r="Z60" i="37"/>
  <c r="BJ59" i="37"/>
  <c r="BI59" i="37"/>
  <c r="AA59" i="37"/>
  <c r="Z59" i="37"/>
  <c r="BJ58" i="37"/>
  <c r="BI58" i="37"/>
  <c r="AA58" i="37"/>
  <c r="Z58" i="37"/>
  <c r="BJ57" i="37"/>
  <c r="BI57" i="37"/>
  <c r="AA57" i="37"/>
  <c r="Z57" i="37"/>
  <c r="BJ56" i="37"/>
  <c r="BI56" i="37"/>
  <c r="AA56" i="37"/>
  <c r="Z56" i="37"/>
  <c r="BJ55" i="37"/>
  <c r="BI55" i="37"/>
  <c r="AA55" i="37"/>
  <c r="Z55" i="37"/>
  <c r="BJ54" i="37"/>
  <c r="BI54" i="37"/>
  <c r="AA54" i="37"/>
  <c r="Z54" i="37"/>
  <c r="BJ53" i="37"/>
  <c r="BI53" i="37"/>
  <c r="AA53" i="37"/>
  <c r="Z53" i="37"/>
  <c r="BJ52" i="37"/>
  <c r="BI52" i="37"/>
  <c r="AA52" i="37"/>
  <c r="Z52" i="37"/>
  <c r="BJ51" i="37"/>
  <c r="BI51" i="37"/>
  <c r="AA51" i="37"/>
  <c r="Z51" i="37"/>
  <c r="BJ50" i="37"/>
  <c r="BI50" i="37"/>
  <c r="AA50" i="37"/>
  <c r="Z50" i="37"/>
  <c r="BJ49" i="37"/>
  <c r="BI49" i="37"/>
  <c r="AA49" i="37"/>
  <c r="Z49" i="37"/>
  <c r="BJ48" i="37"/>
  <c r="BI48" i="37"/>
  <c r="AA48" i="37"/>
  <c r="Z48" i="37"/>
  <c r="BJ47" i="37"/>
  <c r="BI47" i="37"/>
  <c r="AA47" i="37"/>
  <c r="Z47" i="37"/>
  <c r="BJ46" i="37"/>
  <c r="BI46" i="37"/>
  <c r="AA46" i="37"/>
  <c r="Z46" i="37"/>
  <c r="BJ45" i="37"/>
  <c r="BI45" i="37"/>
  <c r="AA45" i="37"/>
  <c r="Z45" i="37"/>
  <c r="BJ44" i="37"/>
  <c r="BI44" i="37"/>
  <c r="AA44" i="37"/>
  <c r="Z44" i="37"/>
  <c r="BJ43" i="37"/>
  <c r="BI43" i="37"/>
  <c r="AA43" i="37"/>
  <c r="Z43" i="37"/>
  <c r="BJ42" i="37"/>
  <c r="BI42" i="37"/>
  <c r="BI61" i="37" s="1"/>
  <c r="AA42" i="37"/>
  <c r="Z42" i="37"/>
  <c r="BJ41" i="37"/>
  <c r="BJ61" i="37" s="1"/>
  <c r="BI41" i="37"/>
  <c r="AA41" i="37"/>
  <c r="AA61" i="37" s="1"/>
  <c r="Z41" i="37"/>
  <c r="Z61" i="37" s="1"/>
  <c r="BJ40" i="37"/>
  <c r="BI40" i="37"/>
  <c r="AA40" i="37"/>
  <c r="Z40" i="37"/>
  <c r="BQ32" i="37"/>
  <c r="BP32" i="37"/>
  <c r="BO32" i="37"/>
  <c r="BN32" i="37"/>
  <c r="BM32" i="37"/>
  <c r="BL32" i="37"/>
  <c r="BH32" i="37"/>
  <c r="BG32" i="37"/>
  <c r="BF32" i="37"/>
  <c r="BE32" i="37"/>
  <c r="BD32" i="37"/>
  <c r="BC32" i="37"/>
  <c r="BB32" i="37"/>
  <c r="BA32" i="37"/>
  <c r="AZ32" i="37"/>
  <c r="AY32" i="37"/>
  <c r="AX32" i="37"/>
  <c r="AW32" i="37"/>
  <c r="AV32" i="37"/>
  <c r="AU32" i="37"/>
  <c r="AT32" i="37"/>
  <c r="AS32" i="37"/>
  <c r="AR32" i="37"/>
  <c r="AQ32" i="37"/>
  <c r="AP32" i="37"/>
  <c r="AO32" i="37"/>
  <c r="AN32" i="37"/>
  <c r="AM32" i="37"/>
  <c r="AL32" i="37"/>
  <c r="AK32" i="37"/>
  <c r="AI32" i="37"/>
  <c r="AH32" i="37"/>
  <c r="AG32" i="37"/>
  <c r="AF32" i="37"/>
  <c r="AE32" i="37"/>
  <c r="AD32" i="37"/>
  <c r="AC32" i="37"/>
  <c r="Y32" i="37"/>
  <c r="X32" i="37"/>
  <c r="W32" i="37"/>
  <c r="V32" i="37"/>
  <c r="U32" i="37"/>
  <c r="T32" i="37"/>
  <c r="S32" i="37"/>
  <c r="R32" i="37"/>
  <c r="Q32" i="37"/>
  <c r="P32" i="37"/>
  <c r="O32" i="37"/>
  <c r="N32" i="37"/>
  <c r="M32" i="37"/>
  <c r="L32" i="37"/>
  <c r="K32" i="37"/>
  <c r="J32" i="37"/>
  <c r="I32" i="37"/>
  <c r="H32" i="37"/>
  <c r="G32" i="37"/>
  <c r="F32" i="37"/>
  <c r="E32" i="37"/>
  <c r="D32" i="37"/>
  <c r="C32" i="37"/>
  <c r="B32" i="37"/>
  <c r="BJ31" i="37"/>
  <c r="BI31" i="37"/>
  <c r="AA31" i="37"/>
  <c r="Z31" i="37"/>
  <c r="BJ30" i="37"/>
  <c r="BI30" i="37"/>
  <c r="AA30" i="37"/>
  <c r="Z30" i="37"/>
  <c r="BJ29" i="37"/>
  <c r="BI29" i="37"/>
  <c r="AA29" i="37"/>
  <c r="Z29" i="37"/>
  <c r="BJ28" i="37"/>
  <c r="BI28" i="37"/>
  <c r="AA28" i="37"/>
  <c r="Z28" i="37"/>
  <c r="BJ27" i="37"/>
  <c r="BI27" i="37"/>
  <c r="AA27" i="37"/>
  <c r="Z27" i="37"/>
  <c r="BJ26" i="37"/>
  <c r="BI26" i="37"/>
  <c r="AA26" i="37"/>
  <c r="Z26" i="37"/>
  <c r="BJ25" i="37"/>
  <c r="BI25" i="37"/>
  <c r="AA25" i="37"/>
  <c r="Z25" i="37"/>
  <c r="BJ24" i="37"/>
  <c r="BI24" i="37"/>
  <c r="AA24" i="37"/>
  <c r="Z24" i="37"/>
  <c r="BJ23" i="37"/>
  <c r="BI23" i="37"/>
  <c r="AA23" i="37"/>
  <c r="Z23" i="37"/>
  <c r="BJ22" i="37"/>
  <c r="BI22" i="37"/>
  <c r="AA22" i="37"/>
  <c r="Z22" i="37"/>
  <c r="BJ21" i="37"/>
  <c r="BI21" i="37"/>
  <c r="AA21" i="37"/>
  <c r="Z21" i="37"/>
  <c r="BJ20" i="37"/>
  <c r="BI20" i="37"/>
  <c r="AA20" i="37"/>
  <c r="Z20" i="37"/>
  <c r="BJ19" i="37"/>
  <c r="BI19" i="37"/>
  <c r="AA19" i="37"/>
  <c r="Z19" i="37"/>
  <c r="BJ18" i="37"/>
  <c r="BI18" i="37"/>
  <c r="AA18" i="37"/>
  <c r="Z18" i="37"/>
  <c r="BJ17" i="37"/>
  <c r="BI17" i="37"/>
  <c r="AA17" i="37"/>
  <c r="Z17" i="37"/>
  <c r="BJ16" i="37"/>
  <c r="BI16" i="37"/>
  <c r="AA16" i="37"/>
  <c r="Z16" i="37"/>
  <c r="BJ15" i="37"/>
  <c r="BI15" i="37"/>
  <c r="AA15" i="37"/>
  <c r="Z15" i="37"/>
  <c r="BJ14" i="37"/>
  <c r="BI14" i="37"/>
  <c r="AA14" i="37"/>
  <c r="Z14" i="37"/>
  <c r="BJ13" i="37"/>
  <c r="BI13" i="37"/>
  <c r="AA13" i="37"/>
  <c r="Z13" i="37"/>
  <c r="BJ12" i="37"/>
  <c r="BI12" i="37"/>
  <c r="BI32" i="37" s="1"/>
  <c r="AA12" i="37"/>
  <c r="AA32" i="37" s="1"/>
  <c r="Z12" i="37"/>
  <c r="Z32" i="37" s="1"/>
  <c r="BJ11" i="37"/>
  <c r="BI11" i="37"/>
  <c r="AA11" i="37"/>
  <c r="Z11" i="37"/>
  <c r="B63" i="43"/>
  <c r="A63" i="43"/>
  <c r="B61" i="43"/>
  <c r="A61" i="43"/>
  <c r="B59" i="43"/>
  <c r="A59" i="43"/>
  <c r="B57" i="43"/>
  <c r="A57" i="43"/>
  <c r="P45" i="43"/>
  <c r="P44" i="43"/>
  <c r="P43" i="43"/>
  <c r="P42" i="43"/>
  <c r="L62" i="43"/>
  <c r="P41" i="43"/>
  <c r="P40" i="43"/>
  <c r="P39" i="43"/>
  <c r="P38" i="43"/>
  <c r="G57" i="43"/>
  <c r="B34" i="43"/>
  <c r="P30" i="43"/>
  <c r="R25" i="43"/>
  <c r="D25" i="43"/>
  <c r="AC24" i="43"/>
  <c r="F24" i="43"/>
  <c r="E24" i="43"/>
  <c r="D24" i="43"/>
  <c r="O24" i="43" s="1"/>
  <c r="A3" i="47" s="1"/>
  <c r="C3" i="47" s="1"/>
  <c r="R23" i="43"/>
  <c r="Z22" i="43"/>
  <c r="U22" i="43"/>
  <c r="T22" i="43"/>
  <c r="S22" i="43"/>
  <c r="R22" i="43"/>
  <c r="Q22" i="43"/>
  <c r="O22" i="43"/>
  <c r="M62" i="43"/>
  <c r="J57" i="43"/>
  <c r="K57" i="43"/>
  <c r="F62" i="43"/>
  <c r="N64" i="43"/>
  <c r="H57" i="43"/>
  <c r="H61" i="43"/>
  <c r="O62" i="43"/>
  <c r="D58" i="43"/>
  <c r="D62" i="43"/>
  <c r="B63" i="44"/>
  <c r="A63" i="44"/>
  <c r="B61" i="44"/>
  <c r="A61" i="44"/>
  <c r="B59" i="44"/>
  <c r="A59" i="44"/>
  <c r="B57" i="44"/>
  <c r="A57" i="44"/>
  <c r="P45" i="44"/>
  <c r="P44" i="44"/>
  <c r="N63" i="44"/>
  <c r="O63" i="44"/>
  <c r="P43" i="44"/>
  <c r="P42" i="44"/>
  <c r="N61" i="44" s="1"/>
  <c r="F62" i="44"/>
  <c r="P41" i="44"/>
  <c r="P40" i="44"/>
  <c r="P39" i="44"/>
  <c r="P38" i="44"/>
  <c r="F58" i="44" s="1"/>
  <c r="B34" i="44"/>
  <c r="P30" i="44"/>
  <c r="D25" i="44"/>
  <c r="AC24" i="44"/>
  <c r="D24" i="44"/>
  <c r="O24" i="44" s="1"/>
  <c r="A4" i="47" s="1"/>
  <c r="C4" i="47" s="1"/>
  <c r="AC22" i="44"/>
  <c r="O22" i="44"/>
  <c r="G62" i="44"/>
  <c r="G64" i="44"/>
  <c r="O61" i="44"/>
  <c r="N62" i="44"/>
  <c r="I62" i="44"/>
  <c r="K62" i="44"/>
  <c r="D63" i="44"/>
  <c r="E62" i="44"/>
  <c r="D62" i="44"/>
  <c r="P51" i="46"/>
  <c r="P50" i="46"/>
  <c r="P49" i="46"/>
  <c r="P48" i="46"/>
  <c r="P47" i="46"/>
  <c r="P46" i="46"/>
  <c r="P45" i="46"/>
  <c r="P44" i="46"/>
  <c r="P43" i="46"/>
  <c r="P42" i="46"/>
  <c r="P41" i="46"/>
  <c r="P40" i="46"/>
  <c r="P39" i="46"/>
  <c r="P38" i="46"/>
  <c r="L62" i="45"/>
  <c r="L58" i="45"/>
  <c r="L60" i="45"/>
  <c r="D25" i="40"/>
  <c r="D25" i="42"/>
  <c r="AC24" i="42"/>
  <c r="O25" i="45"/>
  <c r="O22" i="40"/>
  <c r="AU19" i="36"/>
  <c r="AU18" i="36"/>
  <c r="AU16" i="36"/>
  <c r="B69" i="46"/>
  <c r="A69" i="46"/>
  <c r="B67" i="46"/>
  <c r="A67" i="46"/>
  <c r="B65" i="46"/>
  <c r="A65" i="46"/>
  <c r="B63" i="46"/>
  <c r="A63" i="46"/>
  <c r="B61" i="46"/>
  <c r="A61" i="46"/>
  <c r="B59" i="46"/>
  <c r="A59" i="46"/>
  <c r="B57" i="46"/>
  <c r="A57" i="46"/>
  <c r="B34" i="46"/>
  <c r="B61" i="45"/>
  <c r="A61" i="45"/>
  <c r="B59" i="45"/>
  <c r="A59" i="45"/>
  <c r="B57" i="45"/>
  <c r="A57" i="45"/>
  <c r="B34" i="45"/>
  <c r="B81" i="42"/>
  <c r="A81" i="42"/>
  <c r="B79" i="42"/>
  <c r="A79" i="42"/>
  <c r="B77" i="42"/>
  <c r="A77" i="42"/>
  <c r="B75" i="42"/>
  <c r="A75" i="42"/>
  <c r="B73" i="42"/>
  <c r="A73" i="42"/>
  <c r="O72" i="42"/>
  <c r="N72" i="42"/>
  <c r="M72" i="42"/>
  <c r="L72" i="42"/>
  <c r="K72" i="42"/>
  <c r="J72" i="42"/>
  <c r="I72" i="42"/>
  <c r="H72" i="42"/>
  <c r="G72" i="42"/>
  <c r="F72" i="42"/>
  <c r="E72" i="42"/>
  <c r="D72" i="42"/>
  <c r="O71" i="42"/>
  <c r="N71" i="42"/>
  <c r="M71" i="42"/>
  <c r="L71" i="42"/>
  <c r="K71" i="42"/>
  <c r="J71" i="42"/>
  <c r="I71" i="42"/>
  <c r="H71" i="42"/>
  <c r="G71" i="42"/>
  <c r="F71" i="42"/>
  <c r="E71" i="42"/>
  <c r="D71" i="42"/>
  <c r="B71" i="42"/>
  <c r="A71" i="42"/>
  <c r="O70" i="42"/>
  <c r="N70" i="42"/>
  <c r="M70" i="42"/>
  <c r="L70" i="42"/>
  <c r="K70" i="42"/>
  <c r="J70" i="42"/>
  <c r="I70" i="42"/>
  <c r="H70" i="42"/>
  <c r="D70" i="42"/>
  <c r="E70" i="42"/>
  <c r="F70" i="42"/>
  <c r="G70" i="42"/>
  <c r="O69" i="42"/>
  <c r="N69" i="42"/>
  <c r="M69" i="42"/>
  <c r="L69" i="42"/>
  <c r="K69" i="42"/>
  <c r="J69" i="42"/>
  <c r="I69" i="42"/>
  <c r="H69" i="42"/>
  <c r="G69" i="42"/>
  <c r="F69" i="42"/>
  <c r="E69" i="42"/>
  <c r="D69" i="42"/>
  <c r="B69" i="42"/>
  <c r="A69" i="42"/>
  <c r="B67" i="42"/>
  <c r="A67" i="42"/>
  <c r="B65" i="42"/>
  <c r="A65" i="42"/>
  <c r="B63" i="42"/>
  <c r="A63" i="42"/>
  <c r="B34" i="42"/>
  <c r="P39" i="40"/>
  <c r="B69" i="40"/>
  <c r="A69" i="40"/>
  <c r="B67" i="40"/>
  <c r="A67" i="40"/>
  <c r="B65" i="40"/>
  <c r="A65" i="40"/>
  <c r="B63" i="40"/>
  <c r="A63" i="40"/>
  <c r="B61" i="40"/>
  <c r="A61" i="40"/>
  <c r="B59" i="40"/>
  <c r="A59" i="40"/>
  <c r="B57" i="40"/>
  <c r="A57" i="40"/>
  <c r="J2" i="47"/>
  <c r="J3" i="47"/>
  <c r="J4" i="47"/>
  <c r="J5" i="47"/>
  <c r="J6" i="47"/>
  <c r="J7" i="47"/>
  <c r="J1" i="47"/>
  <c r="F8" i="47"/>
  <c r="G2" i="47" s="1"/>
  <c r="T22" i="45"/>
  <c r="AC22" i="40"/>
  <c r="F24" i="45"/>
  <c r="C22" i="45"/>
  <c r="O22" i="45" s="1"/>
  <c r="F24" i="42"/>
  <c r="E24" i="42"/>
  <c r="O24" i="42" s="1"/>
  <c r="D24" i="42"/>
  <c r="D24" i="40"/>
  <c r="L61" i="45"/>
  <c r="D61" i="45"/>
  <c r="I62" i="45"/>
  <c r="O61" i="45"/>
  <c r="G61" i="45"/>
  <c r="J61" i="45"/>
  <c r="G62" i="45"/>
  <c r="E61" i="45"/>
  <c r="XEN49" i="40"/>
  <c r="XDH49" i="40"/>
  <c r="XCB49" i="40"/>
  <c r="XAV49" i="40"/>
  <c r="WZP49" i="40"/>
  <c r="WYJ49" i="40"/>
  <c r="WXD49" i="40"/>
  <c r="WVX49" i="40"/>
  <c r="WUR49" i="40"/>
  <c r="WTL49" i="40"/>
  <c r="WSF49" i="40"/>
  <c r="WQZ49" i="40"/>
  <c r="WPT49" i="40"/>
  <c r="WON49" i="40"/>
  <c r="WNH49" i="40"/>
  <c r="WMB49" i="40"/>
  <c r="WKV49" i="40"/>
  <c r="WJP49" i="40"/>
  <c r="WIJ49" i="40"/>
  <c r="WHD49" i="40"/>
  <c r="WFX49" i="40"/>
  <c r="WER49" i="40"/>
  <c r="WDL49" i="40"/>
  <c r="WCF49" i="40"/>
  <c r="WAZ49" i="40"/>
  <c r="VZT49" i="40"/>
  <c r="VYN49" i="40"/>
  <c r="VXH49" i="40"/>
  <c r="VWB49" i="40"/>
  <c r="VUV49" i="40"/>
  <c r="VTP49" i="40"/>
  <c r="VSJ49" i="40"/>
  <c r="VRD49" i="40"/>
  <c r="VPX49" i="40"/>
  <c r="VOR49" i="40"/>
  <c r="VNL49" i="40"/>
  <c r="VMF49" i="40"/>
  <c r="VKZ49" i="40"/>
  <c r="VJT49" i="40"/>
  <c r="VIN49" i="40"/>
  <c r="VHH49" i="40"/>
  <c r="VGB49" i="40"/>
  <c r="VEV49" i="40"/>
  <c r="VDP49" i="40"/>
  <c r="VCJ49" i="40"/>
  <c r="VBD49" i="40"/>
  <c r="UZX49" i="40"/>
  <c r="UYR49" i="40"/>
  <c r="UXL49" i="40"/>
  <c r="UWF49" i="40"/>
  <c r="UUZ49" i="40"/>
  <c r="UTT49" i="40"/>
  <c r="USN49" i="40"/>
  <c r="URH49" i="40"/>
  <c r="UQB49" i="40"/>
  <c r="UOV49" i="40"/>
  <c r="UNP49" i="40"/>
  <c r="UMJ49" i="40"/>
  <c r="ULD49" i="40"/>
  <c r="UJX49" i="40"/>
  <c r="UIR49" i="40"/>
  <c r="UHL49" i="40"/>
  <c r="UGF49" i="40"/>
  <c r="UEZ49" i="40"/>
  <c r="UDT49" i="40"/>
  <c r="UCN49" i="40"/>
  <c r="UBH49" i="40"/>
  <c r="UAB49" i="40"/>
  <c r="TYV49" i="40"/>
  <c r="TXP49" i="40"/>
  <c r="TWJ49" i="40"/>
  <c r="TVD49" i="40"/>
  <c r="TTX49" i="40"/>
  <c r="TSR49" i="40"/>
  <c r="TRL49" i="40"/>
  <c r="TQF49" i="40"/>
  <c r="TOZ49" i="40"/>
  <c r="TNT49" i="40"/>
  <c r="TMN49" i="40"/>
  <c r="TLH49" i="40"/>
  <c r="TKB49" i="40"/>
  <c r="TIV49" i="40"/>
  <c r="THP49" i="40"/>
  <c r="TGJ49" i="40"/>
  <c r="TFD49" i="40"/>
  <c r="TDX49" i="40"/>
  <c r="TCR49" i="40"/>
  <c r="TBL49" i="40"/>
  <c r="TAF49" i="40"/>
  <c r="SYZ49" i="40"/>
  <c r="SXT49" i="40"/>
  <c r="SWN49" i="40"/>
  <c r="SVH49" i="40"/>
  <c r="SUB49" i="40"/>
  <c r="SSV49" i="40"/>
  <c r="SRP49" i="40"/>
  <c r="SQJ49" i="40"/>
  <c r="SPD49" i="40"/>
  <c r="SNX49" i="40"/>
  <c r="SMR49" i="40"/>
  <c r="SLL49" i="40"/>
  <c r="SKF49" i="40"/>
  <c r="SIZ49" i="40"/>
  <c r="SHT49" i="40"/>
  <c r="SGN49" i="40"/>
  <c r="SFH49" i="40"/>
  <c r="SEB49" i="40"/>
  <c r="SCV49" i="40"/>
  <c r="SBP49" i="40"/>
  <c r="SAJ49" i="40"/>
  <c r="RZD49" i="40"/>
  <c r="RXX49" i="40"/>
  <c r="RWR49" i="40"/>
  <c r="RVL49" i="40"/>
  <c r="RUF49" i="40"/>
  <c r="RSZ49" i="40"/>
  <c r="RRT49" i="40"/>
  <c r="RQN49" i="40"/>
  <c r="RPH49" i="40"/>
  <c r="ROB49" i="40"/>
  <c r="RMV49" i="40"/>
  <c r="RLP49" i="40"/>
  <c r="RKJ49" i="40"/>
  <c r="RJD49" i="40"/>
  <c r="RHX49" i="40"/>
  <c r="RGR49" i="40"/>
  <c r="RFL49" i="40"/>
  <c r="REF49" i="40"/>
  <c r="RCZ49" i="40"/>
  <c r="RBT49" i="40"/>
  <c r="RAN49" i="40"/>
  <c r="QZH49" i="40"/>
  <c r="QYB49" i="40"/>
  <c r="QWV49" i="40"/>
  <c r="QVP49" i="40"/>
  <c r="QUJ49" i="40"/>
  <c r="QTD49" i="40"/>
  <c r="QRX49" i="40"/>
  <c r="QQR49" i="40"/>
  <c r="QPL49" i="40"/>
  <c r="QOF49" i="40"/>
  <c r="QMZ49" i="40"/>
  <c r="QLT49" i="40"/>
  <c r="QKN49" i="40"/>
  <c r="QJH49" i="40"/>
  <c r="QIB49" i="40"/>
  <c r="QGV49" i="40"/>
  <c r="QFP49" i="40"/>
  <c r="QEJ49" i="40"/>
  <c r="QDD49" i="40"/>
  <c r="QBX49" i="40"/>
  <c r="QAR49" i="40"/>
  <c r="PZL49" i="40"/>
  <c r="PYF49" i="40"/>
  <c r="PWZ49" i="40"/>
  <c r="PVT49" i="40"/>
  <c r="PUN49" i="40"/>
  <c r="PTH49" i="40"/>
  <c r="PSB49" i="40"/>
  <c r="PQV49" i="40"/>
  <c r="PPP49" i="40"/>
  <c r="POJ49" i="40"/>
  <c r="PND49" i="40"/>
  <c r="PLX49" i="40"/>
  <c r="PKR49" i="40"/>
  <c r="PJL49" i="40"/>
  <c r="PIF49" i="40"/>
  <c r="PGZ49" i="40"/>
  <c r="PFT49" i="40"/>
  <c r="PEN49" i="40"/>
  <c r="PDH49" i="40"/>
  <c r="PCB49" i="40"/>
  <c r="PAV49" i="40"/>
  <c r="OZP49" i="40"/>
  <c r="OYJ49" i="40"/>
  <c r="OXD49" i="40"/>
  <c r="OVX49" i="40"/>
  <c r="OUR49" i="40"/>
  <c r="OTL49" i="40"/>
  <c r="OSF49" i="40"/>
  <c r="OQZ49" i="40"/>
  <c r="OPT49" i="40"/>
  <c r="OON49" i="40"/>
  <c r="ONH49" i="40"/>
  <c r="OMB49" i="40"/>
  <c r="OKV49" i="40"/>
  <c r="OJP49" i="40"/>
  <c r="OIJ49" i="40"/>
  <c r="OHD49" i="40"/>
  <c r="OFX49" i="40"/>
  <c r="OER49" i="40"/>
  <c r="ODL49" i="40"/>
  <c r="OCF49" i="40"/>
  <c r="OAZ49" i="40"/>
  <c r="NZT49" i="40"/>
  <c r="NYN49" i="40"/>
  <c r="NXH49" i="40"/>
  <c r="NWB49" i="40"/>
  <c r="NUV49" i="40"/>
  <c r="NTP49" i="40"/>
  <c r="NSJ49" i="40"/>
  <c r="NRD49" i="40"/>
  <c r="NPX49" i="40"/>
  <c r="NOR49" i="40"/>
  <c r="NNL49" i="40"/>
  <c r="NMF49" i="40"/>
  <c r="NKZ49" i="40"/>
  <c r="NJT49" i="40"/>
  <c r="NIN49" i="40"/>
  <c r="NHH49" i="40"/>
  <c r="NGB49" i="40"/>
  <c r="NEV49" i="40"/>
  <c r="NDP49" i="40"/>
  <c r="NCJ49" i="40"/>
  <c r="NBD49" i="40"/>
  <c r="MZX49" i="40"/>
  <c r="MYR49" i="40"/>
  <c r="MXL49" i="40"/>
  <c r="MWF49" i="40"/>
  <c r="MUZ49" i="40"/>
  <c r="MTT49" i="40"/>
  <c r="MSN49" i="40"/>
  <c r="MRH49" i="40"/>
  <c r="MQB49" i="40"/>
  <c r="MOV49" i="40"/>
  <c r="MNP49" i="40"/>
  <c r="MMJ49" i="40"/>
  <c r="MLD49" i="40"/>
  <c r="MJX49" i="40"/>
  <c r="MIR49" i="40"/>
  <c r="MHL49" i="40"/>
  <c r="MGF49" i="40"/>
  <c r="MEZ49" i="40"/>
  <c r="MDT49" i="40"/>
  <c r="MCN49" i="40"/>
  <c r="MBH49" i="40"/>
  <c r="MAB49" i="40"/>
  <c r="LYV49" i="40"/>
  <c r="LXP49" i="40"/>
  <c r="LWJ49" i="40"/>
  <c r="LVD49" i="40"/>
  <c r="LTX49" i="40"/>
  <c r="LSR49" i="40"/>
  <c r="LRL49" i="40"/>
  <c r="LQF49" i="40"/>
  <c r="LOZ49" i="40"/>
  <c r="LNT49" i="40"/>
  <c r="LMN49" i="40"/>
  <c r="LLH49" i="40"/>
  <c r="LKB49" i="40"/>
  <c r="LIV49" i="40"/>
  <c r="LHP49" i="40"/>
  <c r="LGJ49" i="40"/>
  <c r="LFD49" i="40"/>
  <c r="LDX49" i="40"/>
  <c r="LCR49" i="40"/>
  <c r="LBL49" i="40"/>
  <c r="LAF49" i="40"/>
  <c r="KYZ49" i="40"/>
  <c r="KXT49" i="40"/>
  <c r="KWN49" i="40"/>
  <c r="KVH49" i="40"/>
  <c r="KUB49" i="40"/>
  <c r="KSV49" i="40"/>
  <c r="KRP49" i="40"/>
  <c r="KQJ49" i="40"/>
  <c r="KPD49" i="40"/>
  <c r="KNX49" i="40"/>
  <c r="KMR49" i="40"/>
  <c r="KLL49" i="40"/>
  <c r="KKF49" i="40"/>
  <c r="KIZ49" i="40"/>
  <c r="KHT49" i="40"/>
  <c r="KGN49" i="40"/>
  <c r="KFH49" i="40"/>
  <c r="KEB49" i="40"/>
  <c r="KCV49" i="40"/>
  <c r="KBP49" i="40"/>
  <c r="KAJ49" i="40"/>
  <c r="JZD49" i="40"/>
  <c r="JXX49" i="40"/>
  <c r="JWR49" i="40"/>
  <c r="JVL49" i="40"/>
  <c r="JUF49" i="40"/>
  <c r="JSZ49" i="40"/>
  <c r="JRT49" i="40"/>
  <c r="JQN49" i="40"/>
  <c r="JPH49" i="40"/>
  <c r="JOB49" i="40"/>
  <c r="JMV49" i="40"/>
  <c r="JLP49" i="40"/>
  <c r="JKJ49" i="40"/>
  <c r="JJD49" i="40"/>
  <c r="JHX49" i="40"/>
  <c r="JGR49" i="40"/>
  <c r="JFL49" i="40"/>
  <c r="JEF49" i="40"/>
  <c r="JCZ49" i="40"/>
  <c r="JBT49" i="40"/>
  <c r="JAN49" i="40"/>
  <c r="IZH49" i="40"/>
  <c r="IYB49" i="40"/>
  <c r="IWV49" i="40"/>
  <c r="IVP49" i="40"/>
  <c r="IUJ49" i="40"/>
  <c r="ITD49" i="40"/>
  <c r="IRX49" i="40"/>
  <c r="IQR49" i="40"/>
  <c r="IPL49" i="40"/>
  <c r="IOF49" i="40"/>
  <c r="IMZ49" i="40"/>
  <c r="ILT49" i="40"/>
  <c r="IKN49" i="40"/>
  <c r="IJH49" i="40"/>
  <c r="IIB49" i="40"/>
  <c r="IGV49" i="40"/>
  <c r="IFP49" i="40"/>
  <c r="IEJ49" i="40"/>
  <c r="IDD49" i="40"/>
  <c r="IBX49" i="40"/>
  <c r="IAR49" i="40"/>
  <c r="HZL49" i="40"/>
  <c r="HYF49" i="40"/>
  <c r="HWZ49" i="40"/>
  <c r="HVT49" i="40"/>
  <c r="HUN49" i="40"/>
  <c r="HTH49" i="40"/>
  <c r="HSB49" i="40"/>
  <c r="HQV49" i="40"/>
  <c r="HPP49" i="40"/>
  <c r="HOJ49" i="40"/>
  <c r="HND49" i="40"/>
  <c r="HLX49" i="40"/>
  <c r="HKR49" i="40"/>
  <c r="HJL49" i="40"/>
  <c r="HIF49" i="40"/>
  <c r="HGZ49" i="40"/>
  <c r="HFT49" i="40"/>
  <c r="HEN49" i="40"/>
  <c r="HDH49" i="40"/>
  <c r="HCB49" i="40"/>
  <c r="HAV49" i="40"/>
  <c r="GZP49" i="40"/>
  <c r="GYJ49" i="40"/>
  <c r="GXD49" i="40"/>
  <c r="GVX49" i="40"/>
  <c r="GUR49" i="40"/>
  <c r="GTL49" i="40"/>
  <c r="GSF49" i="40"/>
  <c r="GQZ49" i="40"/>
  <c r="GPT49" i="40"/>
  <c r="GON49" i="40"/>
  <c r="GNH49" i="40"/>
  <c r="GMB49" i="40"/>
  <c r="GKV49" i="40"/>
  <c r="GJP49" i="40"/>
  <c r="GIJ49" i="40"/>
  <c r="GHD49" i="40"/>
  <c r="GFX49" i="40"/>
  <c r="GER49" i="40"/>
  <c r="GDL49" i="40"/>
  <c r="GCF49" i="40"/>
  <c r="GAZ49" i="40"/>
  <c r="FZT49" i="40"/>
  <c r="FYN49" i="40"/>
  <c r="FXH49" i="40"/>
  <c r="FWB49" i="40"/>
  <c r="FUV49" i="40"/>
  <c r="FTP49" i="40"/>
  <c r="FSJ49" i="40"/>
  <c r="FRD49" i="40"/>
  <c r="FPX49" i="40"/>
  <c r="FOR49" i="40"/>
  <c r="FNL49" i="40"/>
  <c r="FMF49" i="40"/>
  <c r="FKZ49" i="40"/>
  <c r="FJT49" i="40"/>
  <c r="FIN49" i="40"/>
  <c r="FHH49" i="40"/>
  <c r="FGB49" i="40"/>
  <c r="FEV49" i="40"/>
  <c r="FDP49" i="40"/>
  <c r="FCJ49" i="40"/>
  <c r="FBD49" i="40"/>
  <c r="EZX49" i="40"/>
  <c r="EYR49" i="40"/>
  <c r="EXL49" i="40"/>
  <c r="EWF49" i="40"/>
  <c r="EUZ49" i="40"/>
  <c r="ETT49" i="40"/>
  <c r="ESN49" i="40"/>
  <c r="ERH49" i="40"/>
  <c r="EQB49" i="40"/>
  <c r="EOV49" i="40"/>
  <c r="ENP49" i="40"/>
  <c r="EMJ49" i="40"/>
  <c r="ELD49" i="40"/>
  <c r="EJX49" i="40"/>
  <c r="EIR49" i="40"/>
  <c r="EHL49" i="40"/>
  <c r="EGF49" i="40"/>
  <c r="EEZ49" i="40"/>
  <c r="EDT49" i="40"/>
  <c r="ECN49" i="40"/>
  <c r="EBH49" i="40"/>
  <c r="EAB49" i="40"/>
  <c r="DYV49" i="40"/>
  <c r="DXP49" i="40"/>
  <c r="DWJ49" i="40"/>
  <c r="DVD49" i="40"/>
  <c r="DTX49" i="40"/>
  <c r="DSR49" i="40"/>
  <c r="DRL49" i="40"/>
  <c r="DQF49" i="40"/>
  <c r="DOZ49" i="40"/>
  <c r="DNT49" i="40"/>
  <c r="DMN49" i="40"/>
  <c r="DLH49" i="40"/>
  <c r="DKB49" i="40"/>
  <c r="DIV49" i="40"/>
  <c r="DHP49" i="40"/>
  <c r="DGJ49" i="40"/>
  <c r="DFD49" i="40"/>
  <c r="DDX49" i="40"/>
  <c r="DCR49" i="40"/>
  <c r="DBL49" i="40"/>
  <c r="DAF49" i="40"/>
  <c r="CYZ49" i="40"/>
  <c r="CXT49" i="40"/>
  <c r="CWN49" i="40"/>
  <c r="CVH49" i="40"/>
  <c r="CUB49" i="40"/>
  <c r="CSV49" i="40"/>
  <c r="CRP49" i="40"/>
  <c r="CQJ49" i="40"/>
  <c r="CPD49" i="40"/>
  <c r="CNX49" i="40"/>
  <c r="CMR49" i="40"/>
  <c r="CLL49" i="40"/>
  <c r="CKF49" i="40"/>
  <c r="CIZ49" i="40"/>
  <c r="CHT49" i="40"/>
  <c r="CGN49" i="40"/>
  <c r="CFH49" i="40"/>
  <c r="CEB49" i="40"/>
  <c r="CCV49" i="40"/>
  <c r="CBP49" i="40"/>
  <c r="CAJ49" i="40"/>
  <c r="BZD49" i="40"/>
  <c r="BXX49" i="40"/>
  <c r="BWR49" i="40"/>
  <c r="BVL49" i="40"/>
  <c r="BUF49" i="40"/>
  <c r="BSZ49" i="40"/>
  <c r="BRT49" i="40"/>
  <c r="BQN49" i="40"/>
  <c r="BPH49" i="40"/>
  <c r="BOB49" i="40"/>
  <c r="BMV49" i="40"/>
  <c r="BLP49" i="40"/>
  <c r="BKJ49" i="40"/>
  <c r="BJD49" i="40"/>
  <c r="BHX49" i="40"/>
  <c r="BGR49" i="40"/>
  <c r="BFL49" i="40"/>
  <c r="BEF49" i="40"/>
  <c r="BCZ49" i="40"/>
  <c r="BBT49" i="40"/>
  <c r="BAN49" i="40"/>
  <c r="AZH49" i="40"/>
  <c r="AYB49" i="40"/>
  <c r="AWV49" i="40"/>
  <c r="AVP49" i="40"/>
  <c r="AUJ49" i="40"/>
  <c r="ATD49" i="40"/>
  <c r="ARX49" i="40"/>
  <c r="AQR49" i="40"/>
  <c r="APL49" i="40"/>
  <c r="AOF49" i="40"/>
  <c r="AMZ49" i="40"/>
  <c r="ALT49" i="40"/>
  <c r="AKN49" i="40"/>
  <c r="AJH49" i="40"/>
  <c r="AIB49" i="40"/>
  <c r="AGV49" i="40"/>
  <c r="AFP49" i="40"/>
  <c r="AEJ49" i="40"/>
  <c r="ADD49" i="40"/>
  <c r="ABX49" i="40"/>
  <c r="AAR49" i="40"/>
  <c r="ZL49" i="40"/>
  <c r="YF49" i="40"/>
  <c r="WZ49" i="40"/>
  <c r="VT49" i="40"/>
  <c r="UN49" i="40"/>
  <c r="TH49" i="40"/>
  <c r="SB49" i="40"/>
  <c r="QV49" i="40"/>
  <c r="PP49" i="40"/>
  <c r="OJ49" i="40"/>
  <c r="ND49" i="40"/>
  <c r="LX49" i="40"/>
  <c r="KR49" i="40"/>
  <c r="JL49" i="40"/>
  <c r="IF49" i="40"/>
  <c r="GZ49" i="40"/>
  <c r="FT49" i="40"/>
  <c r="EN49" i="40"/>
  <c r="DH49" i="40"/>
  <c r="CB49" i="40"/>
  <c r="AV49" i="40"/>
  <c r="XEN48" i="40"/>
  <c r="XDH48" i="40"/>
  <c r="XCB48" i="40"/>
  <c r="XAV48" i="40"/>
  <c r="WZP48" i="40"/>
  <c r="WYJ48" i="40"/>
  <c r="WXD48" i="40"/>
  <c r="WVX48" i="40"/>
  <c r="WUR48" i="40"/>
  <c r="WTL48" i="40"/>
  <c r="WSF48" i="40"/>
  <c r="WQZ48" i="40"/>
  <c r="WPT48" i="40"/>
  <c r="WON48" i="40"/>
  <c r="WNH48" i="40"/>
  <c r="WMB48" i="40"/>
  <c r="WKV48" i="40"/>
  <c r="WJP48" i="40"/>
  <c r="WIJ48" i="40"/>
  <c r="WHD48" i="40"/>
  <c r="WFX48" i="40"/>
  <c r="WER48" i="40"/>
  <c r="WDL48" i="40"/>
  <c r="WCF48" i="40"/>
  <c r="WAZ48" i="40"/>
  <c r="VZT48" i="40"/>
  <c r="VYN48" i="40"/>
  <c r="VXH48" i="40"/>
  <c r="VWB48" i="40"/>
  <c r="VUV48" i="40"/>
  <c r="VTP48" i="40"/>
  <c r="VSJ48" i="40"/>
  <c r="VRD48" i="40"/>
  <c r="VPX48" i="40"/>
  <c r="VOR48" i="40"/>
  <c r="VNL48" i="40"/>
  <c r="VMF48" i="40"/>
  <c r="VKZ48" i="40"/>
  <c r="VJT48" i="40"/>
  <c r="VIN48" i="40"/>
  <c r="VHH48" i="40"/>
  <c r="VGB48" i="40"/>
  <c r="VEV48" i="40"/>
  <c r="VDP48" i="40"/>
  <c r="VCJ48" i="40"/>
  <c r="VBD48" i="40"/>
  <c r="UZX48" i="40"/>
  <c r="UYR48" i="40"/>
  <c r="UXL48" i="40"/>
  <c r="UWF48" i="40"/>
  <c r="UUZ48" i="40"/>
  <c r="UTT48" i="40"/>
  <c r="USN48" i="40"/>
  <c r="URH48" i="40"/>
  <c r="UQB48" i="40"/>
  <c r="UOV48" i="40"/>
  <c r="UNP48" i="40"/>
  <c r="UMJ48" i="40"/>
  <c r="ULD48" i="40"/>
  <c r="UJX48" i="40"/>
  <c r="UIR48" i="40"/>
  <c r="UHL48" i="40"/>
  <c r="UGF48" i="40"/>
  <c r="UEZ48" i="40"/>
  <c r="UDT48" i="40"/>
  <c r="UCN48" i="40"/>
  <c r="UBH48" i="40"/>
  <c r="UAB48" i="40"/>
  <c r="TYV48" i="40"/>
  <c r="TXP48" i="40"/>
  <c r="TWJ48" i="40"/>
  <c r="TVD48" i="40"/>
  <c r="TTX48" i="40"/>
  <c r="TSR48" i="40"/>
  <c r="TRL48" i="40"/>
  <c r="TQF48" i="40"/>
  <c r="TOZ48" i="40"/>
  <c r="TNT48" i="40"/>
  <c r="TMN48" i="40"/>
  <c r="TLH48" i="40"/>
  <c r="TKB48" i="40"/>
  <c r="TIV48" i="40"/>
  <c r="THP48" i="40"/>
  <c r="TGJ48" i="40"/>
  <c r="TFD48" i="40"/>
  <c r="TDX48" i="40"/>
  <c r="TCR48" i="40"/>
  <c r="TBL48" i="40"/>
  <c r="TAF48" i="40"/>
  <c r="SYZ48" i="40"/>
  <c r="SXT48" i="40"/>
  <c r="SWN48" i="40"/>
  <c r="SVH48" i="40"/>
  <c r="SUB48" i="40"/>
  <c r="SSV48" i="40"/>
  <c r="SRP48" i="40"/>
  <c r="SQJ48" i="40"/>
  <c r="SPD48" i="40"/>
  <c r="SNX48" i="40"/>
  <c r="SMR48" i="40"/>
  <c r="SLL48" i="40"/>
  <c r="SKF48" i="40"/>
  <c r="SIZ48" i="40"/>
  <c r="SHT48" i="40"/>
  <c r="SGN48" i="40"/>
  <c r="SFH48" i="40"/>
  <c r="SEB48" i="40"/>
  <c r="SCV48" i="40"/>
  <c r="SBP48" i="40"/>
  <c r="SAJ48" i="40"/>
  <c r="RZD48" i="40"/>
  <c r="RXX48" i="40"/>
  <c r="RWR48" i="40"/>
  <c r="RVL48" i="40"/>
  <c r="RUF48" i="40"/>
  <c r="RSZ48" i="40"/>
  <c r="RRT48" i="40"/>
  <c r="RQN48" i="40"/>
  <c r="RPH48" i="40"/>
  <c r="ROB48" i="40"/>
  <c r="RMV48" i="40"/>
  <c r="RLP48" i="40"/>
  <c r="RKJ48" i="40"/>
  <c r="RJD48" i="40"/>
  <c r="RHX48" i="40"/>
  <c r="RGR48" i="40"/>
  <c r="RFL48" i="40"/>
  <c r="REF48" i="40"/>
  <c r="RCZ48" i="40"/>
  <c r="RBT48" i="40"/>
  <c r="RAN48" i="40"/>
  <c r="QZH48" i="40"/>
  <c r="QYB48" i="40"/>
  <c r="QWV48" i="40"/>
  <c r="QVP48" i="40"/>
  <c r="QUJ48" i="40"/>
  <c r="QTD48" i="40"/>
  <c r="QRX48" i="40"/>
  <c r="QQR48" i="40"/>
  <c r="QPL48" i="40"/>
  <c r="QOF48" i="40"/>
  <c r="QMZ48" i="40"/>
  <c r="QLT48" i="40"/>
  <c r="QKN48" i="40"/>
  <c r="QJH48" i="40"/>
  <c r="QIB48" i="40"/>
  <c r="QGV48" i="40"/>
  <c r="QFP48" i="40"/>
  <c r="QEJ48" i="40"/>
  <c r="QDD48" i="40"/>
  <c r="QBX48" i="40"/>
  <c r="QAR48" i="40"/>
  <c r="PZL48" i="40"/>
  <c r="PYF48" i="40"/>
  <c r="PWZ48" i="40"/>
  <c r="PVT48" i="40"/>
  <c r="PUN48" i="40"/>
  <c r="PTH48" i="40"/>
  <c r="PSB48" i="40"/>
  <c r="PQV48" i="40"/>
  <c r="PPP48" i="40"/>
  <c r="POJ48" i="40"/>
  <c r="PND48" i="40"/>
  <c r="PLX48" i="40"/>
  <c r="PKR48" i="40"/>
  <c r="PJL48" i="40"/>
  <c r="PIF48" i="40"/>
  <c r="PGZ48" i="40"/>
  <c r="PFT48" i="40"/>
  <c r="PEN48" i="40"/>
  <c r="PDH48" i="40"/>
  <c r="PCB48" i="40"/>
  <c r="PAV48" i="40"/>
  <c r="OZP48" i="40"/>
  <c r="OYJ48" i="40"/>
  <c r="OXD48" i="40"/>
  <c r="OVX48" i="40"/>
  <c r="OUR48" i="40"/>
  <c r="OTL48" i="40"/>
  <c r="OSF48" i="40"/>
  <c r="OQZ48" i="40"/>
  <c r="OPT48" i="40"/>
  <c r="OON48" i="40"/>
  <c r="ONH48" i="40"/>
  <c r="OMB48" i="40"/>
  <c r="OKV48" i="40"/>
  <c r="OJP48" i="40"/>
  <c r="OIJ48" i="40"/>
  <c r="OHD48" i="40"/>
  <c r="OFX48" i="40"/>
  <c r="OER48" i="40"/>
  <c r="ODL48" i="40"/>
  <c r="OCF48" i="40"/>
  <c r="OAZ48" i="40"/>
  <c r="NZT48" i="40"/>
  <c r="NYN48" i="40"/>
  <c r="NXH48" i="40"/>
  <c r="NWB48" i="40"/>
  <c r="NUV48" i="40"/>
  <c r="NTP48" i="40"/>
  <c r="NSJ48" i="40"/>
  <c r="NRD48" i="40"/>
  <c r="NPX48" i="40"/>
  <c r="NOR48" i="40"/>
  <c r="NNL48" i="40"/>
  <c r="NMF48" i="40"/>
  <c r="NKZ48" i="40"/>
  <c r="NJT48" i="40"/>
  <c r="NIN48" i="40"/>
  <c r="NHH48" i="40"/>
  <c r="NGB48" i="40"/>
  <c r="NEV48" i="40"/>
  <c r="NDP48" i="40"/>
  <c r="NCJ48" i="40"/>
  <c r="NBD48" i="40"/>
  <c r="MZX48" i="40"/>
  <c r="MYR48" i="40"/>
  <c r="MXL48" i="40"/>
  <c r="MWF48" i="40"/>
  <c r="MUZ48" i="40"/>
  <c r="MTT48" i="40"/>
  <c r="MSN48" i="40"/>
  <c r="MRH48" i="40"/>
  <c r="MQB48" i="40"/>
  <c r="MOV48" i="40"/>
  <c r="MNP48" i="40"/>
  <c r="MMJ48" i="40"/>
  <c r="MLD48" i="40"/>
  <c r="MJX48" i="40"/>
  <c r="MIR48" i="40"/>
  <c r="MHL48" i="40"/>
  <c r="MGF48" i="40"/>
  <c r="MEZ48" i="40"/>
  <c r="MDT48" i="40"/>
  <c r="MCN48" i="40"/>
  <c r="MBH48" i="40"/>
  <c r="MAB48" i="40"/>
  <c r="LYV48" i="40"/>
  <c r="LXP48" i="40"/>
  <c r="LWJ48" i="40"/>
  <c r="LVD48" i="40"/>
  <c r="LTX48" i="40"/>
  <c r="LSR48" i="40"/>
  <c r="LRL48" i="40"/>
  <c r="LQF48" i="40"/>
  <c r="LOZ48" i="40"/>
  <c r="LNT48" i="40"/>
  <c r="LMN48" i="40"/>
  <c r="LLH48" i="40"/>
  <c r="LKB48" i="40"/>
  <c r="LIV48" i="40"/>
  <c r="LHP48" i="40"/>
  <c r="LGJ48" i="40"/>
  <c r="LFD48" i="40"/>
  <c r="LDX48" i="40"/>
  <c r="LCR48" i="40"/>
  <c r="LBL48" i="40"/>
  <c r="LAF48" i="40"/>
  <c r="KYZ48" i="40"/>
  <c r="KXT48" i="40"/>
  <c r="KWN48" i="40"/>
  <c r="KVH48" i="40"/>
  <c r="KUB48" i="40"/>
  <c r="KSV48" i="40"/>
  <c r="KRP48" i="40"/>
  <c r="KQJ48" i="40"/>
  <c r="KPD48" i="40"/>
  <c r="KNX48" i="40"/>
  <c r="KMR48" i="40"/>
  <c r="KLL48" i="40"/>
  <c r="KKF48" i="40"/>
  <c r="KIZ48" i="40"/>
  <c r="KHT48" i="40"/>
  <c r="KGN48" i="40"/>
  <c r="KFH48" i="40"/>
  <c r="KEB48" i="40"/>
  <c r="KCV48" i="40"/>
  <c r="KBP48" i="40"/>
  <c r="KAJ48" i="40"/>
  <c r="JZD48" i="40"/>
  <c r="JXX48" i="40"/>
  <c r="JWR48" i="40"/>
  <c r="JVL48" i="40"/>
  <c r="JUF48" i="40"/>
  <c r="JSZ48" i="40"/>
  <c r="JRT48" i="40"/>
  <c r="JQN48" i="40"/>
  <c r="JPH48" i="40"/>
  <c r="JOB48" i="40"/>
  <c r="JMV48" i="40"/>
  <c r="JLP48" i="40"/>
  <c r="JKJ48" i="40"/>
  <c r="JJD48" i="40"/>
  <c r="JHX48" i="40"/>
  <c r="JGR48" i="40"/>
  <c r="JFL48" i="40"/>
  <c r="JEF48" i="40"/>
  <c r="JCZ48" i="40"/>
  <c r="JBT48" i="40"/>
  <c r="JAN48" i="40"/>
  <c r="IZH48" i="40"/>
  <c r="IYB48" i="40"/>
  <c r="IWV48" i="40"/>
  <c r="IVP48" i="40"/>
  <c r="IUJ48" i="40"/>
  <c r="ITD48" i="40"/>
  <c r="IRX48" i="40"/>
  <c r="IQR48" i="40"/>
  <c r="IPL48" i="40"/>
  <c r="IOF48" i="40"/>
  <c r="IMZ48" i="40"/>
  <c r="ILT48" i="40"/>
  <c r="IKN48" i="40"/>
  <c r="IJH48" i="40"/>
  <c r="IIB48" i="40"/>
  <c r="IGV48" i="40"/>
  <c r="IFP48" i="40"/>
  <c r="IEJ48" i="40"/>
  <c r="IDD48" i="40"/>
  <c r="IBX48" i="40"/>
  <c r="IAR48" i="40"/>
  <c r="HZL48" i="40"/>
  <c r="HYF48" i="40"/>
  <c r="HWZ48" i="40"/>
  <c r="HVT48" i="40"/>
  <c r="HUN48" i="40"/>
  <c r="HTH48" i="40"/>
  <c r="HSB48" i="40"/>
  <c r="HQV48" i="40"/>
  <c r="HPP48" i="40"/>
  <c r="HOJ48" i="40"/>
  <c r="HND48" i="40"/>
  <c r="HLX48" i="40"/>
  <c r="HKR48" i="40"/>
  <c r="HJL48" i="40"/>
  <c r="HIF48" i="40"/>
  <c r="HGZ48" i="40"/>
  <c r="HFT48" i="40"/>
  <c r="HEN48" i="40"/>
  <c r="HDH48" i="40"/>
  <c r="HCB48" i="40"/>
  <c r="HAV48" i="40"/>
  <c r="GZP48" i="40"/>
  <c r="GYJ48" i="40"/>
  <c r="GXD48" i="40"/>
  <c r="GVX48" i="40"/>
  <c r="GUR48" i="40"/>
  <c r="GTL48" i="40"/>
  <c r="GSF48" i="40"/>
  <c r="GQZ48" i="40"/>
  <c r="GPT48" i="40"/>
  <c r="GON48" i="40"/>
  <c r="GNH48" i="40"/>
  <c r="GMB48" i="40"/>
  <c r="GKV48" i="40"/>
  <c r="GJP48" i="40"/>
  <c r="GIJ48" i="40"/>
  <c r="GHD48" i="40"/>
  <c r="GFX48" i="40"/>
  <c r="GER48" i="40"/>
  <c r="GDL48" i="40"/>
  <c r="GCF48" i="40"/>
  <c r="GAZ48" i="40"/>
  <c r="FZT48" i="40"/>
  <c r="FYN48" i="40"/>
  <c r="FXH48" i="40"/>
  <c r="FWB48" i="40"/>
  <c r="FUV48" i="40"/>
  <c r="FTP48" i="40"/>
  <c r="FSJ48" i="40"/>
  <c r="FRD48" i="40"/>
  <c r="FPX48" i="40"/>
  <c r="FOR48" i="40"/>
  <c r="FNL48" i="40"/>
  <c r="FMF48" i="40"/>
  <c r="FKZ48" i="40"/>
  <c r="FJT48" i="40"/>
  <c r="FIN48" i="40"/>
  <c r="FHH48" i="40"/>
  <c r="FGB48" i="40"/>
  <c r="FEV48" i="40"/>
  <c r="FDP48" i="40"/>
  <c r="FCJ48" i="40"/>
  <c r="FBD48" i="40"/>
  <c r="EZX48" i="40"/>
  <c r="EYR48" i="40"/>
  <c r="EXL48" i="40"/>
  <c r="EWF48" i="40"/>
  <c r="EUZ48" i="40"/>
  <c r="ETT48" i="40"/>
  <c r="ESN48" i="40"/>
  <c r="ERH48" i="40"/>
  <c r="EQB48" i="40"/>
  <c r="EOV48" i="40"/>
  <c r="ENP48" i="40"/>
  <c r="EMJ48" i="40"/>
  <c r="ELD48" i="40"/>
  <c r="EJX48" i="40"/>
  <c r="EIR48" i="40"/>
  <c r="EHL48" i="40"/>
  <c r="EGF48" i="40"/>
  <c r="EEZ48" i="40"/>
  <c r="EDT48" i="40"/>
  <c r="ECN48" i="40"/>
  <c r="EBH48" i="40"/>
  <c r="EAB48" i="40"/>
  <c r="DYV48" i="40"/>
  <c r="DXP48" i="40"/>
  <c r="DWJ48" i="40"/>
  <c r="DVD48" i="40"/>
  <c r="DTX48" i="40"/>
  <c r="DSR48" i="40"/>
  <c r="DRL48" i="40"/>
  <c r="DQF48" i="40"/>
  <c r="DOZ48" i="40"/>
  <c r="DNT48" i="40"/>
  <c r="DMN48" i="40"/>
  <c r="DLH48" i="40"/>
  <c r="DKB48" i="40"/>
  <c r="DIV48" i="40"/>
  <c r="DHP48" i="40"/>
  <c r="DGJ48" i="40"/>
  <c r="DFD48" i="40"/>
  <c r="DDX48" i="40"/>
  <c r="DCR48" i="40"/>
  <c r="DBL48" i="40"/>
  <c r="DAF48" i="40"/>
  <c r="CYZ48" i="40"/>
  <c r="CXT48" i="40"/>
  <c r="CWN48" i="40"/>
  <c r="CVH48" i="40"/>
  <c r="CUB48" i="40"/>
  <c r="CSV48" i="40"/>
  <c r="CRP48" i="40"/>
  <c r="CQJ48" i="40"/>
  <c r="CPD48" i="40"/>
  <c r="CNX48" i="40"/>
  <c r="CMR48" i="40"/>
  <c r="CLL48" i="40"/>
  <c r="CKF48" i="40"/>
  <c r="CIZ48" i="40"/>
  <c r="CHT48" i="40"/>
  <c r="CGN48" i="40"/>
  <c r="CFH48" i="40"/>
  <c r="CEB48" i="40"/>
  <c r="CCV48" i="40"/>
  <c r="CBP48" i="40"/>
  <c r="CAJ48" i="40"/>
  <c r="BZD48" i="40"/>
  <c r="BXX48" i="40"/>
  <c r="BWR48" i="40"/>
  <c r="BVL48" i="40"/>
  <c r="BUF48" i="40"/>
  <c r="BSZ48" i="40"/>
  <c r="BRT48" i="40"/>
  <c r="BQN48" i="40"/>
  <c r="BPH48" i="40"/>
  <c r="BOB48" i="40"/>
  <c r="BMV48" i="40"/>
  <c r="BLP48" i="40"/>
  <c r="BKJ48" i="40"/>
  <c r="BJD48" i="40"/>
  <c r="BHX48" i="40"/>
  <c r="BGR48" i="40"/>
  <c r="BFL48" i="40"/>
  <c r="BEF48" i="40"/>
  <c r="BCZ48" i="40"/>
  <c r="BBT48" i="40"/>
  <c r="BAN48" i="40"/>
  <c r="AZH48" i="40"/>
  <c r="AYB48" i="40"/>
  <c r="AWV48" i="40"/>
  <c r="AVP48" i="40"/>
  <c r="AUJ48" i="40"/>
  <c r="ATD48" i="40"/>
  <c r="ARX48" i="40"/>
  <c r="AQR48" i="40"/>
  <c r="APL48" i="40"/>
  <c r="AOF48" i="40"/>
  <c r="AMZ48" i="40"/>
  <c r="ALT48" i="40"/>
  <c r="AKN48" i="40"/>
  <c r="AJH48" i="40"/>
  <c r="AIB48" i="40"/>
  <c r="AGV48" i="40"/>
  <c r="AFP48" i="40"/>
  <c r="AEJ48" i="40"/>
  <c r="ADD48" i="40"/>
  <c r="ABX48" i="40"/>
  <c r="AAR48" i="40"/>
  <c r="ZL48" i="40"/>
  <c r="YF48" i="40"/>
  <c r="WZ48" i="40"/>
  <c r="VT48" i="40"/>
  <c r="UN48" i="40"/>
  <c r="TH48" i="40"/>
  <c r="SB48" i="40"/>
  <c r="QV48" i="40"/>
  <c r="PP48" i="40"/>
  <c r="OJ48" i="40"/>
  <c r="ND48" i="40"/>
  <c r="LX48" i="40"/>
  <c r="KR48" i="40"/>
  <c r="JL48" i="40"/>
  <c r="IF48" i="40"/>
  <c r="GZ48" i="40"/>
  <c r="FT48" i="40"/>
  <c r="EN48" i="40"/>
  <c r="DH48" i="40"/>
  <c r="CB48" i="40"/>
  <c r="AV48" i="40"/>
  <c r="I68" i="40"/>
  <c r="XEN51" i="40"/>
  <c r="XDH51" i="40"/>
  <c r="XCB51" i="40"/>
  <c r="XAV51" i="40"/>
  <c r="WZP51" i="40"/>
  <c r="WYJ51" i="40"/>
  <c r="WXD51" i="40"/>
  <c r="WVX51" i="40"/>
  <c r="WUR51" i="40"/>
  <c r="WTL51" i="40"/>
  <c r="WSF51" i="40"/>
  <c r="WQZ51" i="40"/>
  <c r="WPT51" i="40"/>
  <c r="WON51" i="40"/>
  <c r="WNH51" i="40"/>
  <c r="WMB51" i="40"/>
  <c r="WKV51" i="40"/>
  <c r="WJP51" i="40"/>
  <c r="WIJ51" i="40"/>
  <c r="WHD51" i="40"/>
  <c r="WFX51" i="40"/>
  <c r="WER51" i="40"/>
  <c r="WDL51" i="40"/>
  <c r="WCF51" i="40"/>
  <c r="WAZ51" i="40"/>
  <c r="VZT51" i="40"/>
  <c r="VYN51" i="40"/>
  <c r="VXH51" i="40"/>
  <c r="VWB51" i="40"/>
  <c r="VUV51" i="40"/>
  <c r="VTP51" i="40"/>
  <c r="VSJ51" i="40"/>
  <c r="VRD51" i="40"/>
  <c r="VPX51" i="40"/>
  <c r="VOR51" i="40"/>
  <c r="VNL51" i="40"/>
  <c r="VMF51" i="40"/>
  <c r="VKZ51" i="40"/>
  <c r="VJT51" i="40"/>
  <c r="VIN51" i="40"/>
  <c r="VHH51" i="40"/>
  <c r="VGB51" i="40"/>
  <c r="VEV51" i="40"/>
  <c r="VDP51" i="40"/>
  <c r="VCJ51" i="40"/>
  <c r="VBD51" i="40"/>
  <c r="UZX51" i="40"/>
  <c r="UYR51" i="40"/>
  <c r="UXL51" i="40"/>
  <c r="UWF51" i="40"/>
  <c r="UUZ51" i="40"/>
  <c r="UTT51" i="40"/>
  <c r="USN51" i="40"/>
  <c r="URH51" i="40"/>
  <c r="UQB51" i="40"/>
  <c r="UOV51" i="40"/>
  <c r="UNP51" i="40"/>
  <c r="UMJ51" i="40"/>
  <c r="ULD51" i="40"/>
  <c r="UJX51" i="40"/>
  <c r="UIR51" i="40"/>
  <c r="UHL51" i="40"/>
  <c r="UGF51" i="40"/>
  <c r="UEZ51" i="40"/>
  <c r="UDT51" i="40"/>
  <c r="UCN51" i="40"/>
  <c r="UBH51" i="40"/>
  <c r="UAB51" i="40"/>
  <c r="TYV51" i="40"/>
  <c r="TXP51" i="40"/>
  <c r="TWJ51" i="40"/>
  <c r="TVD51" i="40"/>
  <c r="TTX51" i="40"/>
  <c r="TSR51" i="40"/>
  <c r="TRL51" i="40"/>
  <c r="TQF51" i="40"/>
  <c r="TOZ51" i="40"/>
  <c r="TNT51" i="40"/>
  <c r="TMN51" i="40"/>
  <c r="TLH51" i="40"/>
  <c r="TKB51" i="40"/>
  <c r="TIV51" i="40"/>
  <c r="THP51" i="40"/>
  <c r="TGJ51" i="40"/>
  <c r="TFD51" i="40"/>
  <c r="TDX51" i="40"/>
  <c r="TCR51" i="40"/>
  <c r="TBL51" i="40"/>
  <c r="TAF51" i="40"/>
  <c r="SYZ51" i="40"/>
  <c r="SXT51" i="40"/>
  <c r="SWN51" i="40"/>
  <c r="SVH51" i="40"/>
  <c r="SUB51" i="40"/>
  <c r="SSV51" i="40"/>
  <c r="SRP51" i="40"/>
  <c r="SQJ51" i="40"/>
  <c r="SPD51" i="40"/>
  <c r="SNX51" i="40"/>
  <c r="SMR51" i="40"/>
  <c r="SLL51" i="40"/>
  <c r="SKF51" i="40"/>
  <c r="SIZ51" i="40"/>
  <c r="SHT51" i="40"/>
  <c r="SGN51" i="40"/>
  <c r="SFH51" i="40"/>
  <c r="SEB51" i="40"/>
  <c r="SCV51" i="40"/>
  <c r="SBP51" i="40"/>
  <c r="SAJ51" i="40"/>
  <c r="RZD51" i="40"/>
  <c r="RXX51" i="40"/>
  <c r="RWR51" i="40"/>
  <c r="RVL51" i="40"/>
  <c r="RUF51" i="40"/>
  <c r="RSZ51" i="40"/>
  <c r="RRT51" i="40"/>
  <c r="RQN51" i="40"/>
  <c r="RPH51" i="40"/>
  <c r="ROB51" i="40"/>
  <c r="RMV51" i="40"/>
  <c r="RLP51" i="40"/>
  <c r="RKJ51" i="40"/>
  <c r="RJD51" i="40"/>
  <c r="RHX51" i="40"/>
  <c r="RGR51" i="40"/>
  <c r="RFL51" i="40"/>
  <c r="REF51" i="40"/>
  <c r="RCZ51" i="40"/>
  <c r="RBT51" i="40"/>
  <c r="RAN51" i="40"/>
  <c r="QZH51" i="40"/>
  <c r="QYB51" i="40"/>
  <c r="QWV51" i="40"/>
  <c r="QVP51" i="40"/>
  <c r="QUJ51" i="40"/>
  <c r="QTD51" i="40"/>
  <c r="QRX51" i="40"/>
  <c r="QQR51" i="40"/>
  <c r="QPL51" i="40"/>
  <c r="QOF51" i="40"/>
  <c r="QMZ51" i="40"/>
  <c r="QLT51" i="40"/>
  <c r="QKN51" i="40"/>
  <c r="QJH51" i="40"/>
  <c r="QIB51" i="40"/>
  <c r="QGV51" i="40"/>
  <c r="QFP51" i="40"/>
  <c r="QEJ51" i="40"/>
  <c r="QDD51" i="40"/>
  <c r="QBX51" i="40"/>
  <c r="QAR51" i="40"/>
  <c r="PZL51" i="40"/>
  <c r="PYF51" i="40"/>
  <c r="PWZ51" i="40"/>
  <c r="PVT51" i="40"/>
  <c r="PUN51" i="40"/>
  <c r="PTH51" i="40"/>
  <c r="PSB51" i="40"/>
  <c r="PQV51" i="40"/>
  <c r="PPP51" i="40"/>
  <c r="POJ51" i="40"/>
  <c r="PND51" i="40"/>
  <c r="PLX51" i="40"/>
  <c r="PKR51" i="40"/>
  <c r="PJL51" i="40"/>
  <c r="PIF51" i="40"/>
  <c r="PGZ51" i="40"/>
  <c r="PFT51" i="40"/>
  <c r="PEN51" i="40"/>
  <c r="PDH51" i="40"/>
  <c r="PCB51" i="40"/>
  <c r="PAV51" i="40"/>
  <c r="OZP51" i="40"/>
  <c r="OYJ51" i="40"/>
  <c r="OXD51" i="40"/>
  <c r="OVX51" i="40"/>
  <c r="OUR51" i="40"/>
  <c r="OTL51" i="40"/>
  <c r="OSF51" i="40"/>
  <c r="OQZ51" i="40"/>
  <c r="OPT51" i="40"/>
  <c r="OON51" i="40"/>
  <c r="ONH51" i="40"/>
  <c r="OMB51" i="40"/>
  <c r="OKV51" i="40"/>
  <c r="OJP51" i="40"/>
  <c r="OIJ51" i="40"/>
  <c r="OHD51" i="40"/>
  <c r="OFX51" i="40"/>
  <c r="OER51" i="40"/>
  <c r="ODL51" i="40"/>
  <c r="OCF51" i="40"/>
  <c r="OAZ51" i="40"/>
  <c r="NZT51" i="40"/>
  <c r="NYN51" i="40"/>
  <c r="NXH51" i="40"/>
  <c r="NWB51" i="40"/>
  <c r="NUV51" i="40"/>
  <c r="NTP51" i="40"/>
  <c r="NSJ51" i="40"/>
  <c r="NRD51" i="40"/>
  <c r="NPX51" i="40"/>
  <c r="NOR51" i="40"/>
  <c r="NNL51" i="40"/>
  <c r="NMF51" i="40"/>
  <c r="NKZ51" i="40"/>
  <c r="NJT51" i="40"/>
  <c r="NIN51" i="40"/>
  <c r="NHH51" i="40"/>
  <c r="NGB51" i="40"/>
  <c r="NEV51" i="40"/>
  <c r="NDP51" i="40"/>
  <c r="NCJ51" i="40"/>
  <c r="NBD51" i="40"/>
  <c r="MZX51" i="40"/>
  <c r="MYR51" i="40"/>
  <c r="MXL51" i="40"/>
  <c r="MWF51" i="40"/>
  <c r="MUZ51" i="40"/>
  <c r="MTT51" i="40"/>
  <c r="MSN51" i="40"/>
  <c r="MRH51" i="40"/>
  <c r="MQB51" i="40"/>
  <c r="MOV51" i="40"/>
  <c r="MNP51" i="40"/>
  <c r="MMJ51" i="40"/>
  <c r="MLD51" i="40"/>
  <c r="MJX51" i="40"/>
  <c r="MIR51" i="40"/>
  <c r="MHL51" i="40"/>
  <c r="MGF51" i="40"/>
  <c r="MEZ51" i="40"/>
  <c r="MDT51" i="40"/>
  <c r="MCN51" i="40"/>
  <c r="MBH51" i="40"/>
  <c r="MAB51" i="40"/>
  <c r="LYV51" i="40"/>
  <c r="LXP51" i="40"/>
  <c r="LWJ51" i="40"/>
  <c r="LVD51" i="40"/>
  <c r="LTX51" i="40"/>
  <c r="LSR51" i="40"/>
  <c r="LRL51" i="40"/>
  <c r="LQF51" i="40"/>
  <c r="LOZ51" i="40"/>
  <c r="LNT51" i="40"/>
  <c r="LMN51" i="40"/>
  <c r="LLH51" i="40"/>
  <c r="LKB51" i="40"/>
  <c r="LIV51" i="40"/>
  <c r="LHP51" i="40"/>
  <c r="LGJ51" i="40"/>
  <c r="LFD51" i="40"/>
  <c r="LDX51" i="40"/>
  <c r="LCR51" i="40"/>
  <c r="LBL51" i="40"/>
  <c r="LAF51" i="40"/>
  <c r="KYZ51" i="40"/>
  <c r="KXT51" i="40"/>
  <c r="KWN51" i="40"/>
  <c r="KVH51" i="40"/>
  <c r="KUB51" i="40"/>
  <c r="KSV51" i="40"/>
  <c r="KRP51" i="40"/>
  <c r="KQJ51" i="40"/>
  <c r="KPD51" i="40"/>
  <c r="KNX51" i="40"/>
  <c r="KMR51" i="40"/>
  <c r="KLL51" i="40"/>
  <c r="KKF51" i="40"/>
  <c r="KIZ51" i="40"/>
  <c r="KHT51" i="40"/>
  <c r="KGN51" i="40"/>
  <c r="KFH51" i="40"/>
  <c r="KEB51" i="40"/>
  <c r="KCV51" i="40"/>
  <c r="KBP51" i="40"/>
  <c r="KAJ51" i="40"/>
  <c r="JZD51" i="40"/>
  <c r="JXX51" i="40"/>
  <c r="JWR51" i="40"/>
  <c r="JVL51" i="40"/>
  <c r="JUF51" i="40"/>
  <c r="JSZ51" i="40"/>
  <c r="JRT51" i="40"/>
  <c r="JQN51" i="40"/>
  <c r="JPH51" i="40"/>
  <c r="JOB51" i="40"/>
  <c r="JMV51" i="40"/>
  <c r="JLP51" i="40"/>
  <c r="JKJ51" i="40"/>
  <c r="JJD51" i="40"/>
  <c r="JHX51" i="40"/>
  <c r="JGR51" i="40"/>
  <c r="JFL51" i="40"/>
  <c r="JEF51" i="40"/>
  <c r="JCZ51" i="40"/>
  <c r="JBT51" i="40"/>
  <c r="JAN51" i="40"/>
  <c r="IZH51" i="40"/>
  <c r="IYB51" i="40"/>
  <c r="IWV51" i="40"/>
  <c r="IVP51" i="40"/>
  <c r="IUJ51" i="40"/>
  <c r="ITD51" i="40"/>
  <c r="IRX51" i="40"/>
  <c r="IQR51" i="40"/>
  <c r="IPL51" i="40"/>
  <c r="IOF51" i="40"/>
  <c r="IMZ51" i="40"/>
  <c r="ILT51" i="40"/>
  <c r="IKN51" i="40"/>
  <c r="IJH51" i="40"/>
  <c r="IIB51" i="40"/>
  <c r="IGV51" i="40"/>
  <c r="IFP51" i="40"/>
  <c r="IEJ51" i="40"/>
  <c r="IDD51" i="40"/>
  <c r="IBX51" i="40"/>
  <c r="IAR51" i="40"/>
  <c r="HZL51" i="40"/>
  <c r="HYF51" i="40"/>
  <c r="HWZ51" i="40"/>
  <c r="HVT51" i="40"/>
  <c r="HUN51" i="40"/>
  <c r="HTH51" i="40"/>
  <c r="HSB51" i="40"/>
  <c r="HQV51" i="40"/>
  <c r="HPP51" i="40"/>
  <c r="HOJ51" i="40"/>
  <c r="HND51" i="40"/>
  <c r="HLX51" i="40"/>
  <c r="HKR51" i="40"/>
  <c r="HJL51" i="40"/>
  <c r="HIF51" i="40"/>
  <c r="HGZ51" i="40"/>
  <c r="HFT51" i="40"/>
  <c r="HEN51" i="40"/>
  <c r="HDH51" i="40"/>
  <c r="HCB51" i="40"/>
  <c r="HAV51" i="40"/>
  <c r="GZP51" i="40"/>
  <c r="GYJ51" i="40"/>
  <c r="GXD51" i="40"/>
  <c r="GVX51" i="40"/>
  <c r="GUR51" i="40"/>
  <c r="GTL51" i="40"/>
  <c r="GSF51" i="40"/>
  <c r="GQZ51" i="40"/>
  <c r="GPT51" i="40"/>
  <c r="GON51" i="40"/>
  <c r="GNH51" i="40"/>
  <c r="GMB51" i="40"/>
  <c r="GKV51" i="40"/>
  <c r="GJP51" i="40"/>
  <c r="GIJ51" i="40"/>
  <c r="GHD51" i="40"/>
  <c r="GFX51" i="40"/>
  <c r="GER51" i="40"/>
  <c r="GDL51" i="40"/>
  <c r="GCF51" i="40"/>
  <c r="GAZ51" i="40"/>
  <c r="FZT51" i="40"/>
  <c r="FYN51" i="40"/>
  <c r="FXH51" i="40"/>
  <c r="FWB51" i="40"/>
  <c r="FUV51" i="40"/>
  <c r="FTP51" i="40"/>
  <c r="FSJ51" i="40"/>
  <c r="FRD51" i="40"/>
  <c r="FPX51" i="40"/>
  <c r="FOR51" i="40"/>
  <c r="FNL51" i="40"/>
  <c r="FMF51" i="40"/>
  <c r="FKZ51" i="40"/>
  <c r="FJT51" i="40"/>
  <c r="FIN51" i="40"/>
  <c r="FHH51" i="40"/>
  <c r="FGB51" i="40"/>
  <c r="FEV51" i="40"/>
  <c r="FDP51" i="40"/>
  <c r="FCJ51" i="40"/>
  <c r="FBD51" i="40"/>
  <c r="EZX51" i="40"/>
  <c r="EYR51" i="40"/>
  <c r="EXL51" i="40"/>
  <c r="EWF51" i="40"/>
  <c r="EUZ51" i="40"/>
  <c r="ETT51" i="40"/>
  <c r="ESN51" i="40"/>
  <c r="ERH51" i="40"/>
  <c r="EQB51" i="40"/>
  <c r="EOV51" i="40"/>
  <c r="ENP51" i="40"/>
  <c r="EMJ51" i="40"/>
  <c r="ELD51" i="40"/>
  <c r="EJX51" i="40"/>
  <c r="EIR51" i="40"/>
  <c r="EHL51" i="40"/>
  <c r="EGF51" i="40"/>
  <c r="EEZ51" i="40"/>
  <c r="EDT51" i="40"/>
  <c r="ECN51" i="40"/>
  <c r="EBH51" i="40"/>
  <c r="EAB51" i="40"/>
  <c r="DYV51" i="40"/>
  <c r="DXP51" i="40"/>
  <c r="DWJ51" i="40"/>
  <c r="DVD51" i="40"/>
  <c r="DTX51" i="40"/>
  <c r="DSR51" i="40"/>
  <c r="DRL51" i="40"/>
  <c r="DQF51" i="40"/>
  <c r="DOZ51" i="40"/>
  <c r="DNT51" i="40"/>
  <c r="DMN51" i="40"/>
  <c r="DLH51" i="40"/>
  <c r="DKB51" i="40"/>
  <c r="DIV51" i="40"/>
  <c r="DHP51" i="40"/>
  <c r="DGJ51" i="40"/>
  <c r="DFD51" i="40"/>
  <c r="DDX51" i="40"/>
  <c r="DCR51" i="40"/>
  <c r="DBL51" i="40"/>
  <c r="DAF51" i="40"/>
  <c r="CYZ51" i="40"/>
  <c r="CXT51" i="40"/>
  <c r="CWN51" i="40"/>
  <c r="CVH51" i="40"/>
  <c r="CUB51" i="40"/>
  <c r="CSV51" i="40"/>
  <c r="CRP51" i="40"/>
  <c r="CQJ51" i="40"/>
  <c r="CPD51" i="40"/>
  <c r="CNX51" i="40"/>
  <c r="CMR51" i="40"/>
  <c r="CLL51" i="40"/>
  <c r="CKF51" i="40"/>
  <c r="CIZ51" i="40"/>
  <c r="CHT51" i="40"/>
  <c r="CGN51" i="40"/>
  <c r="CFH51" i="40"/>
  <c r="CEB51" i="40"/>
  <c r="CCV51" i="40"/>
  <c r="CBP51" i="40"/>
  <c r="CAJ51" i="40"/>
  <c r="BZD51" i="40"/>
  <c r="BXX51" i="40"/>
  <c r="BWR51" i="40"/>
  <c r="BVL51" i="40"/>
  <c r="BUF51" i="40"/>
  <c r="BSZ51" i="40"/>
  <c r="BRT51" i="40"/>
  <c r="BQN51" i="40"/>
  <c r="BPH51" i="40"/>
  <c r="BOB51" i="40"/>
  <c r="BMV51" i="40"/>
  <c r="BLP51" i="40"/>
  <c r="BKJ51" i="40"/>
  <c r="BJD51" i="40"/>
  <c r="BHX51" i="40"/>
  <c r="BGR51" i="40"/>
  <c r="BFL51" i="40"/>
  <c r="BEF51" i="40"/>
  <c r="BCZ51" i="40"/>
  <c r="BBT51" i="40"/>
  <c r="BAN51" i="40"/>
  <c r="AZH51" i="40"/>
  <c r="AYB51" i="40"/>
  <c r="AWV51" i="40"/>
  <c r="AVP51" i="40"/>
  <c r="AUJ51" i="40"/>
  <c r="ATD51" i="40"/>
  <c r="ARX51" i="40"/>
  <c r="AQR51" i="40"/>
  <c r="APL51" i="40"/>
  <c r="AOF51" i="40"/>
  <c r="AMZ51" i="40"/>
  <c r="ALT51" i="40"/>
  <c r="AKN51" i="40"/>
  <c r="AJH51" i="40"/>
  <c r="AIB51" i="40"/>
  <c r="AGV51" i="40"/>
  <c r="AFP51" i="40"/>
  <c r="AEJ51" i="40"/>
  <c r="ADD51" i="40"/>
  <c r="ABX51" i="40"/>
  <c r="AAR51" i="40"/>
  <c r="ZL51" i="40"/>
  <c r="YF51" i="40"/>
  <c r="WZ51" i="40"/>
  <c r="VT51" i="40"/>
  <c r="UN51" i="40"/>
  <c r="TH51" i="40"/>
  <c r="SB51" i="40"/>
  <c r="QV51" i="40"/>
  <c r="PP51" i="40"/>
  <c r="OJ51" i="40"/>
  <c r="ND51" i="40"/>
  <c r="LX51" i="40"/>
  <c r="KR51" i="40"/>
  <c r="JL51" i="40"/>
  <c r="IF51" i="40"/>
  <c r="GZ51" i="40"/>
  <c r="FT51" i="40"/>
  <c r="EN51" i="40"/>
  <c r="DH51" i="40"/>
  <c r="CB51" i="40"/>
  <c r="AV51" i="40"/>
  <c r="XEN50" i="40"/>
  <c r="XDH50" i="40"/>
  <c r="XCB50" i="40"/>
  <c r="XAV50" i="40"/>
  <c r="WZP50" i="40"/>
  <c r="WYJ50" i="40"/>
  <c r="WXD50" i="40"/>
  <c r="WVX50" i="40"/>
  <c r="WUR50" i="40"/>
  <c r="WTL50" i="40"/>
  <c r="WSF50" i="40"/>
  <c r="WQZ50" i="40"/>
  <c r="WPT50" i="40"/>
  <c r="WON50" i="40"/>
  <c r="WNH50" i="40"/>
  <c r="WMB50" i="40"/>
  <c r="WKV50" i="40"/>
  <c r="WJP50" i="40"/>
  <c r="WIJ50" i="40"/>
  <c r="WHD50" i="40"/>
  <c r="WFX50" i="40"/>
  <c r="WER50" i="40"/>
  <c r="WDL50" i="40"/>
  <c r="WCF50" i="40"/>
  <c r="WAZ50" i="40"/>
  <c r="VZT50" i="40"/>
  <c r="VYN50" i="40"/>
  <c r="VXH50" i="40"/>
  <c r="VWB50" i="40"/>
  <c r="VUV50" i="40"/>
  <c r="VTP50" i="40"/>
  <c r="VSJ50" i="40"/>
  <c r="VRD50" i="40"/>
  <c r="VPX50" i="40"/>
  <c r="VOR50" i="40"/>
  <c r="VNL50" i="40"/>
  <c r="VMF50" i="40"/>
  <c r="VKZ50" i="40"/>
  <c r="VJT50" i="40"/>
  <c r="VIN50" i="40"/>
  <c r="VHH50" i="40"/>
  <c r="VGB50" i="40"/>
  <c r="VEV50" i="40"/>
  <c r="VDP50" i="40"/>
  <c r="VCJ50" i="40"/>
  <c r="VBD50" i="40"/>
  <c r="UZX50" i="40"/>
  <c r="UYR50" i="40"/>
  <c r="UXL50" i="40"/>
  <c r="UWF50" i="40"/>
  <c r="UUZ50" i="40"/>
  <c r="UTT50" i="40"/>
  <c r="USN50" i="40"/>
  <c r="URH50" i="40"/>
  <c r="UQB50" i="40"/>
  <c r="UOV50" i="40"/>
  <c r="UNP50" i="40"/>
  <c r="UMJ50" i="40"/>
  <c r="ULD50" i="40"/>
  <c r="UJX50" i="40"/>
  <c r="UIR50" i="40"/>
  <c r="UHL50" i="40"/>
  <c r="UGF50" i="40"/>
  <c r="UEZ50" i="40"/>
  <c r="UDT50" i="40"/>
  <c r="UCN50" i="40"/>
  <c r="UBH50" i="40"/>
  <c r="UAB50" i="40"/>
  <c r="TYV50" i="40"/>
  <c r="TXP50" i="40"/>
  <c r="TWJ50" i="40"/>
  <c r="TVD50" i="40"/>
  <c r="TTX50" i="40"/>
  <c r="TSR50" i="40"/>
  <c r="TRL50" i="40"/>
  <c r="TQF50" i="40"/>
  <c r="TOZ50" i="40"/>
  <c r="TNT50" i="40"/>
  <c r="TMN50" i="40"/>
  <c r="TLH50" i="40"/>
  <c r="TKB50" i="40"/>
  <c r="TIV50" i="40"/>
  <c r="THP50" i="40"/>
  <c r="TGJ50" i="40"/>
  <c r="TFD50" i="40"/>
  <c r="TDX50" i="40"/>
  <c r="TCR50" i="40"/>
  <c r="TBL50" i="40"/>
  <c r="TAF50" i="40"/>
  <c r="SYZ50" i="40"/>
  <c r="SXT50" i="40"/>
  <c r="SWN50" i="40"/>
  <c r="SVH50" i="40"/>
  <c r="SUB50" i="40"/>
  <c r="SSV50" i="40"/>
  <c r="SRP50" i="40"/>
  <c r="SQJ50" i="40"/>
  <c r="SPD50" i="40"/>
  <c r="SNX50" i="40"/>
  <c r="SMR50" i="40"/>
  <c r="SLL50" i="40"/>
  <c r="SKF50" i="40"/>
  <c r="SIZ50" i="40"/>
  <c r="SHT50" i="40"/>
  <c r="SGN50" i="40"/>
  <c r="SFH50" i="40"/>
  <c r="SEB50" i="40"/>
  <c r="SCV50" i="40"/>
  <c r="SBP50" i="40"/>
  <c r="SAJ50" i="40"/>
  <c r="RZD50" i="40"/>
  <c r="RXX50" i="40"/>
  <c r="RWR50" i="40"/>
  <c r="RVL50" i="40"/>
  <c r="RUF50" i="40"/>
  <c r="RSZ50" i="40"/>
  <c r="RRT50" i="40"/>
  <c r="RQN50" i="40"/>
  <c r="RPH50" i="40"/>
  <c r="ROB50" i="40"/>
  <c r="RMV50" i="40"/>
  <c r="RLP50" i="40"/>
  <c r="RKJ50" i="40"/>
  <c r="RJD50" i="40"/>
  <c r="RHX50" i="40"/>
  <c r="RGR50" i="40"/>
  <c r="RFL50" i="40"/>
  <c r="REF50" i="40"/>
  <c r="RCZ50" i="40"/>
  <c r="RBT50" i="40"/>
  <c r="RAN50" i="40"/>
  <c r="QZH50" i="40"/>
  <c r="QYB50" i="40"/>
  <c r="QWV50" i="40"/>
  <c r="QVP50" i="40"/>
  <c r="QUJ50" i="40"/>
  <c r="QTD50" i="40"/>
  <c r="QRX50" i="40"/>
  <c r="QQR50" i="40"/>
  <c r="QPL50" i="40"/>
  <c r="QOF50" i="40"/>
  <c r="QMZ50" i="40"/>
  <c r="QLT50" i="40"/>
  <c r="QKN50" i="40"/>
  <c r="QJH50" i="40"/>
  <c r="QIB50" i="40"/>
  <c r="QGV50" i="40"/>
  <c r="QFP50" i="40"/>
  <c r="QEJ50" i="40"/>
  <c r="QDD50" i="40"/>
  <c r="QBX50" i="40"/>
  <c r="QAR50" i="40"/>
  <c r="PZL50" i="40"/>
  <c r="PYF50" i="40"/>
  <c r="PWZ50" i="40"/>
  <c r="PVT50" i="40"/>
  <c r="PUN50" i="40"/>
  <c r="PTH50" i="40"/>
  <c r="PSB50" i="40"/>
  <c r="PQV50" i="40"/>
  <c r="PPP50" i="40"/>
  <c r="POJ50" i="40"/>
  <c r="PND50" i="40"/>
  <c r="PLX50" i="40"/>
  <c r="PKR50" i="40"/>
  <c r="PJL50" i="40"/>
  <c r="PIF50" i="40"/>
  <c r="PGZ50" i="40"/>
  <c r="PFT50" i="40"/>
  <c r="PEN50" i="40"/>
  <c r="PDH50" i="40"/>
  <c r="PCB50" i="40"/>
  <c r="PAV50" i="40"/>
  <c r="OZP50" i="40"/>
  <c r="OYJ50" i="40"/>
  <c r="OXD50" i="40"/>
  <c r="OVX50" i="40"/>
  <c r="OUR50" i="40"/>
  <c r="OTL50" i="40"/>
  <c r="OSF50" i="40"/>
  <c r="OQZ50" i="40"/>
  <c r="OPT50" i="40"/>
  <c r="OON50" i="40"/>
  <c r="ONH50" i="40"/>
  <c r="OMB50" i="40"/>
  <c r="OKV50" i="40"/>
  <c r="OJP50" i="40"/>
  <c r="OIJ50" i="40"/>
  <c r="OHD50" i="40"/>
  <c r="OFX50" i="40"/>
  <c r="OER50" i="40"/>
  <c r="ODL50" i="40"/>
  <c r="OCF50" i="40"/>
  <c r="OAZ50" i="40"/>
  <c r="NZT50" i="40"/>
  <c r="NYN50" i="40"/>
  <c r="NXH50" i="40"/>
  <c r="NWB50" i="40"/>
  <c r="NUV50" i="40"/>
  <c r="NTP50" i="40"/>
  <c r="NSJ50" i="40"/>
  <c r="NRD50" i="40"/>
  <c r="NPX50" i="40"/>
  <c r="NOR50" i="40"/>
  <c r="NNL50" i="40"/>
  <c r="NMF50" i="40"/>
  <c r="NKZ50" i="40"/>
  <c r="NJT50" i="40"/>
  <c r="NIN50" i="40"/>
  <c r="NHH50" i="40"/>
  <c r="NGB50" i="40"/>
  <c r="NEV50" i="40"/>
  <c r="NDP50" i="40"/>
  <c r="NCJ50" i="40"/>
  <c r="NBD50" i="40"/>
  <c r="MZX50" i="40"/>
  <c r="MYR50" i="40"/>
  <c r="MXL50" i="40"/>
  <c r="MWF50" i="40"/>
  <c r="MUZ50" i="40"/>
  <c r="MTT50" i="40"/>
  <c r="MSN50" i="40"/>
  <c r="MRH50" i="40"/>
  <c r="MQB50" i="40"/>
  <c r="MOV50" i="40"/>
  <c r="MNP50" i="40"/>
  <c r="MMJ50" i="40"/>
  <c r="MLD50" i="40"/>
  <c r="MJX50" i="40"/>
  <c r="MIR50" i="40"/>
  <c r="MHL50" i="40"/>
  <c r="MGF50" i="40"/>
  <c r="MEZ50" i="40"/>
  <c r="MDT50" i="40"/>
  <c r="MCN50" i="40"/>
  <c r="MBH50" i="40"/>
  <c r="MAB50" i="40"/>
  <c r="LYV50" i="40"/>
  <c r="LXP50" i="40"/>
  <c r="LWJ50" i="40"/>
  <c r="LVD50" i="40"/>
  <c r="LTX50" i="40"/>
  <c r="LSR50" i="40"/>
  <c r="LRL50" i="40"/>
  <c r="LQF50" i="40"/>
  <c r="LOZ50" i="40"/>
  <c r="LNT50" i="40"/>
  <c r="LMN50" i="40"/>
  <c r="LLH50" i="40"/>
  <c r="LKB50" i="40"/>
  <c r="LIV50" i="40"/>
  <c r="LHP50" i="40"/>
  <c r="LGJ50" i="40"/>
  <c r="LFD50" i="40"/>
  <c r="LDX50" i="40"/>
  <c r="LCR50" i="40"/>
  <c r="LBL50" i="40"/>
  <c r="LAF50" i="40"/>
  <c r="KYZ50" i="40"/>
  <c r="KXT50" i="40"/>
  <c r="KWN50" i="40"/>
  <c r="KVH50" i="40"/>
  <c r="KUB50" i="40"/>
  <c r="KSV50" i="40"/>
  <c r="KRP50" i="40"/>
  <c r="KQJ50" i="40"/>
  <c r="KPD50" i="40"/>
  <c r="KNX50" i="40"/>
  <c r="KMR50" i="40"/>
  <c r="KLL50" i="40"/>
  <c r="KKF50" i="40"/>
  <c r="KIZ50" i="40"/>
  <c r="KHT50" i="40"/>
  <c r="KGN50" i="40"/>
  <c r="KFH50" i="40"/>
  <c r="KEB50" i="40"/>
  <c r="KCV50" i="40"/>
  <c r="KBP50" i="40"/>
  <c r="KAJ50" i="40"/>
  <c r="JZD50" i="40"/>
  <c r="JXX50" i="40"/>
  <c r="JWR50" i="40"/>
  <c r="JVL50" i="40"/>
  <c r="JUF50" i="40"/>
  <c r="JSZ50" i="40"/>
  <c r="JRT50" i="40"/>
  <c r="JQN50" i="40"/>
  <c r="JPH50" i="40"/>
  <c r="JOB50" i="40"/>
  <c r="JMV50" i="40"/>
  <c r="JLP50" i="40"/>
  <c r="JKJ50" i="40"/>
  <c r="JJD50" i="40"/>
  <c r="JHX50" i="40"/>
  <c r="JGR50" i="40"/>
  <c r="JFL50" i="40"/>
  <c r="JEF50" i="40"/>
  <c r="JCZ50" i="40"/>
  <c r="JBT50" i="40"/>
  <c r="JAN50" i="40"/>
  <c r="IZH50" i="40"/>
  <c r="IYB50" i="40"/>
  <c r="IWV50" i="40"/>
  <c r="IVP50" i="40"/>
  <c r="IUJ50" i="40"/>
  <c r="ITD50" i="40"/>
  <c r="IRX50" i="40"/>
  <c r="IQR50" i="40"/>
  <c r="IPL50" i="40"/>
  <c r="IOF50" i="40"/>
  <c r="IMZ50" i="40"/>
  <c r="ILT50" i="40"/>
  <c r="IKN50" i="40"/>
  <c r="IJH50" i="40"/>
  <c r="IIB50" i="40"/>
  <c r="IGV50" i="40"/>
  <c r="IFP50" i="40"/>
  <c r="IEJ50" i="40"/>
  <c r="IDD50" i="40"/>
  <c r="IBX50" i="40"/>
  <c r="IAR50" i="40"/>
  <c r="HZL50" i="40"/>
  <c r="HYF50" i="40"/>
  <c r="HWZ50" i="40"/>
  <c r="HVT50" i="40"/>
  <c r="HUN50" i="40"/>
  <c r="HTH50" i="40"/>
  <c r="HSB50" i="40"/>
  <c r="HQV50" i="40"/>
  <c r="HPP50" i="40"/>
  <c r="HOJ50" i="40"/>
  <c r="HND50" i="40"/>
  <c r="HLX50" i="40"/>
  <c r="HKR50" i="40"/>
  <c r="HJL50" i="40"/>
  <c r="HIF50" i="40"/>
  <c r="HGZ50" i="40"/>
  <c r="HFT50" i="40"/>
  <c r="HEN50" i="40"/>
  <c r="HDH50" i="40"/>
  <c r="HCB50" i="40"/>
  <c r="HAV50" i="40"/>
  <c r="GZP50" i="40"/>
  <c r="GYJ50" i="40"/>
  <c r="GXD50" i="40"/>
  <c r="GVX50" i="40"/>
  <c r="GUR50" i="40"/>
  <c r="GTL50" i="40"/>
  <c r="GSF50" i="40"/>
  <c r="GQZ50" i="40"/>
  <c r="GPT50" i="40"/>
  <c r="GON50" i="40"/>
  <c r="GNH50" i="40"/>
  <c r="GMB50" i="40"/>
  <c r="GKV50" i="40"/>
  <c r="GJP50" i="40"/>
  <c r="GIJ50" i="40"/>
  <c r="GHD50" i="40"/>
  <c r="GFX50" i="40"/>
  <c r="GER50" i="40"/>
  <c r="GDL50" i="40"/>
  <c r="GCF50" i="40"/>
  <c r="GAZ50" i="40"/>
  <c r="FZT50" i="40"/>
  <c r="FYN50" i="40"/>
  <c r="FXH50" i="40"/>
  <c r="FWB50" i="40"/>
  <c r="FUV50" i="40"/>
  <c r="FTP50" i="40"/>
  <c r="FSJ50" i="40"/>
  <c r="FRD50" i="40"/>
  <c r="FPX50" i="40"/>
  <c r="FOR50" i="40"/>
  <c r="FNL50" i="40"/>
  <c r="FMF50" i="40"/>
  <c r="FKZ50" i="40"/>
  <c r="FJT50" i="40"/>
  <c r="FIN50" i="40"/>
  <c r="FHH50" i="40"/>
  <c r="FGB50" i="40"/>
  <c r="FEV50" i="40"/>
  <c r="FDP50" i="40"/>
  <c r="FCJ50" i="40"/>
  <c r="FBD50" i="40"/>
  <c r="EZX50" i="40"/>
  <c r="EYR50" i="40"/>
  <c r="EXL50" i="40"/>
  <c r="EWF50" i="40"/>
  <c r="EUZ50" i="40"/>
  <c r="ETT50" i="40"/>
  <c r="ESN50" i="40"/>
  <c r="ERH50" i="40"/>
  <c r="EQB50" i="40"/>
  <c r="EOV50" i="40"/>
  <c r="ENP50" i="40"/>
  <c r="EMJ50" i="40"/>
  <c r="ELD50" i="40"/>
  <c r="EJX50" i="40"/>
  <c r="EIR50" i="40"/>
  <c r="EHL50" i="40"/>
  <c r="EGF50" i="40"/>
  <c r="EEZ50" i="40"/>
  <c r="EDT50" i="40"/>
  <c r="ECN50" i="40"/>
  <c r="EBH50" i="40"/>
  <c r="EAB50" i="40"/>
  <c r="DYV50" i="40"/>
  <c r="DXP50" i="40"/>
  <c r="DWJ50" i="40"/>
  <c r="DVD50" i="40"/>
  <c r="DTX50" i="40"/>
  <c r="DSR50" i="40"/>
  <c r="DRL50" i="40"/>
  <c r="DQF50" i="40"/>
  <c r="DOZ50" i="40"/>
  <c r="DNT50" i="40"/>
  <c r="DMN50" i="40"/>
  <c r="DLH50" i="40"/>
  <c r="DKB50" i="40"/>
  <c r="DIV50" i="40"/>
  <c r="DHP50" i="40"/>
  <c r="DGJ50" i="40"/>
  <c r="DFD50" i="40"/>
  <c r="DDX50" i="40"/>
  <c r="DCR50" i="40"/>
  <c r="DBL50" i="40"/>
  <c r="DAF50" i="40"/>
  <c r="CYZ50" i="40"/>
  <c r="CXT50" i="40"/>
  <c r="CWN50" i="40"/>
  <c r="CVH50" i="40"/>
  <c r="CUB50" i="40"/>
  <c r="CSV50" i="40"/>
  <c r="CRP50" i="40"/>
  <c r="CQJ50" i="40"/>
  <c r="CPD50" i="40"/>
  <c r="CNX50" i="40"/>
  <c r="CMR50" i="40"/>
  <c r="CLL50" i="40"/>
  <c r="CKF50" i="40"/>
  <c r="CIZ50" i="40"/>
  <c r="CHT50" i="40"/>
  <c r="CGN50" i="40"/>
  <c r="CFH50" i="40"/>
  <c r="CEB50" i="40"/>
  <c r="CCV50" i="40"/>
  <c r="CBP50" i="40"/>
  <c r="CAJ50" i="40"/>
  <c r="BZD50" i="40"/>
  <c r="BXX50" i="40"/>
  <c r="BWR50" i="40"/>
  <c r="BVL50" i="40"/>
  <c r="BUF50" i="40"/>
  <c r="BSZ50" i="40"/>
  <c r="BRT50" i="40"/>
  <c r="BQN50" i="40"/>
  <c r="BPH50" i="40"/>
  <c r="BOB50" i="40"/>
  <c r="BMV50" i="40"/>
  <c r="BLP50" i="40"/>
  <c r="BKJ50" i="40"/>
  <c r="BJD50" i="40"/>
  <c r="BHX50" i="40"/>
  <c r="BGR50" i="40"/>
  <c r="BFL50" i="40"/>
  <c r="BEF50" i="40"/>
  <c r="BCZ50" i="40"/>
  <c r="BBT50" i="40"/>
  <c r="BAN50" i="40"/>
  <c r="AZH50" i="40"/>
  <c r="AYB50" i="40"/>
  <c r="AWV50" i="40"/>
  <c r="AVP50" i="40"/>
  <c r="AUJ50" i="40"/>
  <c r="ATD50" i="40"/>
  <c r="ARX50" i="40"/>
  <c r="AQR50" i="40"/>
  <c r="APL50" i="40"/>
  <c r="AOF50" i="40"/>
  <c r="AMZ50" i="40"/>
  <c r="ALT50" i="40"/>
  <c r="AKN50" i="40"/>
  <c r="AJH50" i="40"/>
  <c r="AIB50" i="40"/>
  <c r="AGV50" i="40"/>
  <c r="AFP50" i="40"/>
  <c r="AEJ50" i="40"/>
  <c r="ADD50" i="40"/>
  <c r="ABX50" i="40"/>
  <c r="AAR50" i="40"/>
  <c r="ZL50" i="40"/>
  <c r="YF50" i="40"/>
  <c r="WZ50" i="40"/>
  <c r="VT50" i="40"/>
  <c r="UN50" i="40"/>
  <c r="TH50" i="40"/>
  <c r="SB50" i="40"/>
  <c r="QV50" i="40"/>
  <c r="PP50" i="40"/>
  <c r="OJ50" i="40"/>
  <c r="ND50" i="40"/>
  <c r="LX50" i="40"/>
  <c r="KR50" i="40"/>
  <c r="JL50" i="40"/>
  <c r="IF50" i="40"/>
  <c r="GZ50" i="40"/>
  <c r="FT50" i="40"/>
  <c r="EN50" i="40"/>
  <c r="DH50" i="40"/>
  <c r="CB50" i="40"/>
  <c r="AV50" i="40"/>
  <c r="M68" i="46"/>
  <c r="D68" i="46"/>
  <c r="E68" i="46"/>
  <c r="F68" i="46"/>
  <c r="G68" i="46"/>
  <c r="H68" i="46"/>
  <c r="I68" i="46"/>
  <c r="J68" i="46"/>
  <c r="K68" i="46"/>
  <c r="L68" i="46"/>
  <c r="N68" i="46"/>
  <c r="O68" i="46"/>
  <c r="K67" i="46"/>
  <c r="H67" i="46"/>
  <c r="D67" i="46"/>
  <c r="E67" i="46"/>
  <c r="F67" i="46"/>
  <c r="G67" i="46"/>
  <c r="I67" i="46"/>
  <c r="J67" i="46"/>
  <c r="L67" i="46"/>
  <c r="M67" i="46"/>
  <c r="N67" i="46"/>
  <c r="O67" i="46"/>
  <c r="P67" i="46"/>
  <c r="R67" i="46" s="1"/>
  <c r="L66" i="46"/>
  <c r="E66" i="46"/>
  <c r="O66" i="46"/>
  <c r="I66" i="46"/>
  <c r="N66" i="46"/>
  <c r="M66" i="46"/>
  <c r="N70" i="46"/>
  <c r="O70" i="46"/>
  <c r="M69" i="46"/>
  <c r="K69" i="46"/>
  <c r="L70" i="46"/>
  <c r="K70" i="46"/>
  <c r="H66" i="40"/>
  <c r="N65" i="40"/>
  <c r="N57" i="40"/>
  <c r="N63" i="40"/>
  <c r="N67" i="40"/>
  <c r="N69" i="40"/>
  <c r="J65" i="40"/>
  <c r="F65" i="40"/>
  <c r="M65" i="40"/>
  <c r="M63" i="40"/>
  <c r="M67" i="40"/>
  <c r="M69" i="40"/>
  <c r="I65" i="40"/>
  <c r="E65" i="40"/>
  <c r="D65" i="40"/>
  <c r="G65" i="40"/>
  <c r="H65" i="40"/>
  <c r="K65" i="40"/>
  <c r="L65" i="40"/>
  <c r="O65" i="40"/>
  <c r="O63" i="40"/>
  <c r="O67" i="40"/>
  <c r="O69" i="40"/>
  <c r="I66" i="40"/>
  <c r="H68" i="40"/>
  <c r="F67" i="40"/>
  <c r="L69" i="40"/>
  <c r="H69" i="40"/>
  <c r="D69" i="40"/>
  <c r="I70" i="40"/>
  <c r="K69" i="40"/>
  <c r="G69" i="40"/>
  <c r="G59" i="40"/>
  <c r="G61" i="40"/>
  <c r="G63" i="40"/>
  <c r="G67" i="40"/>
  <c r="H70" i="40"/>
  <c r="J69" i="40"/>
  <c r="F69" i="40"/>
  <c r="I69" i="40"/>
  <c r="E69" i="40"/>
  <c r="P30" i="46"/>
  <c r="O25" i="46"/>
  <c r="AC24" i="46"/>
  <c r="O24" i="46"/>
  <c r="A6" i="47" s="1"/>
  <c r="C6" i="47" s="1"/>
  <c r="AC22" i="46"/>
  <c r="P30" i="45"/>
  <c r="AC24" i="45"/>
  <c r="AC22" i="45"/>
  <c r="AC22" i="42"/>
  <c r="O22" i="42"/>
  <c r="E60" i="46"/>
  <c r="F60" i="46"/>
  <c r="D59" i="46"/>
  <c r="H60" i="46"/>
  <c r="N59" i="46"/>
  <c r="F59" i="46"/>
  <c r="G60" i="46"/>
  <c r="J60" i="46"/>
  <c r="O64" i="46"/>
  <c r="G64" i="46"/>
  <c r="I63" i="46"/>
  <c r="D64" i="46"/>
  <c r="J64" i="46"/>
  <c r="L63" i="46"/>
  <c r="D63" i="46"/>
  <c r="J63" i="46"/>
  <c r="I64" i="46"/>
  <c r="O63" i="46"/>
  <c r="G63" i="46"/>
  <c r="N63" i="46"/>
  <c r="L58" i="46"/>
  <c r="L60" i="46"/>
  <c r="L64" i="46"/>
  <c r="N57" i="46"/>
  <c r="G58" i="46"/>
  <c r="I57" i="46"/>
  <c r="F58" i="46"/>
  <c r="H57" i="46"/>
  <c r="F62" i="46"/>
  <c r="H61" i="46"/>
  <c r="O61" i="46"/>
  <c r="G61" i="46"/>
  <c r="N61" i="46"/>
  <c r="F61" i="46"/>
  <c r="D58" i="45"/>
  <c r="J57" i="45"/>
  <c r="J59" i="45"/>
  <c r="F57" i="45"/>
  <c r="O58" i="45"/>
  <c r="K58" i="45"/>
  <c r="G58" i="45"/>
  <c r="I57" i="45"/>
  <c r="I58" i="45"/>
  <c r="I60" i="45"/>
  <c r="E58" i="45"/>
  <c r="K57" i="45"/>
  <c r="N58" i="45"/>
  <c r="J58" i="45"/>
  <c r="L57" i="45"/>
  <c r="L59" i="45"/>
  <c r="D57" i="45"/>
  <c r="D59" i="45"/>
  <c r="M58" i="45"/>
  <c r="M60" i="45"/>
  <c r="M62" i="45"/>
  <c r="O57" i="45"/>
  <c r="O59" i="45"/>
  <c r="O66" i="45" s="1"/>
  <c r="O67" i="45" s="1"/>
  <c r="O34" i="45" s="1"/>
  <c r="G57" i="45"/>
  <c r="G59" i="45"/>
  <c r="E60" i="45"/>
  <c r="E62" i="45"/>
  <c r="K59" i="45"/>
  <c r="H60" i="45"/>
  <c r="D60" i="45"/>
  <c r="N59" i="45"/>
  <c r="F59" i="45"/>
  <c r="N60" i="45"/>
  <c r="F60" i="45"/>
  <c r="H59" i="45"/>
  <c r="O60" i="45"/>
  <c r="K60" i="45"/>
  <c r="G60" i="45"/>
  <c r="M59" i="45"/>
  <c r="M57" i="45"/>
  <c r="M61" i="45"/>
  <c r="I59" i="45"/>
  <c r="E59" i="45"/>
  <c r="J60" i="45"/>
  <c r="P57" i="42"/>
  <c r="P56" i="42"/>
  <c r="L81" i="42"/>
  <c r="P55" i="42"/>
  <c r="P54" i="42"/>
  <c r="L79" i="42"/>
  <c r="P53" i="42"/>
  <c r="P52" i="42"/>
  <c r="J77" i="42" s="1"/>
  <c r="P51" i="42"/>
  <c r="P50" i="42"/>
  <c r="AT16" i="36"/>
  <c r="AT15" i="36"/>
  <c r="AT14" i="36"/>
  <c r="AU14" i="36" s="1"/>
  <c r="A34" i="40"/>
  <c r="A30" i="40"/>
  <c r="P49" i="42"/>
  <c r="P48" i="42"/>
  <c r="F74" i="42"/>
  <c r="P43" i="42"/>
  <c r="P42" i="42"/>
  <c r="P41" i="42"/>
  <c r="P40" i="42"/>
  <c r="L66" i="42"/>
  <c r="P39" i="42"/>
  <c r="P38" i="42"/>
  <c r="L64" i="42"/>
  <c r="P30" i="42"/>
  <c r="AC24" i="40"/>
  <c r="P43" i="40"/>
  <c r="P41" i="40"/>
  <c r="P30" i="40"/>
  <c r="P28" i="1"/>
  <c r="P24" i="1"/>
  <c r="P29" i="1"/>
  <c r="P32" i="1"/>
  <c r="P34" i="1"/>
  <c r="P35" i="1"/>
  <c r="P36" i="1"/>
  <c r="P37" i="1"/>
  <c r="P38" i="1"/>
  <c r="P39" i="1"/>
  <c r="N4" i="20"/>
  <c r="N3" i="20"/>
  <c r="F8" i="20"/>
  <c r="F7" i="20"/>
  <c r="J7" i="20"/>
  <c r="J6" i="20"/>
  <c r="J5" i="20"/>
  <c r="J4" i="20"/>
  <c r="J3" i="20"/>
  <c r="F6" i="20"/>
  <c r="F5" i="20"/>
  <c r="F4" i="20"/>
  <c r="F3" i="20"/>
  <c r="P33" i="1"/>
  <c r="D63" i="42"/>
  <c r="D64" i="42"/>
  <c r="L63" i="42"/>
  <c r="M63" i="42"/>
  <c r="O64" i="42"/>
  <c r="O63" i="42"/>
  <c r="K63" i="42"/>
  <c r="I63" i="42"/>
  <c r="N64" i="42"/>
  <c r="N63" i="42"/>
  <c r="J63" i="42"/>
  <c r="E63" i="42"/>
  <c r="O74" i="42"/>
  <c r="G74" i="42"/>
  <c r="D74" i="42"/>
  <c r="D80" i="42"/>
  <c r="I80" i="42"/>
  <c r="K80" i="42"/>
  <c r="G79" i="42"/>
  <c r="F80" i="42"/>
  <c r="M80" i="42"/>
  <c r="F61" i="40"/>
  <c r="F63" i="40"/>
  <c r="I63" i="40"/>
  <c r="E63" i="40"/>
  <c r="H63" i="40"/>
  <c r="D63" i="40"/>
  <c r="I64" i="40"/>
  <c r="K63" i="40"/>
  <c r="H64" i="40"/>
  <c r="G8" i="47"/>
  <c r="F79" i="42"/>
  <c r="K79" i="42"/>
  <c r="D79" i="42"/>
  <c r="J74" i="42"/>
  <c r="J79" i="42"/>
  <c r="N80" i="42"/>
  <c r="O79" i="42"/>
  <c r="E79" i="42"/>
  <c r="H79" i="42"/>
  <c r="L80" i="42"/>
  <c r="L74" i="42"/>
  <c r="I73" i="42"/>
  <c r="M74" i="42"/>
  <c r="J80" i="42"/>
  <c r="O80" i="42"/>
  <c r="H80" i="42"/>
  <c r="E73" i="42"/>
  <c r="M79" i="42"/>
  <c r="N79" i="42"/>
  <c r="I79" i="42"/>
  <c r="G80" i="42"/>
  <c r="E80" i="42"/>
  <c r="K73" i="42"/>
  <c r="M73" i="42"/>
  <c r="A1" i="47"/>
  <c r="C1" i="47"/>
  <c r="G6" i="47"/>
  <c r="G4" i="47"/>
  <c r="D57" i="46"/>
  <c r="H58" i="46"/>
  <c r="K58" i="46"/>
  <c r="M57" i="46"/>
  <c r="L57" i="46"/>
  <c r="O57" i="46"/>
  <c r="O59" i="46"/>
  <c r="O69" i="46"/>
  <c r="J58" i="46"/>
  <c r="J70" i="46"/>
  <c r="I58" i="46"/>
  <c r="I60" i="46"/>
  <c r="G59" i="46"/>
  <c r="L59" i="46"/>
  <c r="D60" i="46"/>
  <c r="J59" i="46"/>
  <c r="N60" i="46"/>
  <c r="K60" i="46"/>
  <c r="M59" i="46"/>
  <c r="E59" i="46"/>
  <c r="H59" i="46"/>
  <c r="J61" i="46"/>
  <c r="K61" i="46"/>
  <c r="E62" i="46"/>
  <c r="O62" i="46"/>
  <c r="K64" i="46"/>
  <c r="K66" i="46"/>
  <c r="M63" i="46"/>
  <c r="E63" i="46"/>
  <c r="N64" i="46"/>
  <c r="F64" i="46"/>
  <c r="H63" i="46"/>
  <c r="H64" i="46"/>
  <c r="E64" i="46"/>
  <c r="M64" i="46"/>
  <c r="K63" i="46"/>
  <c r="F63" i="46"/>
  <c r="H67" i="40"/>
  <c r="E67" i="40"/>
  <c r="A7" i="47"/>
  <c r="C7" i="47"/>
  <c r="K67" i="40"/>
  <c r="J67" i="40"/>
  <c r="I67" i="40"/>
  <c r="L67" i="40"/>
  <c r="D67" i="40"/>
  <c r="F65" i="46"/>
  <c r="K65" i="46"/>
  <c r="G69" i="46"/>
  <c r="L65" i="46"/>
  <c r="D69" i="46"/>
  <c r="G70" i="46"/>
  <c r="H70" i="46"/>
  <c r="N69" i="46"/>
  <c r="N62" i="45"/>
  <c r="N63" i="45" s="1"/>
  <c r="F62" i="45"/>
  <c r="F58" i="45"/>
  <c r="H61" i="45"/>
  <c r="K61" i="45"/>
  <c r="O62" i="45"/>
  <c r="I61" i="45"/>
  <c r="H62" i="45"/>
  <c r="N61" i="45"/>
  <c r="F61" i="45"/>
  <c r="J8" i="47"/>
  <c r="G3" i="47"/>
  <c r="G5" i="47"/>
  <c r="G7" i="47"/>
  <c r="G1" i="47"/>
  <c r="I58" i="40"/>
  <c r="D57" i="40"/>
  <c r="H77" i="42"/>
  <c r="M63" i="44"/>
  <c r="M61" i="44"/>
  <c r="K64" i="44"/>
  <c r="O62" i="44"/>
  <c r="D61" i="44"/>
  <c r="J61" i="44"/>
  <c r="K63" i="44"/>
  <c r="K61" i="44"/>
  <c r="M64" i="44"/>
  <c r="L64" i="44"/>
  <c r="G61" i="44"/>
  <c r="M61" i="43"/>
  <c r="K62" i="43"/>
  <c r="D61" i="43"/>
  <c r="O61" i="43"/>
  <c r="I62" i="43"/>
  <c r="F61" i="43"/>
  <c r="I63" i="44"/>
  <c r="M59" i="44"/>
  <c r="L63" i="44"/>
  <c r="N64" i="44"/>
  <c r="E64" i="44"/>
  <c r="G60" i="44"/>
  <c r="I61" i="43"/>
  <c r="G62" i="43"/>
  <c r="N62" i="43"/>
  <c r="K61" i="43"/>
  <c r="E62" i="43"/>
  <c r="H62" i="43"/>
  <c r="J62" i="43"/>
  <c r="P62" i="43" s="1"/>
  <c r="H64" i="44"/>
  <c r="H62" i="44"/>
  <c r="J62" i="44"/>
  <c r="L62" i="44"/>
  <c r="M62" i="44"/>
  <c r="E61" i="44"/>
  <c r="F61" i="44"/>
  <c r="L61" i="44"/>
  <c r="H63" i="44"/>
  <c r="F64" i="44"/>
  <c r="J63" i="44"/>
  <c r="G63" i="44"/>
  <c r="E61" i="43"/>
  <c r="L61" i="43"/>
  <c r="G61" i="43"/>
  <c r="N61" i="43"/>
  <c r="E61" i="40"/>
  <c r="J58" i="44"/>
  <c r="H57" i="44"/>
  <c r="H58" i="44"/>
  <c r="S23" i="43"/>
  <c r="U23" i="43"/>
  <c r="J63" i="40"/>
  <c r="L63" i="40"/>
  <c r="H58" i="45"/>
  <c r="N57" i="45"/>
  <c r="E57" i="45"/>
  <c r="E66" i="45" s="1"/>
  <c r="H57" i="45"/>
  <c r="M60" i="46"/>
  <c r="O60" i="46"/>
  <c r="K59" i="46"/>
  <c r="I59" i="46"/>
  <c r="K60" i="43"/>
  <c r="E63" i="44"/>
  <c r="I64" i="44"/>
  <c r="J64" i="44"/>
  <c r="M64" i="43"/>
  <c r="U25" i="43"/>
  <c r="V25" i="43" s="1"/>
  <c r="U23" i="40"/>
  <c r="E64" i="42"/>
  <c r="F64" i="42"/>
  <c r="P64" i="42" s="1"/>
  <c r="G64" i="42"/>
  <c r="H64" i="42"/>
  <c r="I64" i="42"/>
  <c r="J64" i="42"/>
  <c r="K64" i="42"/>
  <c r="M64" i="42"/>
  <c r="L73" i="42"/>
  <c r="D73" i="42"/>
  <c r="J73" i="42"/>
  <c r="H73" i="42"/>
  <c r="I74" i="42"/>
  <c r="D59" i="40"/>
  <c r="E74" i="42"/>
  <c r="F63" i="42"/>
  <c r="G63" i="42"/>
  <c r="H63" i="42"/>
  <c r="D64" i="44"/>
  <c r="G25" i="44"/>
  <c r="I57" i="43"/>
  <c r="G58" i="43"/>
  <c r="J61" i="43"/>
  <c r="U25" i="46"/>
  <c r="V25" i="46" s="1"/>
  <c r="G25" i="42"/>
  <c r="O25" i="42" s="1"/>
  <c r="H59" i="43"/>
  <c r="U23" i="42"/>
  <c r="V23" i="42" s="1"/>
  <c r="S23" i="46"/>
  <c r="U23" i="46" s="1"/>
  <c r="U25" i="45"/>
  <c r="J66" i="42"/>
  <c r="J82" i="42"/>
  <c r="O82" i="42"/>
  <c r="G25" i="43"/>
  <c r="O25" i="43" s="1"/>
  <c r="O24" i="45"/>
  <c r="A5" i="47" s="1"/>
  <c r="H59" i="44"/>
  <c r="N59" i="44"/>
  <c r="J60" i="44"/>
  <c r="V23" i="43"/>
  <c r="H82" i="42"/>
  <c r="K82" i="42"/>
  <c r="F82" i="42"/>
  <c r="M82" i="42"/>
  <c r="I81" i="42"/>
  <c r="E81" i="42"/>
  <c r="J81" i="42"/>
  <c r="L82" i="42"/>
  <c r="K59" i="43"/>
  <c r="E59" i="43"/>
  <c r="N60" i="43"/>
  <c r="V25" i="48"/>
  <c r="M63" i="43"/>
  <c r="I64" i="43"/>
  <c r="H63" i="43"/>
  <c r="H68" i="43"/>
  <c r="H69" i="43" s="1"/>
  <c r="H34" i="43" s="1"/>
  <c r="D66" i="42"/>
  <c r="K65" i="42"/>
  <c r="I65" i="42"/>
  <c r="J65" i="42"/>
  <c r="N65" i="42"/>
  <c r="N73" i="42"/>
  <c r="M66" i="42"/>
  <c r="I66" i="42"/>
  <c r="G66" i="42"/>
  <c r="G65" i="42"/>
  <c r="G73" i="42"/>
  <c r="D62" i="45"/>
  <c r="P25" i="45"/>
  <c r="AC22" i="43"/>
  <c r="V25" i="42"/>
  <c r="BJ32" i="37"/>
  <c r="O73" i="42"/>
  <c r="I76" i="42"/>
  <c r="K62" i="45"/>
  <c r="O64" i="44"/>
  <c r="P64" i="44"/>
  <c r="E58" i="43"/>
  <c r="L57" i="43"/>
  <c r="N58" i="43"/>
  <c r="N57" i="43"/>
  <c r="N58" i="48"/>
  <c r="D58" i="48"/>
  <c r="J59" i="48"/>
  <c r="V23" i="40"/>
  <c r="D57" i="48"/>
  <c r="F73" i="42"/>
  <c r="N74" i="42"/>
  <c r="K74" i="42"/>
  <c r="F63" i="44"/>
  <c r="V25" i="40"/>
  <c r="N57" i="48"/>
  <c r="I59" i="48"/>
  <c r="F57" i="48"/>
  <c r="M58" i="48"/>
  <c r="I57" i="48"/>
  <c r="H74" i="42"/>
  <c r="J62" i="45"/>
  <c r="M57" i="43"/>
  <c r="O58" i="43"/>
  <c r="V25" i="44"/>
  <c r="F58" i="48"/>
  <c r="L57" i="48"/>
  <c r="G59" i="48"/>
  <c r="E57" i="43"/>
  <c r="K58" i="43"/>
  <c r="V25" i="45"/>
  <c r="K58" i="48"/>
  <c r="I58" i="48"/>
  <c r="O57" i="48"/>
  <c r="D74" i="46" l="1"/>
  <c r="D75" i="46" s="1"/>
  <c r="K58" i="44"/>
  <c r="P63" i="46"/>
  <c r="R63" i="46" s="1"/>
  <c r="N71" i="46"/>
  <c r="N72" i="46" s="1"/>
  <c r="N35" i="46" s="1"/>
  <c r="G63" i="43"/>
  <c r="H64" i="43"/>
  <c r="K63" i="43"/>
  <c r="D64" i="43"/>
  <c r="O64" i="43"/>
  <c r="F63" i="43"/>
  <c r="N63" i="43"/>
  <c r="K64" i="43"/>
  <c r="K65" i="43" s="1"/>
  <c r="K66" i="43" s="1"/>
  <c r="K35" i="43" s="1"/>
  <c r="L63" i="43"/>
  <c r="E64" i="43"/>
  <c r="F64" i="43"/>
  <c r="E63" i="43"/>
  <c r="E68" i="43" s="1"/>
  <c r="E69" i="43" s="1"/>
  <c r="E34" i="43" s="1"/>
  <c r="O63" i="43"/>
  <c r="G61" i="48"/>
  <c r="O61" i="48"/>
  <c r="O62" i="48"/>
  <c r="K60" i="40"/>
  <c r="N60" i="40"/>
  <c r="K59" i="40"/>
  <c r="H59" i="40"/>
  <c r="G60" i="40"/>
  <c r="P60" i="40" s="1"/>
  <c r="Q60" i="40" s="1"/>
  <c r="R60" i="40" s="1"/>
  <c r="O60" i="40"/>
  <c r="M59" i="40"/>
  <c r="O59" i="40"/>
  <c r="J59" i="40"/>
  <c r="I59" i="40"/>
  <c r="P73" i="42"/>
  <c r="J63" i="43"/>
  <c r="L64" i="43"/>
  <c r="O57" i="44"/>
  <c r="N57" i="44"/>
  <c r="L59" i="40"/>
  <c r="F59" i="40"/>
  <c r="F65" i="42"/>
  <c r="H66" i="42"/>
  <c r="L65" i="42"/>
  <c r="H65" i="42"/>
  <c r="D65" i="42"/>
  <c r="N66" i="42"/>
  <c r="O65" i="42"/>
  <c r="K66" i="42"/>
  <c r="M65" i="42"/>
  <c r="E66" i="42"/>
  <c r="E65" i="42"/>
  <c r="O66" i="42"/>
  <c r="F66" i="42"/>
  <c r="F76" i="42"/>
  <c r="J76" i="42"/>
  <c r="F81" i="42"/>
  <c r="D82" i="42"/>
  <c r="H81" i="42"/>
  <c r="N81" i="42"/>
  <c r="D81" i="42"/>
  <c r="P81" i="42" s="1"/>
  <c r="G82" i="42"/>
  <c r="O81" i="42"/>
  <c r="E82" i="42"/>
  <c r="I82" i="42"/>
  <c r="G81" i="42"/>
  <c r="M81" i="42"/>
  <c r="N82" i="42"/>
  <c r="K81" i="42"/>
  <c r="J66" i="45"/>
  <c r="F57" i="46"/>
  <c r="F74" i="46" s="1"/>
  <c r="F75" i="46" s="1"/>
  <c r="F34" i="46" s="1"/>
  <c r="M58" i="46"/>
  <c r="M71" i="46" s="1"/>
  <c r="M72" i="46" s="1"/>
  <c r="M35" i="46" s="1"/>
  <c r="K57" i="46"/>
  <c r="K74" i="46" s="1"/>
  <c r="K75" i="46" s="1"/>
  <c r="K34" i="46" s="1"/>
  <c r="J57" i="46"/>
  <c r="E57" i="46"/>
  <c r="D58" i="46"/>
  <c r="O58" i="46"/>
  <c r="N58" i="46"/>
  <c r="E58" i="46"/>
  <c r="E71" i="46" s="1"/>
  <c r="E72" i="46" s="1"/>
  <c r="E35" i="46" s="1"/>
  <c r="G57" i="46"/>
  <c r="P57" i="46" s="1"/>
  <c r="R57" i="46" s="1"/>
  <c r="L62" i="46"/>
  <c r="L71" i="46" s="1"/>
  <c r="L72" i="46" s="1"/>
  <c r="L35" i="46" s="1"/>
  <c r="E61" i="46"/>
  <c r="I61" i="46"/>
  <c r="P61" i="46" s="1"/>
  <c r="R61" i="46" s="1"/>
  <c r="G62" i="46"/>
  <c r="G71" i="46" s="1"/>
  <c r="G72" i="46" s="1"/>
  <c r="G35" i="46" s="1"/>
  <c r="J62" i="46"/>
  <c r="D62" i="46"/>
  <c r="L61" i="46"/>
  <c r="L74" i="46" s="1"/>
  <c r="L75" i="46" s="1"/>
  <c r="L34" i="46" s="1"/>
  <c r="M61" i="46"/>
  <c r="M74" i="46" s="1"/>
  <c r="M75" i="46" s="1"/>
  <c r="M34" i="46" s="1"/>
  <c r="K62" i="46"/>
  <c r="N62" i="46"/>
  <c r="I62" i="46"/>
  <c r="H62" i="46"/>
  <c r="H71" i="46" s="1"/>
  <c r="H72" i="46" s="1"/>
  <c r="D61" i="46"/>
  <c r="M62" i="46"/>
  <c r="D66" i="46"/>
  <c r="P66" i="46" s="1"/>
  <c r="Q66" i="46" s="1"/>
  <c r="R66" i="46" s="1"/>
  <c r="G66" i="46"/>
  <c r="F66" i="46"/>
  <c r="M65" i="46"/>
  <c r="H66" i="46"/>
  <c r="E65" i="46"/>
  <c r="D65" i="46"/>
  <c r="J65" i="46"/>
  <c r="I65" i="46"/>
  <c r="H65" i="46"/>
  <c r="H74" i="46" s="1"/>
  <c r="H75" i="46" s="1"/>
  <c r="H34" i="46" s="1"/>
  <c r="O65" i="46"/>
  <c r="J66" i="46"/>
  <c r="N65" i="46"/>
  <c r="N74" i="46" s="1"/>
  <c r="N75" i="46" s="1"/>
  <c r="N34" i="46" s="1"/>
  <c r="G65" i="46"/>
  <c r="F70" i="46"/>
  <c r="M70" i="46"/>
  <c r="D70" i="46"/>
  <c r="P70" i="46" s="1"/>
  <c r="Q70" i="46" s="1"/>
  <c r="E69" i="46"/>
  <c r="F69" i="46"/>
  <c r="H69" i="46"/>
  <c r="E70" i="46"/>
  <c r="J69" i="46"/>
  <c r="L69" i="46"/>
  <c r="I70" i="46"/>
  <c r="I69" i="46"/>
  <c r="F57" i="43"/>
  <c r="M58" i="43"/>
  <c r="F58" i="43"/>
  <c r="J58" i="43"/>
  <c r="AU13" i="36"/>
  <c r="AY13" i="36"/>
  <c r="M60" i="40"/>
  <c r="J60" i="40"/>
  <c r="O74" i="46"/>
  <c r="O75" i="46" s="1"/>
  <c r="O34" i="46" s="1"/>
  <c r="D57" i="44"/>
  <c r="O58" i="44"/>
  <c r="J57" i="44"/>
  <c r="G58" i="44"/>
  <c r="G65" i="44" s="1"/>
  <c r="G66" i="44" s="1"/>
  <c r="K57" i="44"/>
  <c r="E58" i="44"/>
  <c r="I58" i="44"/>
  <c r="F57" i="44"/>
  <c r="L58" i="44"/>
  <c r="E57" i="44"/>
  <c r="L57" i="44"/>
  <c r="D58" i="44"/>
  <c r="P58" i="44" s="1"/>
  <c r="G57" i="44"/>
  <c r="M58" i="44"/>
  <c r="P62" i="44"/>
  <c r="O66" i="48"/>
  <c r="O67" i="48" s="1"/>
  <c r="O34" i="48" s="1"/>
  <c r="I63" i="43"/>
  <c r="J64" i="43"/>
  <c r="K68" i="43"/>
  <c r="K69" i="43" s="1"/>
  <c r="K34" i="43" s="1"/>
  <c r="G64" i="43"/>
  <c r="I74" i="46"/>
  <c r="I75" i="46" s="1"/>
  <c r="I34" i="46" s="1"/>
  <c r="M57" i="44"/>
  <c r="M68" i="44" s="1"/>
  <c r="M69" i="44" s="1"/>
  <c r="M34" i="44" s="1"/>
  <c r="N58" i="44"/>
  <c r="H60" i="40"/>
  <c r="I57" i="44"/>
  <c r="P69" i="46"/>
  <c r="R69" i="46" s="1"/>
  <c r="K71" i="46"/>
  <c r="K72" i="46" s="1"/>
  <c r="K35" i="46" s="1"/>
  <c r="E59" i="40"/>
  <c r="I60" i="40"/>
  <c r="N59" i="40"/>
  <c r="L60" i="40"/>
  <c r="P61" i="43"/>
  <c r="P25" i="44"/>
  <c r="O71" i="46"/>
  <c r="O72" i="46" s="1"/>
  <c r="O35" i="46" s="1"/>
  <c r="I63" i="45"/>
  <c r="I64" i="45" s="1"/>
  <c r="I35" i="45" s="1"/>
  <c r="P71" i="42"/>
  <c r="P72" i="42"/>
  <c r="N68" i="44"/>
  <c r="N69" i="44" s="1"/>
  <c r="N34" i="44" s="1"/>
  <c r="P80" i="42"/>
  <c r="P79" i="42"/>
  <c r="P74" i="42"/>
  <c r="P63" i="42"/>
  <c r="P69" i="42"/>
  <c r="I61" i="44"/>
  <c r="H61" i="44"/>
  <c r="P61" i="44" s="1"/>
  <c r="L60" i="48"/>
  <c r="H60" i="48"/>
  <c r="P60" i="48" s="1"/>
  <c r="D60" i="48"/>
  <c r="L59" i="48"/>
  <c r="J71" i="46"/>
  <c r="J72" i="46" s="1"/>
  <c r="J35" i="46" s="1"/>
  <c r="D34" i="46"/>
  <c r="AC25" i="48"/>
  <c r="E59" i="44"/>
  <c r="E68" i="44" s="1"/>
  <c r="E69" i="44" s="1"/>
  <c r="E34" i="44" s="1"/>
  <c r="L60" i="44"/>
  <c r="L65" i="44" s="1"/>
  <c r="L66" i="44" s="1"/>
  <c r="L35" i="44" s="1"/>
  <c r="K60" i="44"/>
  <c r="K65" i="44" s="1"/>
  <c r="K66" i="44" s="1"/>
  <c r="K35" i="44" s="1"/>
  <c r="G59" i="44"/>
  <c r="G68" i="44" s="1"/>
  <c r="G69" i="44" s="1"/>
  <c r="G34" i="44" s="1"/>
  <c r="L59" i="44"/>
  <c r="O59" i="44"/>
  <c r="O68" i="44" s="1"/>
  <c r="O69" i="44" s="1"/>
  <c r="O34" i="44" s="1"/>
  <c r="O60" i="44"/>
  <c r="O65" i="44" s="1"/>
  <c r="O66" i="44" s="1"/>
  <c r="O35" i="44" s="1"/>
  <c r="D60" i="44"/>
  <c r="J60" i="43"/>
  <c r="D60" i="43"/>
  <c r="H60" i="43"/>
  <c r="M59" i="43"/>
  <c r="M68" i="43" s="1"/>
  <c r="M69" i="43" s="1"/>
  <c r="M34" i="43" s="1"/>
  <c r="F59" i="43"/>
  <c r="J59" i="43"/>
  <c r="I59" i="43"/>
  <c r="I68" i="43" s="1"/>
  <c r="I69" i="43" s="1"/>
  <c r="I34" i="43" s="1"/>
  <c r="O59" i="43"/>
  <c r="G59" i="43"/>
  <c r="S23" i="45"/>
  <c r="U23" i="45" s="1"/>
  <c r="W25" i="42"/>
  <c r="AD25" i="42" s="1"/>
  <c r="P68" i="40"/>
  <c r="Q68" i="40" s="1"/>
  <c r="O78" i="42"/>
  <c r="P63" i="44"/>
  <c r="N63" i="48"/>
  <c r="N64" i="48" s="1"/>
  <c r="N35" i="48" s="1"/>
  <c r="F60" i="44"/>
  <c r="F65" i="44" s="1"/>
  <c r="F66" i="44" s="1"/>
  <c r="F35" i="44" s="1"/>
  <c r="I59" i="44"/>
  <c r="N60" i="44"/>
  <c r="N65" i="44" s="1"/>
  <c r="N66" i="44" s="1"/>
  <c r="N35" i="44" s="1"/>
  <c r="L59" i="43"/>
  <c r="L68" i="43" s="1"/>
  <c r="L69" i="43" s="1"/>
  <c r="L34" i="43" s="1"/>
  <c r="M60" i="43"/>
  <c r="M65" i="43" s="1"/>
  <c r="M66" i="43" s="1"/>
  <c r="M35" i="43" s="1"/>
  <c r="O25" i="44"/>
  <c r="O60" i="43"/>
  <c r="H68" i="44"/>
  <c r="H69" i="44" s="1"/>
  <c r="H34" i="44" s="1"/>
  <c r="P64" i="46"/>
  <c r="G57" i="48"/>
  <c r="G66" i="48" s="1"/>
  <c r="G67" i="48" s="1"/>
  <c r="G34" i="48" s="1"/>
  <c r="M57" i="48"/>
  <c r="L58" i="48"/>
  <c r="H57" i="48"/>
  <c r="G58" i="48"/>
  <c r="E57" i="48"/>
  <c r="J57" i="48"/>
  <c r="O58" i="48"/>
  <c r="E58" i="48"/>
  <c r="K57" i="48"/>
  <c r="K66" i="48" s="1"/>
  <c r="K67" i="48" s="1"/>
  <c r="K34" i="48" s="1"/>
  <c r="J58" i="48"/>
  <c r="H58" i="48"/>
  <c r="J59" i="44"/>
  <c r="J68" i="44" s="1"/>
  <c r="J69" i="44" s="1"/>
  <c r="J34" i="44" s="1"/>
  <c r="M60" i="44"/>
  <c r="M65" i="44" s="1"/>
  <c r="M66" i="44" s="1"/>
  <c r="M35" i="44" s="1"/>
  <c r="E60" i="44"/>
  <c r="E65" i="44" s="1"/>
  <c r="E66" i="44" s="1"/>
  <c r="E35" i="44" s="1"/>
  <c r="K68" i="42"/>
  <c r="G68" i="42"/>
  <c r="I67" i="42"/>
  <c r="L68" i="42"/>
  <c r="I77" i="42"/>
  <c r="D77" i="42"/>
  <c r="N78" i="42"/>
  <c r="D78" i="42"/>
  <c r="K77" i="42"/>
  <c r="F78" i="42"/>
  <c r="E77" i="42"/>
  <c r="I78" i="42"/>
  <c r="E78" i="42"/>
  <c r="M77" i="42"/>
  <c r="G77" i="42"/>
  <c r="J78" i="42"/>
  <c r="G78" i="42"/>
  <c r="M78" i="42"/>
  <c r="O77" i="42"/>
  <c r="F77" i="42"/>
  <c r="H78" i="42"/>
  <c r="P62" i="45"/>
  <c r="Q62" i="45" s="1"/>
  <c r="I60" i="44"/>
  <c r="V23" i="46"/>
  <c r="N77" i="42"/>
  <c r="I60" i="43"/>
  <c r="L77" i="42"/>
  <c r="J75" i="42"/>
  <c r="D75" i="42"/>
  <c r="H75" i="42"/>
  <c r="O76" i="42"/>
  <c r="M76" i="42"/>
  <c r="G75" i="42"/>
  <c r="E76" i="42"/>
  <c r="F75" i="42"/>
  <c r="E75" i="42"/>
  <c r="N75" i="42"/>
  <c r="K76" i="42"/>
  <c r="N76" i="42"/>
  <c r="M75" i="42"/>
  <c r="L75" i="42"/>
  <c r="K75" i="42"/>
  <c r="D76" i="42"/>
  <c r="G76" i="42"/>
  <c r="O75" i="42"/>
  <c r="H76" i="42"/>
  <c r="I75" i="42"/>
  <c r="L76" i="42"/>
  <c r="F71" i="46"/>
  <c r="F72" i="46" s="1"/>
  <c r="F35" i="46" s="1"/>
  <c r="P69" i="40"/>
  <c r="R69" i="40" s="1"/>
  <c r="N65" i="43"/>
  <c r="N66" i="43" s="1"/>
  <c r="N35" i="43" s="1"/>
  <c r="L78" i="42"/>
  <c r="E60" i="43"/>
  <c r="E65" i="43" s="1"/>
  <c r="E66" i="43" s="1"/>
  <c r="E35" i="43" s="1"/>
  <c r="N59" i="43"/>
  <c r="N68" i="43" s="1"/>
  <c r="N69" i="43" s="1"/>
  <c r="N34" i="43" s="1"/>
  <c r="P59" i="46"/>
  <c r="R59" i="46" s="1"/>
  <c r="D59" i="44"/>
  <c r="F59" i="44"/>
  <c r="K59" i="44"/>
  <c r="K68" i="44" s="1"/>
  <c r="K69" i="44" s="1"/>
  <c r="K34" i="44" s="1"/>
  <c r="H60" i="44"/>
  <c r="H65" i="44" s="1"/>
  <c r="H66" i="44" s="1"/>
  <c r="H35" i="44" s="1"/>
  <c r="P60" i="46"/>
  <c r="Q60" i="46" s="1"/>
  <c r="R60" i="46" s="1"/>
  <c r="F60" i="43"/>
  <c r="F65" i="43" s="1"/>
  <c r="F66" i="43" s="1"/>
  <c r="F35" i="43" s="1"/>
  <c r="G60" i="43"/>
  <c r="G65" i="43" s="1"/>
  <c r="G66" i="43" s="1"/>
  <c r="G35" i="43" s="1"/>
  <c r="K78" i="42"/>
  <c r="D59" i="43"/>
  <c r="L60" i="43"/>
  <c r="AC23" i="40"/>
  <c r="G25" i="40"/>
  <c r="P25" i="43"/>
  <c r="K62" i="48"/>
  <c r="K63" i="48" s="1"/>
  <c r="K64" i="48" s="1"/>
  <c r="K35" i="48" s="1"/>
  <c r="L63" i="45"/>
  <c r="U23" i="48"/>
  <c r="O24" i="48"/>
  <c r="D61" i="48"/>
  <c r="H61" i="48"/>
  <c r="L61" i="48"/>
  <c r="L66" i="48" s="1"/>
  <c r="L67" i="48" s="1"/>
  <c r="L34" i="48" s="1"/>
  <c r="D62" i="48"/>
  <c r="G62" i="48"/>
  <c r="H62" i="48"/>
  <c r="E61" i="48"/>
  <c r="I61" i="48"/>
  <c r="I66" i="48" s="1"/>
  <c r="I67" i="48" s="1"/>
  <c r="I34" i="48" s="1"/>
  <c r="M61" i="48"/>
  <c r="E62" i="48"/>
  <c r="I62" i="48"/>
  <c r="I63" i="48" s="1"/>
  <c r="I64" i="48" s="1"/>
  <c r="L62" i="48"/>
  <c r="M62" i="48"/>
  <c r="M63" i="48" s="1"/>
  <c r="M64" i="48" s="1"/>
  <c r="M35" i="48" s="1"/>
  <c r="F61" i="48"/>
  <c r="J61" i="48"/>
  <c r="N61" i="48"/>
  <c r="N66" i="48" s="1"/>
  <c r="N67" i="48" s="1"/>
  <c r="N34" i="48" s="1"/>
  <c r="F62" i="48"/>
  <c r="F63" i="48" s="1"/>
  <c r="F64" i="48" s="1"/>
  <c r="F35" i="48" s="1"/>
  <c r="J62" i="48"/>
  <c r="N62" i="48"/>
  <c r="D58" i="40"/>
  <c r="G58" i="40"/>
  <c r="J58" i="40"/>
  <c r="M57" i="40"/>
  <c r="E57" i="40"/>
  <c r="K57" i="40"/>
  <c r="K74" i="40" s="1"/>
  <c r="K75" i="40" s="1"/>
  <c r="K34" i="40" s="1"/>
  <c r="F58" i="40"/>
  <c r="O58" i="40"/>
  <c r="G57" i="40"/>
  <c r="G74" i="40" s="1"/>
  <c r="G75" i="40" s="1"/>
  <c r="G34" i="40" s="1"/>
  <c r="J57" i="40"/>
  <c r="J74" i="40" s="1"/>
  <c r="J75" i="40" s="1"/>
  <c r="J34" i="40" s="1"/>
  <c r="I57" i="40"/>
  <c r="L57" i="40"/>
  <c r="E58" i="40"/>
  <c r="E71" i="40" s="1"/>
  <c r="E72" i="40" s="1"/>
  <c r="E35" i="40" s="1"/>
  <c r="M58" i="40"/>
  <c r="M71" i="40" s="1"/>
  <c r="M72" i="40" s="1"/>
  <c r="M35" i="40" s="1"/>
  <c r="N58" i="40"/>
  <c r="O57" i="40"/>
  <c r="F57" i="40"/>
  <c r="F74" i="40" s="1"/>
  <c r="F75" i="40" s="1"/>
  <c r="F34" i="40" s="1"/>
  <c r="H57" i="40"/>
  <c r="H58" i="40"/>
  <c r="J74" i="46"/>
  <c r="J75" i="46" s="1"/>
  <c r="J34" i="46" s="1"/>
  <c r="G25" i="48"/>
  <c r="P25" i="48" s="1"/>
  <c r="O25" i="48"/>
  <c r="D62" i="40"/>
  <c r="D71" i="40" s="1"/>
  <c r="D72" i="40" s="1"/>
  <c r="D35" i="40" s="1"/>
  <c r="E62" i="40"/>
  <c r="M62" i="40"/>
  <c r="N62" i="40"/>
  <c r="N71" i="40" s="1"/>
  <c r="N72" i="40" s="1"/>
  <c r="N35" i="40" s="1"/>
  <c r="O61" i="40"/>
  <c r="K61" i="40"/>
  <c r="J61" i="40"/>
  <c r="K62" i="40"/>
  <c r="L62" i="40"/>
  <c r="L71" i="40" s="1"/>
  <c r="L72" i="40" s="1"/>
  <c r="L35" i="40" s="1"/>
  <c r="N61" i="40"/>
  <c r="I62" i="40"/>
  <c r="D61" i="40"/>
  <c r="L61" i="40"/>
  <c r="G62" i="40"/>
  <c r="J62" i="40"/>
  <c r="M61" i="40"/>
  <c r="M74" i="40" s="1"/>
  <c r="M75" i="40" s="1"/>
  <c r="M34" i="40" s="1"/>
  <c r="I61" i="40"/>
  <c r="I74" i="40" s="1"/>
  <c r="I75" i="40" s="1"/>
  <c r="I34" i="40" s="1"/>
  <c r="H61" i="40"/>
  <c r="H62" i="40"/>
  <c r="P57" i="45"/>
  <c r="R57" i="45" s="1"/>
  <c r="P62" i="46"/>
  <c r="P25" i="42"/>
  <c r="D63" i="43"/>
  <c r="D57" i="43"/>
  <c r="O57" i="43"/>
  <c r="W25" i="43"/>
  <c r="AC25" i="43" s="1"/>
  <c r="AD25" i="43"/>
  <c r="L58" i="43"/>
  <c r="L65" i="43" s="1"/>
  <c r="L66" i="43" s="1"/>
  <c r="L35" i="43" s="1"/>
  <c r="W23" i="42"/>
  <c r="AC23" i="42" s="1"/>
  <c r="AD23" i="42"/>
  <c r="W23" i="46"/>
  <c r="AD23" i="46" s="1"/>
  <c r="W25" i="44"/>
  <c r="AC25" i="44" s="1"/>
  <c r="W25" i="48"/>
  <c r="AD25" i="48"/>
  <c r="D59" i="48"/>
  <c r="K66" i="45"/>
  <c r="D66" i="45"/>
  <c r="D67" i="45" s="1"/>
  <c r="D34" i="45" s="1"/>
  <c r="H71" i="40"/>
  <c r="H72" i="40" s="1"/>
  <c r="P68" i="46"/>
  <c r="P70" i="42"/>
  <c r="W23" i="40"/>
  <c r="AD23" i="40"/>
  <c r="W25" i="46"/>
  <c r="AC25" i="46" s="1"/>
  <c r="AD25" i="46"/>
  <c r="F71" i="40"/>
  <c r="F72" i="40" s="1"/>
  <c r="F35" i="40" s="1"/>
  <c r="P64" i="40"/>
  <c r="P67" i="40"/>
  <c r="R67" i="40" s="1"/>
  <c r="P63" i="40"/>
  <c r="R63" i="40" s="1"/>
  <c r="G66" i="45"/>
  <c r="G67" i="45" s="1"/>
  <c r="G34" i="45" s="1"/>
  <c r="P65" i="40"/>
  <c r="R65" i="40" s="1"/>
  <c r="H58" i="43"/>
  <c r="I58" i="43"/>
  <c r="I65" i="43" s="1"/>
  <c r="I66" i="43" s="1"/>
  <c r="W23" i="43"/>
  <c r="AC23" i="43" s="1"/>
  <c r="W23" i="44"/>
  <c r="AC23" i="44" s="1"/>
  <c r="W25" i="45"/>
  <c r="AD25" i="45" s="1"/>
  <c r="W25" i="40"/>
  <c r="AC25" i="40" s="1"/>
  <c r="F59" i="48"/>
  <c r="F66" i="48" s="1"/>
  <c r="F67" i="48" s="1"/>
  <c r="F34" i="48" s="1"/>
  <c r="O71" i="40"/>
  <c r="O72" i="40" s="1"/>
  <c r="O35" i="40" s="1"/>
  <c r="P70" i="40"/>
  <c r="Q70" i="40" s="1"/>
  <c r="A2" i="47"/>
  <c r="C2" i="47" s="1"/>
  <c r="J65" i="44"/>
  <c r="J66" i="44" s="1"/>
  <c r="J35" i="44" s="1"/>
  <c r="J68" i="42"/>
  <c r="J83" i="42" s="1"/>
  <c r="J84" i="42" s="1"/>
  <c r="J35" i="42" s="1"/>
  <c r="O67" i="42"/>
  <c r="O86" i="42" s="1"/>
  <c r="O87" i="42" s="1"/>
  <c r="O34" i="42" s="1"/>
  <c r="H68" i="42"/>
  <c r="G67" i="42"/>
  <c r="D68" i="42"/>
  <c r="E67" i="42"/>
  <c r="I68" i="42"/>
  <c r="M68" i="42"/>
  <c r="N67" i="42"/>
  <c r="N68" i="42"/>
  <c r="F67" i="42"/>
  <c r="E68" i="42"/>
  <c r="D67" i="42"/>
  <c r="L67" i="42"/>
  <c r="L86" i="42" s="1"/>
  <c r="L87" i="42" s="1"/>
  <c r="L34" i="42" s="1"/>
  <c r="M67" i="42"/>
  <c r="F68" i="42"/>
  <c r="O68" i="42"/>
  <c r="J67" i="42"/>
  <c r="K67" i="42"/>
  <c r="H67" i="42"/>
  <c r="Q68" i="46"/>
  <c r="I71" i="46"/>
  <c r="I72" i="46" s="1"/>
  <c r="I35" i="46" s="1"/>
  <c r="H66" i="45"/>
  <c r="K67" i="45"/>
  <c r="K34" i="45" s="1"/>
  <c r="N64" i="45"/>
  <c r="N35" i="45" s="1"/>
  <c r="P60" i="45"/>
  <c r="Q60" i="45" s="1"/>
  <c r="R60" i="45" s="1"/>
  <c r="J67" i="45"/>
  <c r="J34" i="45" s="1"/>
  <c r="P58" i="45"/>
  <c r="Q58" i="45" s="1"/>
  <c r="R58" i="45" s="1"/>
  <c r="M66" i="45"/>
  <c r="M67" i="45" s="1"/>
  <c r="M34" i="45" s="1"/>
  <c r="O63" i="45"/>
  <c r="F66" i="45"/>
  <c r="G63" i="45"/>
  <c r="G64" i="45" s="1"/>
  <c r="G35" i="45" s="1"/>
  <c r="E67" i="45"/>
  <c r="E34" i="45" s="1"/>
  <c r="L64" i="45"/>
  <c r="L35" i="45" s="1"/>
  <c r="R62" i="45"/>
  <c r="P59" i="45"/>
  <c r="R59" i="45" s="1"/>
  <c r="C5" i="47"/>
  <c r="H63" i="45"/>
  <c r="H64" i="45" s="1"/>
  <c r="K63" i="45"/>
  <c r="K64" i="45" s="1"/>
  <c r="K35" i="45" s="1"/>
  <c r="C22" i="46"/>
  <c r="O22" i="46" s="1"/>
  <c r="I66" i="45"/>
  <c r="I67" i="45" s="1"/>
  <c r="I34" i="45" s="1"/>
  <c r="J63" i="45"/>
  <c r="J64" i="45" s="1"/>
  <c r="J35" i="45" s="1"/>
  <c r="O64" i="45"/>
  <c r="O35" i="45" s="1"/>
  <c r="M63" i="45"/>
  <c r="M64" i="45" s="1"/>
  <c r="M35" i="45" s="1"/>
  <c r="V23" i="45"/>
  <c r="D63" i="45"/>
  <c r="D64" i="45" s="1"/>
  <c r="P61" i="45"/>
  <c r="R61" i="45" s="1"/>
  <c r="H67" i="45"/>
  <c r="H34" i="45" s="1"/>
  <c r="F63" i="45"/>
  <c r="F64" i="45" s="1"/>
  <c r="F35" i="45" s="1"/>
  <c r="N66" i="45"/>
  <c r="N67" i="45" s="1"/>
  <c r="N34" i="45" s="1"/>
  <c r="L66" i="45"/>
  <c r="L67" i="45" s="1"/>
  <c r="L34" i="45" s="1"/>
  <c r="E63" i="45"/>
  <c r="E64" i="45" s="1"/>
  <c r="E35" i="45" s="1"/>
  <c r="Q64" i="40"/>
  <c r="D74" i="40"/>
  <c r="P66" i="40"/>
  <c r="R68" i="40"/>
  <c r="R64" i="40" l="1"/>
  <c r="D71" i="46"/>
  <c r="D72" i="46" s="1"/>
  <c r="D35" i="46" s="1"/>
  <c r="P35" i="46" s="1"/>
  <c r="P58" i="46"/>
  <c r="Q58" i="46" s="1"/>
  <c r="R58" i="46" s="1"/>
  <c r="P63" i="43"/>
  <c r="P57" i="40"/>
  <c r="R57" i="40" s="1"/>
  <c r="F68" i="44"/>
  <c r="F69" i="44" s="1"/>
  <c r="F34" i="44" s="1"/>
  <c r="O65" i="43"/>
  <c r="O66" i="43" s="1"/>
  <c r="O35" i="43" s="1"/>
  <c r="G74" i="46"/>
  <c r="G75" i="46" s="1"/>
  <c r="G34" i="46" s="1"/>
  <c r="E74" i="46"/>
  <c r="P64" i="43"/>
  <c r="H86" i="42"/>
  <c r="H87" i="42" s="1"/>
  <c r="H34" i="42" s="1"/>
  <c r="E83" i="42"/>
  <c r="E84" i="42" s="1"/>
  <c r="E35" i="42" s="1"/>
  <c r="M83" i="42"/>
  <c r="M84" i="42" s="1"/>
  <c r="M35" i="42" s="1"/>
  <c r="G86" i="42"/>
  <c r="G87" i="42" s="1"/>
  <c r="G34" i="42" s="1"/>
  <c r="I71" i="40"/>
  <c r="I72" i="40" s="1"/>
  <c r="O74" i="40"/>
  <c r="O75" i="40" s="1"/>
  <c r="O34" i="40" s="1"/>
  <c r="P59" i="43"/>
  <c r="AC25" i="42"/>
  <c r="I65" i="44"/>
  <c r="I66" i="44" s="1"/>
  <c r="G63" i="48"/>
  <c r="G64" i="48" s="1"/>
  <c r="G35" i="48" s="1"/>
  <c r="I68" i="44"/>
  <c r="I69" i="44" s="1"/>
  <c r="I34" i="44" s="1"/>
  <c r="J68" i="43"/>
  <c r="J69" i="43" s="1"/>
  <c r="J34" i="43" s="1"/>
  <c r="P66" i="42"/>
  <c r="P59" i="40"/>
  <c r="R59" i="40" s="1"/>
  <c r="K71" i="40"/>
  <c r="K72" i="40" s="1"/>
  <c r="K35" i="40" s="1"/>
  <c r="AC23" i="46"/>
  <c r="P57" i="44"/>
  <c r="P82" i="42"/>
  <c r="E74" i="40"/>
  <c r="E75" i="40" s="1"/>
  <c r="E34" i="40" s="1"/>
  <c r="K86" i="42"/>
  <c r="K87" i="42" s="1"/>
  <c r="K34" i="42" s="1"/>
  <c r="F86" i="42"/>
  <c r="F87" i="42" s="1"/>
  <c r="F34" i="42" s="1"/>
  <c r="I83" i="42"/>
  <c r="I84" i="42" s="1"/>
  <c r="I35" i="42" s="1"/>
  <c r="AD23" i="43"/>
  <c r="AD25" i="44"/>
  <c r="O68" i="43"/>
  <c r="O69" i="43" s="1"/>
  <c r="O34" i="43" s="1"/>
  <c r="N74" i="40"/>
  <c r="N75" i="40" s="1"/>
  <c r="N34" i="40" s="1"/>
  <c r="H25" i="40"/>
  <c r="O25" i="40" s="1"/>
  <c r="O63" i="48"/>
  <c r="O64" i="48" s="1"/>
  <c r="O35" i="48" s="1"/>
  <c r="G68" i="43"/>
  <c r="G69" i="43" s="1"/>
  <c r="G34" i="43" s="1"/>
  <c r="F68" i="43"/>
  <c r="F69" i="43" s="1"/>
  <c r="F34" i="43" s="1"/>
  <c r="J65" i="43"/>
  <c r="J66" i="43" s="1"/>
  <c r="J35" i="43" s="1"/>
  <c r="L68" i="44"/>
  <c r="L69" i="44" s="1"/>
  <c r="L34" i="44" s="1"/>
  <c r="P65" i="46"/>
  <c r="R65" i="46" s="1"/>
  <c r="P65" i="42"/>
  <c r="R70" i="40"/>
  <c r="J71" i="40"/>
  <c r="J72" i="40" s="1"/>
  <c r="J35" i="40" s="1"/>
  <c r="R70" i="46"/>
  <c r="R68" i="46"/>
  <c r="Q62" i="46"/>
  <c r="R62" i="46" s="1"/>
  <c r="H74" i="40"/>
  <c r="H75" i="40" s="1"/>
  <c r="H34" i="40" s="1"/>
  <c r="G83" i="42"/>
  <c r="G84" i="42" s="1"/>
  <c r="G35" i="42" s="1"/>
  <c r="E63" i="48"/>
  <c r="E64" i="48" s="1"/>
  <c r="E35" i="48" s="1"/>
  <c r="W23" i="45"/>
  <c r="AC23" i="45" s="1"/>
  <c r="P71" i="46"/>
  <c r="R71" i="46" s="1"/>
  <c r="M86" i="42"/>
  <c r="M87" i="42" s="1"/>
  <c r="M34" i="42" s="1"/>
  <c r="P62" i="40"/>
  <c r="P58" i="40"/>
  <c r="H63" i="48"/>
  <c r="H64" i="48" s="1"/>
  <c r="H66" i="48"/>
  <c r="H67" i="48" s="1"/>
  <c r="H34" i="48" s="1"/>
  <c r="P60" i="43"/>
  <c r="D65" i="43"/>
  <c r="D66" i="43" s="1"/>
  <c r="D35" i="43" s="1"/>
  <c r="P35" i="43" s="1"/>
  <c r="P66" i="45"/>
  <c r="J86" i="42"/>
  <c r="J87" i="42" s="1"/>
  <c r="J34" i="42" s="1"/>
  <c r="N83" i="42"/>
  <c r="N84" i="42" s="1"/>
  <c r="N35" i="42" s="1"/>
  <c r="E86" i="42"/>
  <c r="E87" i="42" s="1"/>
  <c r="E34" i="42" s="1"/>
  <c r="AD25" i="40"/>
  <c r="AD23" i="44"/>
  <c r="H65" i="43"/>
  <c r="H66" i="43" s="1"/>
  <c r="P61" i="40"/>
  <c r="R61" i="40" s="1"/>
  <c r="L74" i="40"/>
  <c r="L75" i="40" s="1"/>
  <c r="L34" i="40" s="1"/>
  <c r="P62" i="48"/>
  <c r="D63" i="48"/>
  <c r="D64" i="48" s="1"/>
  <c r="P78" i="42"/>
  <c r="L83" i="42"/>
  <c r="L84" i="42" s="1"/>
  <c r="L35" i="42" s="1"/>
  <c r="J63" i="48"/>
  <c r="J64" i="48" s="1"/>
  <c r="J35" i="48" s="1"/>
  <c r="J66" i="48"/>
  <c r="J67" i="48" s="1"/>
  <c r="J34" i="48" s="1"/>
  <c r="L63" i="48"/>
  <c r="L64" i="48" s="1"/>
  <c r="L35" i="48" s="1"/>
  <c r="P58" i="48"/>
  <c r="D68" i="43"/>
  <c r="P57" i="43"/>
  <c r="G71" i="40"/>
  <c r="G72" i="40" s="1"/>
  <c r="G35" i="40" s="1"/>
  <c r="P59" i="44"/>
  <c r="D68" i="44"/>
  <c r="P77" i="42"/>
  <c r="AC25" i="45"/>
  <c r="H83" i="42"/>
  <c r="H84" i="42" s="1"/>
  <c r="H35" i="42" s="1"/>
  <c r="P61" i="48"/>
  <c r="R61" i="48" s="1"/>
  <c r="P76" i="42"/>
  <c r="K83" i="42"/>
  <c r="K84" i="42" s="1"/>
  <c r="K35" i="42" s="1"/>
  <c r="Q64" i="46"/>
  <c r="R64" i="46" s="1"/>
  <c r="F67" i="45"/>
  <c r="F34" i="45" s="1"/>
  <c r="P34" i="45" s="1"/>
  <c r="O83" i="42"/>
  <c r="O84" i="42" s="1"/>
  <c r="O35" i="42" s="1"/>
  <c r="N86" i="42"/>
  <c r="N87" i="42" s="1"/>
  <c r="N34" i="42" s="1"/>
  <c r="D83" i="42"/>
  <c r="D84" i="42" s="1"/>
  <c r="D35" i="42" s="1"/>
  <c r="A8" i="47"/>
  <c r="C8" i="47" s="1"/>
  <c r="D66" i="48"/>
  <c r="P59" i="48"/>
  <c r="R59" i="48" s="1"/>
  <c r="Q60" i="48"/>
  <c r="R60" i="48"/>
  <c r="V23" i="48"/>
  <c r="P75" i="42"/>
  <c r="I86" i="42"/>
  <c r="I87" i="42" s="1"/>
  <c r="I34" i="42" s="1"/>
  <c r="E66" i="48"/>
  <c r="E67" i="48" s="1"/>
  <c r="E34" i="48" s="1"/>
  <c r="P57" i="48"/>
  <c r="R57" i="48" s="1"/>
  <c r="M66" i="48"/>
  <c r="M67" i="48" s="1"/>
  <c r="M34" i="48" s="1"/>
  <c r="D65" i="44"/>
  <c r="D66" i="44" s="1"/>
  <c r="D35" i="44" s="1"/>
  <c r="P35" i="44" s="1"/>
  <c r="P60" i="44"/>
  <c r="P65" i="44" s="1"/>
  <c r="P58" i="43"/>
  <c r="P68" i="42"/>
  <c r="F83" i="42"/>
  <c r="F84" i="42" s="1"/>
  <c r="P67" i="42"/>
  <c r="D86" i="42"/>
  <c r="P63" i="45"/>
  <c r="R63" i="45" s="1"/>
  <c r="P64" i="45"/>
  <c r="D35" i="45"/>
  <c r="P35" i="45" s="1"/>
  <c r="Q66" i="40"/>
  <c r="R66" i="40" s="1"/>
  <c r="D75" i="40"/>
  <c r="P67" i="45" l="1"/>
  <c r="AD23" i="45"/>
  <c r="P25" i="40"/>
  <c r="E75" i="46"/>
  <c r="P74" i="46"/>
  <c r="P83" i="42"/>
  <c r="P66" i="43"/>
  <c r="P72" i="46"/>
  <c r="P74" i="40"/>
  <c r="P35" i="40"/>
  <c r="P71" i="40"/>
  <c r="R71" i="40" s="1"/>
  <c r="P72" i="40"/>
  <c r="Q58" i="48"/>
  <c r="R58" i="48" s="1"/>
  <c r="P63" i="48"/>
  <c r="R63" i="48" s="1"/>
  <c r="Q62" i="48"/>
  <c r="R62" i="48" s="1"/>
  <c r="P64" i="48"/>
  <c r="D35" i="48"/>
  <c r="P35" i="48" s="1"/>
  <c r="Q62" i="40"/>
  <c r="R62" i="40" s="1"/>
  <c r="P65" i="43"/>
  <c r="D69" i="44"/>
  <c r="P68" i="44"/>
  <c r="D69" i="43"/>
  <c r="P68" i="43"/>
  <c r="W23" i="48"/>
  <c r="AC23" i="48" s="1"/>
  <c r="P66" i="48"/>
  <c r="D67" i="48"/>
  <c r="P66" i="44"/>
  <c r="Q58" i="40"/>
  <c r="R58" i="40" s="1"/>
  <c r="F35" i="42"/>
  <c r="P35" i="42" s="1"/>
  <c r="P84" i="42"/>
  <c r="D87" i="42"/>
  <c r="P86" i="42"/>
  <c r="P75" i="40"/>
  <c r="D34" i="40"/>
  <c r="P34" i="40" s="1"/>
  <c r="E34" i="46" l="1"/>
  <c r="P34" i="46" s="1"/>
  <c r="P75" i="46"/>
  <c r="P69" i="43"/>
  <c r="D34" i="43"/>
  <c r="P34" i="43" s="1"/>
  <c r="AD23" i="48"/>
  <c r="P67" i="48"/>
  <c r="D34" i="48"/>
  <c r="P34" i="48" s="1"/>
  <c r="D34" i="44"/>
  <c r="P34" i="44" s="1"/>
  <c r="P69" i="44"/>
  <c r="D34" i="42"/>
  <c r="P34" i="42" s="1"/>
  <c r="P87"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ANGELA MARCELA FORERO RUIZ</author>
    <author>Microsoft Office User</author>
    <author/>
  </authors>
  <commentList>
    <comment ref="S23" authorId="0" shapeId="0" xr:uid="{00000000-0006-0000-0000-000001000000}">
      <text>
        <r>
          <rPr>
            <b/>
            <sz val="9"/>
            <color indexed="81"/>
            <rFont val="Tahoma"/>
            <family val="2"/>
          </rPr>
          <t>user:</t>
        </r>
        <r>
          <rPr>
            <sz val="9"/>
            <color indexed="81"/>
            <rFont val="Tahoma"/>
            <family val="2"/>
          </rPr>
          <t xml:space="preserve">
Corresponde a liberaciones contra segundo pago de CPSPAG</t>
        </r>
      </text>
    </comment>
    <comment ref="AD23" authorId="1" shapeId="0" xr:uid="{00000000-0006-0000-0000-000002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P25" authorId="1" shapeId="0" xr:uid="{00000000-0006-0000-0000-000003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1" shapeId="0" xr:uid="{00000000-0006-0000-0000-000004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C32" authorId="2" shapeId="0" xr:uid="{00000000-0006-0000-0000-000005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000-000006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000-000007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2" authorId="1" shapeId="0" xr:uid="{00000000-0006-0000-0000-000009000000}">
      <text>
        <r>
          <rPr>
            <b/>
            <sz val="9"/>
            <color indexed="81"/>
            <rFont val="Tahoma"/>
            <family val="2"/>
          </rPr>
          <t>ANGELA MARCELA FORERO RUIZ:</t>
        </r>
        <r>
          <rPr>
            <sz val="9"/>
            <color indexed="81"/>
            <rFont val="Tahoma"/>
            <family val="2"/>
          </rPr>
          <t xml:space="preserve">
Se incluyó la fecha 31-ENE-2O22- Dejar claro en el reporte el avance de cada mes, por esta razón se puso la fecha en la primera actividad de acuerdo a lo reportado en enero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B9" authorId="0" shapeId="0" xr:uid="{00000000-0006-0000-09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BK9" authorId="0" shapeId="0" xr:uid="{00000000-0006-0000-09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A25" authorId="1" shapeId="0" xr:uid="{00000000-0006-0000-0900-000003000000}">
      <text>
        <r>
          <rPr>
            <b/>
            <sz val="9"/>
            <color indexed="81"/>
            <rFont val="Tahoma"/>
            <family val="2"/>
          </rPr>
          <t>ANGELA MARCELA FORERO RUIZ:</t>
        </r>
        <r>
          <rPr>
            <sz val="9"/>
            <color indexed="81"/>
            <rFont val="Tahoma"/>
            <family val="2"/>
          </rPr>
          <t xml:space="preserve">
Distribuir las 9.300 en todo el año en lo programado y en lo ejecutado si se pone cada mes las atenciones que se vayan realizando</t>
        </r>
      </text>
    </comment>
    <comment ref="AB38" authorId="0" shapeId="0" xr:uid="{00000000-0006-0000-09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BK38" authorId="0" shapeId="0" xr:uid="{00000000-0006-0000-09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A54" authorId="1" shapeId="0" xr:uid="{00000000-0006-0000-0900-000006000000}">
      <text>
        <r>
          <rPr>
            <b/>
            <sz val="9"/>
            <color indexed="81"/>
            <rFont val="Tahoma"/>
            <family val="2"/>
          </rPr>
          <t>ANGELA MARCELA FORERO RUIZ:</t>
        </r>
        <r>
          <rPr>
            <sz val="9"/>
            <color indexed="81"/>
            <rFont val="Tahoma"/>
            <family val="2"/>
          </rPr>
          <t xml:space="preserve">
Distribuir las 6.800 en todo el año en lo programado y en lo ejecutado si se pone cada mes las atenciones que se vayan realizando
</t>
        </r>
      </text>
    </comment>
    <comment ref="AB66" authorId="0" shapeId="0" xr:uid="{00000000-0006-0000-0900-000007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BK66" authorId="0" shapeId="0" xr:uid="{00000000-0006-0000-0900-000008000000}">
      <text>
        <r>
          <rPr>
            <b/>
            <sz val="10"/>
            <color indexed="8"/>
            <rFont val="Tahoma"/>
            <family val="2"/>
          </rPr>
          <t>Microsoft Office User:</t>
        </r>
        <r>
          <rPr>
            <sz val="10"/>
            <color indexed="8"/>
            <rFont val="Tahoma"/>
            <family val="2"/>
          </rPr>
          <t xml:space="preserve">
</t>
        </r>
        <r>
          <rPr>
            <sz val="10"/>
            <color indexed="8"/>
            <rFont val="Tahoma"/>
            <family val="2"/>
          </rPr>
          <t xml:space="preserve">Relacionar el detalle de la población reportada según enfoque diferencial y grupo etario
</t>
        </r>
        <r>
          <rPr>
            <sz val="10"/>
            <color indexed="8"/>
            <rFont val="Tahoma"/>
            <family val="2"/>
          </rPr>
          <t xml:space="preserve">Según aplique
</t>
        </r>
      </text>
    </comment>
    <comment ref="A82" authorId="1" shapeId="0" xr:uid="{00000000-0006-0000-0900-000009000000}">
      <text>
        <r>
          <rPr>
            <b/>
            <sz val="9"/>
            <color indexed="81"/>
            <rFont val="Tahoma"/>
            <family val="2"/>
          </rPr>
          <t>ANGELA MARCELA FORERO RUIZ:</t>
        </r>
        <r>
          <rPr>
            <sz val="9"/>
            <color indexed="81"/>
            <rFont val="Tahoma"/>
            <family val="2"/>
          </rPr>
          <t xml:space="preserve">
Distribuir las 15.000 en todo el año en lo programado y en lo ejecutado si se pone cada mes las atenciones que se vayan realizando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ANGELA MARCELA FORERO RUIZ</author>
    <author>Microsoft Office User</author>
    <author/>
  </authors>
  <commentList>
    <comment ref="Q23" authorId="0" shapeId="0" xr:uid="{00000000-0006-0000-0100-000001000000}">
      <text>
        <r>
          <rPr>
            <b/>
            <sz val="9"/>
            <color indexed="81"/>
            <rFont val="Tahoma"/>
            <family val="2"/>
          </rPr>
          <t>user:</t>
        </r>
        <r>
          <rPr>
            <sz val="9"/>
            <color indexed="81"/>
            <rFont val="Tahoma"/>
            <family val="2"/>
          </rPr>
          <t xml:space="preserve">
OPS - arrendamineto, adición vigilancia  y servicios públicos</t>
        </r>
      </text>
    </comment>
    <comment ref="S23" authorId="0" shapeId="0" xr:uid="{00000000-0006-0000-0100-000002000000}">
      <text>
        <r>
          <rPr>
            <b/>
            <sz val="9"/>
            <color indexed="81"/>
            <rFont val="Tahoma"/>
            <family val="2"/>
          </rPr>
          <t>user:</t>
        </r>
        <r>
          <rPr>
            <sz val="9"/>
            <color indexed="81"/>
            <rFont val="Tahoma"/>
            <family val="2"/>
          </rPr>
          <t xml:space="preserve">
Corresponde a liberaciónes contra segundo pago de CPSAG</t>
        </r>
      </text>
    </comment>
    <comment ref="AD23" authorId="1" shapeId="0" xr:uid="{00000000-0006-0000-0100-000003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D24" authorId="0" shapeId="0" xr:uid="{00000000-0006-0000-0100-000004000000}">
      <text>
        <r>
          <rPr>
            <b/>
            <sz val="9"/>
            <color indexed="81"/>
            <rFont val="Tahoma"/>
            <family val="2"/>
          </rPr>
          <t>user:</t>
        </r>
        <r>
          <rPr>
            <sz val="9"/>
            <color indexed="81"/>
            <rFont val="Tahoma"/>
            <family val="2"/>
          </rPr>
          <t xml:space="preserve">
OEI</t>
        </r>
      </text>
    </comment>
    <comment ref="E24" authorId="0" shapeId="0" xr:uid="{00000000-0006-0000-0100-000005000000}">
      <text>
        <r>
          <rPr>
            <b/>
            <sz val="9"/>
            <color indexed="81"/>
            <rFont val="Tahoma"/>
            <family val="2"/>
          </rPr>
          <t>user:</t>
        </r>
        <r>
          <rPr>
            <sz val="9"/>
            <color indexed="81"/>
            <rFont val="Tahoma"/>
            <family val="2"/>
          </rPr>
          <t xml:space="preserve">
Transporte, liberación </t>
        </r>
      </text>
    </comment>
    <comment ref="F24" authorId="0" shapeId="0" xr:uid="{00000000-0006-0000-0100-000006000000}">
      <text>
        <r>
          <rPr>
            <b/>
            <sz val="9"/>
            <color indexed="81"/>
            <rFont val="Tahoma"/>
            <family val="2"/>
          </rPr>
          <t>user:</t>
        </r>
        <r>
          <rPr>
            <sz val="9"/>
            <color indexed="81"/>
            <rFont val="Tahoma"/>
            <family val="2"/>
          </rPr>
          <t xml:space="preserve">
Liberaciones</t>
        </r>
      </text>
    </comment>
    <comment ref="G24" authorId="0" shapeId="0" xr:uid="{00000000-0006-0000-0100-000007000000}">
      <text>
        <r>
          <rPr>
            <b/>
            <sz val="9"/>
            <color indexed="81"/>
            <rFont val="Tahoma"/>
            <family val="2"/>
          </rPr>
          <t>user:</t>
        </r>
        <r>
          <rPr>
            <sz val="9"/>
            <color indexed="81"/>
            <rFont val="Tahoma"/>
            <family val="2"/>
          </rPr>
          <t xml:space="preserve">
Liberaciones,  logísitica,</t>
        </r>
      </text>
    </comment>
    <comment ref="P25" authorId="1" shapeId="0" xr:uid="{00000000-0006-0000-0100-000009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T25" authorId="1" shapeId="0" xr:uid="{00000000-0006-0000-0100-00000A000000}">
      <text>
        <r>
          <rPr>
            <b/>
            <sz val="10"/>
            <color indexed="81"/>
            <rFont val="Tahoma"/>
            <family val="2"/>
          </rPr>
          <t>ANGELA MARCELA FORERO RUIZ:</t>
        </r>
        <r>
          <rPr>
            <sz val="10"/>
            <color indexed="81"/>
            <rFont val="Tahoma"/>
            <family val="2"/>
          </rPr>
          <t xml:space="preserve">
Se ajusta el valor de los giros del mes de abril (quedó registrado el valor de la meta 3 $248.870.213)
</t>
        </r>
      </text>
    </comment>
    <comment ref="AD25" authorId="1" shapeId="0" xr:uid="{00000000-0006-0000-0100-00000B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Q30" authorId="1" shapeId="0" xr:uid="{00000000-0006-0000-0100-00000C000000}">
      <text>
        <r>
          <rPr>
            <b/>
            <sz val="9"/>
            <color indexed="81"/>
            <rFont val="Tahoma"/>
            <family val="2"/>
          </rPr>
          <t>ANGELA MARCELA FORERO RUIZ:</t>
        </r>
        <r>
          <rPr>
            <sz val="9"/>
            <color indexed="81"/>
            <rFont val="Tahoma"/>
            <family val="2"/>
          </rPr>
          <t xml:space="preserve">
Aquí van a incluir algo relacionado  con el pago de la reserva de febrero</t>
        </r>
      </text>
    </comment>
    <comment ref="C32" authorId="2" shapeId="0" xr:uid="{00000000-0006-0000-0100-00000D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100-00000E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F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4" authorId="1" shapeId="0" xr:uid="{00000000-0006-0000-0100-000010000000}">
      <text>
        <r>
          <rPr>
            <b/>
            <sz val="9"/>
            <color indexed="81"/>
            <rFont val="Tahoma"/>
            <family val="2"/>
          </rPr>
          <t>ANGELA MARCELA FORERO RUIZ:</t>
        </r>
        <r>
          <rPr>
            <sz val="9"/>
            <color indexed="81"/>
            <rFont val="Tahoma"/>
            <family val="2"/>
          </rPr>
          <t xml:space="preserve">
Es clarco que el avance es de febrero porque ne enero no hubo avance para este reporte no hay observación, sin em bargo para el mes de marzo si es importante que quede claro que se hizo en febrero, que en marzo y así cada mes</t>
        </r>
      </text>
    </comment>
    <comment ref="A48" authorId="1" shapeId="0" xr:uid="{00000000-0006-0000-0100-000011000000}">
      <text>
        <r>
          <rPr>
            <b/>
            <sz val="9"/>
            <color indexed="81"/>
            <rFont val="Tahoma"/>
            <family val="2"/>
          </rPr>
          <t>ANGELA MARCELA FORERO RUIZ:</t>
        </r>
        <r>
          <rPr>
            <sz val="9"/>
            <color indexed="81"/>
            <rFont val="Tahoma"/>
            <family val="2"/>
          </rPr>
          <t xml:space="preserve">
Incluir la acción (realizar, desarrollar, ejecutar)</t>
        </r>
      </text>
    </comment>
    <comment ref="A50" authorId="1" shapeId="0" xr:uid="{00000000-0006-0000-0100-000012000000}">
      <text>
        <r>
          <rPr>
            <b/>
            <sz val="9"/>
            <color indexed="81"/>
            <rFont val="Tahoma"/>
            <family val="2"/>
          </rPr>
          <t>ANGELA MARCELA FORERO RUIZ:</t>
        </r>
        <r>
          <rPr>
            <sz val="9"/>
            <color indexed="81"/>
            <rFont val="Tahoma"/>
            <family val="2"/>
          </rPr>
          <t xml:space="preserve">
Cambiar el vergo a infinitivo</t>
        </r>
      </text>
    </comment>
    <comment ref="A52" authorId="1" shapeId="0" xr:uid="{00000000-0006-0000-0100-000013000000}">
      <text>
        <r>
          <rPr>
            <b/>
            <sz val="9"/>
            <color indexed="81"/>
            <rFont val="Tahoma"/>
            <family val="2"/>
          </rPr>
          <t>ANGELA MARCELA FORERO RUIZ:</t>
        </r>
        <r>
          <rPr>
            <sz val="9"/>
            <color indexed="81"/>
            <rFont val="Tahoma"/>
            <family val="2"/>
          </rPr>
          <t xml:space="preserve">
Incluir la acción: realizar, ejecutar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user</author>
    <author>Angela Marcela Forero Ruiz</author>
    <author>Microsoft Office User</author>
    <author/>
  </authors>
  <commentList>
    <comment ref="AD23" authorId="0" shapeId="0" xr:uid="{00000000-0006-0000-0200-000001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D24" authorId="1" shapeId="0" xr:uid="{00000000-0006-0000-0200-000002000000}">
      <text>
        <r>
          <rPr>
            <b/>
            <sz val="9"/>
            <color indexed="81"/>
            <rFont val="Tahoma"/>
            <family val="2"/>
          </rPr>
          <t>user:</t>
        </r>
        <r>
          <rPr>
            <sz val="9"/>
            <color indexed="81"/>
            <rFont val="Tahoma"/>
            <family val="2"/>
          </rPr>
          <t xml:space="preserve">
Aseo, vigilancia, convergentes, adicones TH</t>
        </r>
      </text>
    </comment>
    <comment ref="E24" authorId="1" shapeId="0" xr:uid="{00000000-0006-0000-0200-000003000000}">
      <text>
        <r>
          <rPr>
            <b/>
            <sz val="9"/>
            <color indexed="81"/>
            <rFont val="Tahoma"/>
            <family val="2"/>
          </rPr>
          <t>user:</t>
        </r>
        <r>
          <rPr>
            <sz val="9"/>
            <color indexed="81"/>
            <rFont val="Tahoma"/>
            <family val="2"/>
          </rPr>
          <t xml:space="preserve">
Aseo, liberación ETB, convergentes,lib tonner, computadores
</t>
        </r>
      </text>
    </comment>
    <comment ref="F24" authorId="1" shapeId="0" xr:uid="{00000000-0006-0000-0200-000004000000}">
      <text>
        <r>
          <rPr>
            <b/>
            <sz val="9"/>
            <color indexed="81"/>
            <rFont val="Tahoma"/>
            <family val="2"/>
          </rPr>
          <t>user:</t>
        </r>
        <r>
          <rPr>
            <sz val="9"/>
            <color indexed="81"/>
            <rFont val="Tahoma"/>
            <family val="2"/>
          </rPr>
          <t xml:space="preserve">
Aseo, Convergentes, transporte. computadores</t>
        </r>
      </text>
    </comment>
    <comment ref="G24" authorId="1" shapeId="0" xr:uid="{00000000-0006-0000-0200-000005000000}">
      <text>
        <r>
          <rPr>
            <b/>
            <sz val="9"/>
            <color indexed="81"/>
            <rFont val="Tahoma"/>
            <family val="2"/>
          </rPr>
          <t>user:</t>
        </r>
        <r>
          <rPr>
            <sz val="9"/>
            <color indexed="81"/>
            <rFont val="Tahoma"/>
            <family val="2"/>
          </rPr>
          <t xml:space="preserve">
Aseo, convergentes, transporte</t>
        </r>
      </text>
    </comment>
    <comment ref="I24" authorId="2" shapeId="0" xr:uid="{DF35DA89-F5F3-4734-80E0-72B23F0098B2}">
      <text>
        <r>
          <rPr>
            <b/>
            <sz val="9"/>
            <color indexed="81"/>
            <rFont val="Tahoma"/>
            <family val="2"/>
          </rPr>
          <t>Angela Marcela Forero Ruiz:</t>
        </r>
        <r>
          <rPr>
            <sz val="9"/>
            <color indexed="81"/>
            <rFont val="Tahoma"/>
            <family val="2"/>
          </rPr>
          <t xml:space="preserve">
la reserva a 31 de julio es 78,2691,71</t>
        </r>
      </text>
    </comment>
    <comment ref="O24" authorId="1" shapeId="0" xr:uid="{00000000-0006-0000-0200-000006000000}">
      <text>
        <r>
          <rPr>
            <b/>
            <sz val="9"/>
            <color indexed="81"/>
            <rFont val="Tahoma"/>
            <family val="2"/>
          </rPr>
          <t>user:</t>
        </r>
        <r>
          <rPr>
            <sz val="9"/>
            <color indexed="81"/>
            <rFont val="Tahoma"/>
            <family val="2"/>
          </rPr>
          <t xml:space="preserve">
Se descuenta de la programación el valor anulado en el mes de mayo de $9,902,280</t>
        </r>
      </text>
    </comment>
    <comment ref="H25" authorId="2" shapeId="0" xr:uid="{F24EF5F7-559B-49F1-8DA2-C25BE47C5C1C}">
      <text>
        <r>
          <rPr>
            <b/>
            <sz val="10"/>
            <color indexed="81"/>
            <rFont val="Tahoma"/>
            <family val="2"/>
          </rPr>
          <t>Angela Marcela Forero Ruiz:</t>
        </r>
        <r>
          <rPr>
            <sz val="10"/>
            <color indexed="81"/>
            <rFont val="Tahoma"/>
            <family val="2"/>
          </rPr>
          <t xml:space="preserve">
Según reporte Bogdata los giros acumulados corresponden a  77.776.570 </t>
        </r>
      </text>
    </comment>
    <comment ref="I25" authorId="2" shapeId="0" xr:uid="{D5C79475-82FC-4643-85CA-1D3D541FE299}">
      <text>
        <r>
          <rPr>
            <b/>
            <sz val="9"/>
            <color indexed="81"/>
            <rFont val="Tahoma"/>
            <family val="2"/>
          </rPr>
          <t>Angela Marcela Forero Ruiz:</t>
        </r>
        <r>
          <rPr>
            <sz val="9"/>
            <color indexed="81"/>
            <rFont val="Tahoma"/>
            <family val="2"/>
          </rPr>
          <t xml:space="preserve">
la reserva a 31 de julio es 77.776.569</t>
        </r>
      </text>
    </comment>
    <comment ref="P25" authorId="0" shapeId="0" xr:uid="{00000000-0006-0000-0200-000007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0" shapeId="0" xr:uid="{00000000-0006-0000-0200-000008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Q30" authorId="0" shapeId="0" xr:uid="{00000000-0006-0000-0200-000009000000}">
      <text>
        <r>
          <rPr>
            <b/>
            <sz val="9"/>
            <color indexed="81"/>
            <rFont val="Tahoma"/>
            <family val="2"/>
          </rPr>
          <t>ANGELA MARCELA FORERO RUIZ:</t>
        </r>
        <r>
          <rPr>
            <sz val="9"/>
            <color indexed="81"/>
            <rFont val="Tahoma"/>
            <family val="2"/>
          </rPr>
          <t xml:space="preserve">
Aquí van a incluir algo relacionado  con el pago de la reserva de febrero</t>
        </r>
      </text>
    </comment>
    <comment ref="C32" authorId="3" shapeId="0" xr:uid="{00000000-0006-0000-0200-00000A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4" shapeId="0" xr:uid="{00000000-0006-0000-0200-00000B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00000000-0006-0000-0200-00000C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ANGELA MARCELA FORERO RUIZ</author>
    <author>Microsoft Office User</author>
    <author/>
  </authors>
  <commentList>
    <comment ref="S23" authorId="0" shapeId="0" xr:uid="{00000000-0006-0000-0300-000001000000}">
      <text>
        <r>
          <rPr>
            <b/>
            <sz val="9"/>
            <color indexed="81"/>
            <rFont val="Tahoma"/>
            <family val="2"/>
          </rPr>
          <t>user:</t>
        </r>
        <r>
          <rPr>
            <sz val="9"/>
            <color indexed="81"/>
            <rFont val="Tahoma"/>
            <family val="2"/>
          </rPr>
          <t xml:space="preserve">
Corresponde a liberaciones contra segundo pago de CPSPAG</t>
        </r>
      </text>
    </comment>
    <comment ref="AD23" authorId="1" shapeId="0" xr:uid="{00000000-0006-0000-0300-000002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O24" authorId="0" shapeId="0" xr:uid="{00000000-0006-0000-0300-000003000000}">
      <text>
        <r>
          <rPr>
            <b/>
            <sz val="9"/>
            <color indexed="81"/>
            <rFont val="Tahoma"/>
            <family val="2"/>
          </rPr>
          <t>user:</t>
        </r>
        <r>
          <rPr>
            <sz val="9"/>
            <color indexed="81"/>
            <rFont val="Tahoma"/>
            <family val="2"/>
          </rPr>
          <t xml:space="preserve">
Se descuenta de la rpogramación el valor de $1,899,999</t>
        </r>
      </text>
    </comment>
    <comment ref="P25" authorId="1" shapeId="0" xr:uid="{00000000-0006-0000-0300-000004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1" shapeId="0" xr:uid="{00000000-0006-0000-0300-000005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C32" authorId="2" shapeId="0" xr:uid="{00000000-0006-0000-0300-000006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300-000007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300-000008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user</author>
    <author>Microsoft Office User</author>
    <author/>
  </authors>
  <commentList>
    <comment ref="AD23" authorId="0" shapeId="0" xr:uid="{00000000-0006-0000-0400-000001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F24" authorId="1" shapeId="0" xr:uid="{00000000-0006-0000-0400-000002000000}">
      <text>
        <r>
          <rPr>
            <b/>
            <sz val="9"/>
            <color indexed="81"/>
            <rFont val="Tahoma"/>
            <family val="2"/>
          </rPr>
          <t>user:</t>
        </r>
        <r>
          <rPr>
            <sz val="9"/>
            <color indexed="81"/>
            <rFont val="Tahoma"/>
            <family val="2"/>
          </rPr>
          <t xml:space="preserve">
Unal</t>
        </r>
      </text>
    </comment>
    <comment ref="G24" authorId="1" shapeId="0" xr:uid="{00000000-0006-0000-0400-000003000000}">
      <text>
        <r>
          <rPr>
            <b/>
            <sz val="9"/>
            <color indexed="81"/>
            <rFont val="Tahoma"/>
            <family val="2"/>
          </rPr>
          <t>user:</t>
        </r>
        <r>
          <rPr>
            <sz val="9"/>
            <color indexed="81"/>
            <rFont val="Tahoma"/>
            <family val="2"/>
          </rPr>
          <t xml:space="preserve">
Liberación</t>
        </r>
      </text>
    </comment>
    <comment ref="P25" authorId="0" shapeId="0" xr:uid="{00000000-0006-0000-0400-000004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0" shapeId="0" xr:uid="{00000000-0006-0000-0400-000005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C32" authorId="2" shapeId="0" xr:uid="{00000000-0006-0000-0400-000006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400-000007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400-000008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0" shapeId="0" xr:uid="{A7B59AF9-E7FD-4F09-8B20-90980C15F440}">
      <text>
        <r>
          <rPr>
            <b/>
            <sz val="10"/>
            <color indexed="81"/>
            <rFont val="Tahoma"/>
            <family val="2"/>
          </rPr>
          <t>ANGELA MARCELA FORERO RUIZ:</t>
        </r>
        <r>
          <rPr>
            <sz val="10"/>
            <color indexed="81"/>
            <rFont val="Tahoma"/>
            <family val="2"/>
          </rPr>
          <t xml:space="preserve">
Incluir el avance cualitativo de abril (como lo reportan en las demás metas)</t>
        </r>
      </text>
    </comment>
    <comment ref="A42" authorId="0" shapeId="0" xr:uid="{0AB1B50F-7C59-4DCE-B0DF-72D1F431FCEB}">
      <text>
        <r>
          <rPr>
            <b/>
            <sz val="9"/>
            <color indexed="81"/>
            <rFont val="Tahoma"/>
            <family val="2"/>
          </rPr>
          <t>ANGELA MARCELA FORERO RUIZ:</t>
        </r>
        <r>
          <rPr>
            <sz val="9"/>
            <color indexed="81"/>
            <rFont val="Tahoma"/>
            <family val="2"/>
          </rPr>
          <t xml:space="preserve">
Incluir el verbo en infinitivo Acompañar o realizar acompañamiento</t>
        </r>
      </text>
    </comment>
    <comment ref="Q42" authorId="0" shapeId="0" xr:uid="{B5521456-9178-4E9C-979B-5760F264EC05}">
      <text>
        <r>
          <rPr>
            <b/>
            <sz val="10"/>
            <color indexed="81"/>
            <rFont val="Tahoma"/>
            <family val="2"/>
          </rPr>
          <t>ANGELA MARCELA FORERO RUIZ:</t>
        </r>
        <r>
          <rPr>
            <sz val="10"/>
            <color indexed="81"/>
            <rFont val="Tahoma"/>
            <family val="2"/>
          </rPr>
          <t xml:space="preserve">
Incluir el avance cualitativo de abril (como lo reportan en las demás metas)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D23" authorId="0" shapeId="0" xr:uid="{00000000-0006-0000-0500-000001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O25" authorId="0" shapeId="0" xr:uid="{00000000-0006-0000-0500-000002000000}">
      <text>
        <r>
          <rPr>
            <b/>
            <sz val="9"/>
            <color indexed="81"/>
            <rFont val="Tahoma"/>
            <family val="2"/>
          </rPr>
          <t>ANGELA MARCELA FORERO RUIZ:</t>
        </r>
        <r>
          <rPr>
            <sz val="9"/>
            <color indexed="81"/>
            <rFont val="Tahoma"/>
            <family val="2"/>
          </rPr>
          <t xml:space="preserve">
Según el seguimiento de la OAP el valor girado es $0</t>
        </r>
      </text>
    </comment>
    <comment ref="P25" authorId="0" shapeId="0" xr:uid="{00000000-0006-0000-0500-000003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0" shapeId="0" xr:uid="{00000000-0006-0000-0500-000004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C32" authorId="1" shapeId="0" xr:uid="{00000000-0006-0000-0500-000005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06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07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W34" authorId="0" shapeId="0" xr:uid="{18968029-678C-41DD-83B9-AA187E241923}">
      <text>
        <r>
          <rPr>
            <b/>
            <sz val="10"/>
            <color indexed="81"/>
            <rFont val="Tahoma"/>
            <family val="2"/>
          </rPr>
          <t>ANGELA MARCELA FORERO RUIZ:</t>
        </r>
        <r>
          <rPr>
            <sz val="10"/>
            <color indexed="81"/>
            <rFont val="Tahoma"/>
            <family val="2"/>
          </rPr>
          <t xml:space="preserve">
Indicar que se va a hacer para avanzar en la meta debido al retraso</t>
        </r>
      </text>
    </comment>
    <comment ref="A42" authorId="0" shapeId="0" xr:uid="{00000000-0006-0000-0500-000009000000}">
      <text>
        <r>
          <rPr>
            <b/>
            <sz val="9"/>
            <color indexed="81"/>
            <rFont val="Tahoma"/>
            <family val="2"/>
          </rPr>
          <t>ANGELA MARCELA FORERO RUIZ:</t>
        </r>
        <r>
          <rPr>
            <sz val="9"/>
            <color indexed="81"/>
            <rFont val="Tahoma"/>
            <family val="2"/>
          </rPr>
          <t xml:space="preserve">
Incluir el verbo en infinitivo Acompañar o realizar acompañamiento</t>
        </r>
      </text>
    </comment>
    <comment ref="Q42" authorId="0" shapeId="0" xr:uid="{9451DB69-B5B8-4A90-BB05-ED9602297560}">
      <text>
        <r>
          <rPr>
            <b/>
            <sz val="10"/>
            <color indexed="81"/>
            <rFont val="Tahoma"/>
            <family val="2"/>
          </rPr>
          <t>ANGELA MARCELA FORERO RUIZ:</t>
        </r>
        <r>
          <rPr>
            <sz val="10"/>
            <color indexed="81"/>
            <rFont val="Tahoma"/>
            <family val="2"/>
          </rPr>
          <t xml:space="preserve">
El último párrafo corresponde al mes de abril, si es así indicar durante el mes de abril El CCM propuso la conformación de 8...</t>
        </r>
      </text>
    </comment>
    <comment ref="A46" authorId="0" shapeId="0" xr:uid="{00000000-0006-0000-0500-00000B000000}">
      <text>
        <r>
          <rPr>
            <b/>
            <sz val="9"/>
            <color indexed="81"/>
            <rFont val="Tahoma"/>
            <family val="2"/>
          </rPr>
          <t>ANGELA MARCELA FORERO RUIZ:</t>
        </r>
        <r>
          <rPr>
            <sz val="9"/>
            <color indexed="81"/>
            <rFont val="Tahoma"/>
            <family val="2"/>
          </rPr>
          <t xml:space="preserve">
Incluir el verbo en infinitivo Acompañar o realizar acompañamiento</t>
        </r>
      </text>
    </comment>
    <comment ref="A48" authorId="0" shapeId="0" xr:uid="{00000000-0006-0000-0500-00000C000000}">
      <text>
        <r>
          <rPr>
            <b/>
            <sz val="9"/>
            <color indexed="81"/>
            <rFont val="Tahoma"/>
            <family val="2"/>
          </rPr>
          <t>ANGELA MARCELA FORERO RUIZ:</t>
        </r>
        <r>
          <rPr>
            <sz val="9"/>
            <color indexed="81"/>
            <rFont val="Tahoma"/>
            <family val="2"/>
          </rPr>
          <t xml:space="preserve">
Incluir el verbo en infinitivo Acompañar o realizar acompañamiento</t>
        </r>
      </text>
    </comment>
    <comment ref="A50" authorId="0" shapeId="0" xr:uid="{00000000-0006-0000-0500-00000D000000}">
      <text>
        <r>
          <rPr>
            <b/>
            <sz val="9"/>
            <color indexed="81"/>
            <rFont val="Tahoma"/>
            <family val="2"/>
          </rPr>
          <t>ANGELA MARCELA FORERO RUIZ:</t>
        </r>
        <r>
          <rPr>
            <sz val="9"/>
            <color indexed="81"/>
            <rFont val="Tahoma"/>
            <family val="2"/>
          </rPr>
          <t xml:space="preserve">
Incluir el verbo en infinitivo Acompañar o realizar acompañamiento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user</author>
    <author>Angela Marcela Forero Ruiz</author>
    <author>Microsoft Office User</author>
    <author/>
  </authors>
  <commentList>
    <comment ref="AD23" authorId="0" shapeId="0" xr:uid="{00000000-0006-0000-0600-000001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D24" authorId="1" shapeId="0" xr:uid="{00000000-0006-0000-0600-000002000000}">
      <text>
        <r>
          <rPr>
            <b/>
            <sz val="9"/>
            <color indexed="81"/>
            <rFont val="Tahoma"/>
            <family val="2"/>
          </rPr>
          <t>user:</t>
        </r>
        <r>
          <rPr>
            <sz val="9"/>
            <color indexed="81"/>
            <rFont val="Tahoma"/>
            <family val="2"/>
          </rPr>
          <t xml:space="preserve">
Adciones</t>
        </r>
      </text>
    </comment>
    <comment ref="E24" authorId="1" shapeId="0" xr:uid="{00000000-0006-0000-0600-000003000000}">
      <text>
        <r>
          <rPr>
            <b/>
            <sz val="9"/>
            <color indexed="81"/>
            <rFont val="Tahoma"/>
            <family val="2"/>
          </rPr>
          <t>user:</t>
        </r>
        <r>
          <rPr>
            <sz val="9"/>
            <color indexed="81"/>
            <rFont val="Tahoma"/>
            <family val="2"/>
          </rPr>
          <t xml:space="preserve">
Logística</t>
        </r>
      </text>
    </comment>
    <comment ref="F24" authorId="1" shapeId="0" xr:uid="{00000000-0006-0000-0600-000004000000}">
      <text>
        <r>
          <rPr>
            <b/>
            <sz val="9"/>
            <color indexed="81"/>
            <rFont val="Tahoma"/>
            <family val="2"/>
          </rPr>
          <t>user:</t>
        </r>
        <r>
          <rPr>
            <sz val="9"/>
            <color indexed="81"/>
            <rFont val="Tahoma"/>
            <family val="2"/>
          </rPr>
          <t xml:space="preserve">
Liberación, transporte
</t>
        </r>
      </text>
    </comment>
    <comment ref="G24" authorId="1" shapeId="0" xr:uid="{00000000-0006-0000-0600-000005000000}">
      <text>
        <r>
          <rPr>
            <b/>
            <sz val="9"/>
            <color indexed="81"/>
            <rFont val="Tahoma"/>
            <family val="2"/>
          </rPr>
          <t>user:</t>
        </r>
        <r>
          <rPr>
            <sz val="9"/>
            <color indexed="81"/>
            <rFont val="Tahoma"/>
            <family val="2"/>
          </rPr>
          <t xml:space="preserve">
Liberaciones</t>
        </r>
      </text>
    </comment>
    <comment ref="I24" authorId="2" shapeId="0" xr:uid="{7B878347-B09D-46F2-B8FB-A1586027CDAF}">
      <text>
        <r>
          <rPr>
            <b/>
            <sz val="9"/>
            <color indexed="81"/>
            <rFont val="Tahoma"/>
            <family val="2"/>
          </rPr>
          <t>Angela Marcela Forero Ruiz:</t>
        </r>
        <r>
          <rPr>
            <sz val="9"/>
            <color indexed="81"/>
            <rFont val="Tahoma"/>
            <family val="2"/>
          </rPr>
          <t xml:space="preserve">
La reserva a 31 de julio es 18,172,315</t>
        </r>
      </text>
    </comment>
    <comment ref="O24" authorId="1" shapeId="0" xr:uid="{00000000-0006-0000-0600-000006000000}">
      <text>
        <r>
          <rPr>
            <b/>
            <sz val="9"/>
            <color indexed="81"/>
            <rFont val="Tahoma"/>
            <family val="2"/>
          </rPr>
          <t>user:</t>
        </r>
        <r>
          <rPr>
            <sz val="9"/>
            <color indexed="81"/>
            <rFont val="Tahoma"/>
            <family val="2"/>
          </rPr>
          <t xml:space="preserve">
Se descuenta de la programación del mes de mayo el valor de la anulación por valor de $17,816,665,50</t>
        </r>
      </text>
    </comment>
    <comment ref="I25" authorId="2" shapeId="0" xr:uid="{FBAC47E1-800C-423B-B062-4AE3A39EC4A4}">
      <text>
        <r>
          <rPr>
            <b/>
            <sz val="9"/>
            <color indexed="81"/>
            <rFont val="Tahoma"/>
            <family val="2"/>
          </rPr>
          <t>Angela Marcela Forero Ruiz:</t>
        </r>
        <r>
          <rPr>
            <sz val="9"/>
            <color indexed="81"/>
            <rFont val="Tahoma"/>
            <family val="2"/>
          </rPr>
          <t xml:space="preserve">
La reserva a 31 de julio es 18.172.315</t>
        </r>
      </text>
    </comment>
    <comment ref="P25" authorId="0" shapeId="0" xr:uid="{00000000-0006-0000-0600-000007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AD25" authorId="0" shapeId="0" xr:uid="{00000000-0006-0000-0600-000008000000}">
      <text>
        <r>
          <rPr>
            <b/>
            <sz val="9"/>
            <color indexed="81"/>
            <rFont val="Tahoma"/>
            <family val="2"/>
          </rPr>
          <t>ANGELA MARCELA FORERO RUIZ:</t>
        </r>
        <r>
          <rPr>
            <sz val="9"/>
            <color indexed="81"/>
            <rFont val="Tahoma"/>
            <family val="2"/>
          </rPr>
          <t xml:space="preserve">
Se ajusta formula manualmente dado que la que tiene el formato no está haciendo el cálculo debido</t>
        </r>
      </text>
    </comment>
    <comment ref="Q30" authorId="0" shapeId="0" xr:uid="{00000000-0006-0000-0600-000009000000}">
      <text>
        <r>
          <rPr>
            <b/>
            <sz val="9"/>
            <color indexed="81"/>
            <rFont val="Tahoma"/>
            <family val="2"/>
          </rPr>
          <t>ANGELA MARCELA FORERO RUIZ:</t>
        </r>
        <r>
          <rPr>
            <sz val="9"/>
            <color indexed="81"/>
            <rFont val="Tahoma"/>
            <family val="2"/>
          </rPr>
          <t xml:space="preserve">
Aquí van a incluir algo relacionado  con el pago de la reserva de febrero</t>
        </r>
      </text>
    </comment>
    <comment ref="C32" authorId="3" shapeId="0" xr:uid="{00000000-0006-0000-0600-00000A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4" shapeId="0" xr:uid="{00000000-0006-0000-0600-00000B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00000000-0006-0000-0600-00000C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Angela Marcela Forero Ruiz</author>
    <author>tc={E7A438EF-72BC-4C57-BD52-6AB74C0E20DB}</author>
    <author>tc={031F8347-D4EC-4C6A-860A-70D14BBF53E7}</author>
  </authors>
  <commentList>
    <comment ref="AV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7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H17" authorId="1" shapeId="0" xr:uid="{00000000-0006-0000-0700-00000A000000}">
      <text>
        <r>
          <rPr>
            <b/>
            <sz val="9"/>
            <color indexed="81"/>
            <rFont val="Tahoma"/>
            <family val="2"/>
          </rPr>
          <t>ANGELA MARCELA FORERO RUIZ:</t>
        </r>
        <r>
          <rPr>
            <sz val="9"/>
            <color indexed="81"/>
            <rFont val="Tahoma"/>
            <family val="2"/>
          </rPr>
          <t xml:space="preserve">
Inlcuir las 4 actividades de alistamiento realilzadas</t>
        </r>
      </text>
    </comment>
    <comment ref="AI17" authorId="1" shapeId="0" xr:uid="{00000000-0006-0000-0700-00000B000000}">
      <text>
        <r>
          <rPr>
            <b/>
            <sz val="9"/>
            <color indexed="81"/>
            <rFont val="Tahoma"/>
            <family val="2"/>
          </rPr>
          <t>ANGELA MARCELA FORERO RUIZ:</t>
        </r>
        <r>
          <rPr>
            <sz val="9"/>
            <color indexed="81"/>
            <rFont val="Tahoma"/>
            <family val="2"/>
          </rPr>
          <t xml:space="preserve">
Inlcuir las 4 actividades de alistamiento realilzadas</t>
        </r>
      </text>
    </comment>
    <comment ref="AU17" authorId="2" shapeId="0" xr:uid="{1B0B776F-C0D3-4B8F-AC03-932861C32EE0}">
      <text>
        <r>
          <rPr>
            <b/>
            <sz val="9"/>
            <color indexed="81"/>
            <rFont val="Tahoma"/>
          </rPr>
          <t>Angela Marcela Forero Ruiz:</t>
        </r>
        <r>
          <rPr>
            <sz val="9"/>
            <color indexed="81"/>
            <rFont val="Tahoma"/>
          </rPr>
          <t xml:space="preserve">
Se ajustó la formula que no estaba creada</t>
        </r>
      </text>
    </comment>
    <comment ref="L19" authorId="3" shapeId="0" xr:uid="{00000000-0006-0000-07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requerir ajuste</t>
      </text>
    </comment>
    <comment ref="V19" authorId="4" shapeId="0" xr:uid="{00000000-0006-0000-07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REQUERIR AJUSTE</t>
      </text>
    </comment>
    <comment ref="AJ19" authorId="2" shapeId="0" xr:uid="{00000000-0006-0000-0700-00000E000000}">
      <text>
        <r>
          <rPr>
            <b/>
            <sz val="10"/>
            <color indexed="81"/>
            <rFont val="Tahoma"/>
            <family val="2"/>
          </rPr>
          <t>Angela Marcela Forero Ruiz:</t>
        </r>
        <r>
          <rPr>
            <sz val="10"/>
            <color indexed="81"/>
            <rFont val="Tahoma"/>
            <family val="2"/>
          </rPr>
          <t xml:space="preserve">
La cifra real fue de 343 mujeres por tal razón se debn ajustar durante el año las 280 mujeres restantes para ajustar la cifra a la realidad de las mujeres atendidas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<sst xmlns="http://schemas.openxmlformats.org/spreadsheetml/2006/main" count="5705" uniqueCount="601">
  <si>
    <t>SECRETARÍA DISTRITAL DE LA MUJER</t>
  </si>
  <si>
    <t>Código: DE-FO-05</t>
  </si>
  <si>
    <t xml:space="preserve">DIRECCIONAMIENTO ESTRATEGICO </t>
  </si>
  <si>
    <t>Versión: 08</t>
  </si>
  <si>
    <t xml:space="preserve">FORMULACIÓN Y SEGUIMIENTO  PLAN DE ACCIÓN </t>
  </si>
  <si>
    <t>Fecha de Emisión: 4 de enero de 2022</t>
  </si>
  <si>
    <t>Página 1 de 1</t>
  </si>
  <si>
    <t>PERIODO REPORTADO</t>
  </si>
  <si>
    <t>JUL</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</si>
  <si>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</si>
  <si>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</si>
  <si>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</si>
  <si>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</si>
  <si>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</si>
  <si>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</si>
  <si>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</si>
  <si>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</si>
  <si>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</si>
  <si>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</si>
  <si>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</si>
  <si>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Reducir la pobreza monetaria, multidimensional y la feminización de la pobreza</t>
  </si>
  <si>
    <t>PROGRAMA</t>
  </si>
  <si>
    <t>Promocion de la igualdad de género, desarrollo de capacidades y reconocimiento de la ciudadania en su diversidad.</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</si>
  <si>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</si>
  <si>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</si>
  <si>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</si>
  <si>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</si>
  <si>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</si>
  <si>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</si>
  <si>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</si>
  <si>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</si>
  <si>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</si>
  <si>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</si>
  <si>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</si>
  <si>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</si>
  <si>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</si>
  <si>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</si>
  <si>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</si>
  <si>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</si>
  <si>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</si>
  <si>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</si>
  <si>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TOTAL</t>
  </si>
  <si>
    <t>AVANCE</t>
  </si>
  <si>
    <t>PROGRAMACION DE COMPROMISOS</t>
  </si>
  <si>
    <t>-</t>
  </si>
  <si>
    <t>COMPROMISOS</t>
  </si>
  <si>
    <t>N/A</t>
  </si>
  <si>
    <t>PROGRAMACION DE GIROS</t>
  </si>
  <si>
    <t>GIROS</t>
  </si>
  <si>
    <t xml:space="preserve">REPORTE METAS VIGENCIA ANTERIOR - Pendientes de cumplir por contratos sin ejecutar a 31.DIC (Reservas Presupuestales) </t>
  </si>
  <si>
    <t>DESCRIPCIÓN DE LA META (ACTIVIDAD)</t>
  </si>
  <si>
    <t>PROG.</t>
  </si>
  <si>
    <t>AVANCE TRIMESTRE</t>
  </si>
  <si>
    <t>DESCRIPCIÓN CUALITATIVA DEL AVANCE POR META
(Logros y beneficios, y retrasos y alternativas de solución (2.000 caracteres))</t>
  </si>
  <si>
    <t>Se ejecutó el total de la reserva constituida de la meta 1 en el mes de mayo/22.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</si>
  <si>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</si>
  <si>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</si>
  <si>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</si>
  <si>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</si>
  <si>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</si>
  <si>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</si>
  <si>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</si>
  <si>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</si>
  <si>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</si>
  <si>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Se actualizó procedimiento “Asistencia técnica a los Sectores de la Administración Distrital y las localidades para la transversalización del enfoque diferencial”; se priorizaron 5 sectores donde se implementará, se definieron cronogramas de asistencia técnica y se avanzó en su implementación y se hizo seguimiento. Se priorizaron temas y adelantaron jornadas de intercambio de conocimientos para la asistencia técnica y se realizaron acciones de transversalización del enfoque diferencial con los sectores Educación; Mujeres; Planeación; Cultura, Recreación y Deporte; Gestión Pública; Gobierno, Hábitat y Salud. Se consolidó información sobre herramientas elaboradas en 2021 y a elaborar en 2022 (19 en total) y se definió cronograma de difusión. Se avanzó en diseño de 1 herramienta prevista para 2022 y la revisión y ajuste de 3 herramientas elaboradas en 2021. Se avanzó en la difusión de 12 herramientas.  Se formuló y validó propuesta para formular el plan de fortalecimiento y se validó con la secretaria de la Mujer y comité directivo. Se consolidó información de servicios de la SDMujer para identificar barreras de acceso y se conformó equipo de enlaces de las distintas dependencias para formular el plan. Se elaboraron y remitieron al equipo de enlaces las metodologías para realizar grupos focales para identificar barreras de acceso a los servicios con ciudadanas usuarias y servidoras y servidores que prestan los servicios y se propuso cronograma de realización de grupos a las distintas dependencias. Se realizaron tres reuniones de coordinación con enlaces para validar las metodologías y los grupos propuestos. Se realizaron 9 grupos focales con servidoras y 6 con usuarias para identificar barreras de acceso a los servicios; 5 reuniones de coordinación y preparación de los grupos focales; 3 reuniones de construcción de encuesta para usuarias de los servicios y 1 reunión para distribuir la sistematización de la información recogida en los grupos focales. </t>
  </si>
  <si>
    <t>Ninguno</t>
  </si>
  <si>
    <t xml:space="preserve">Definición de los 5 sectores (Hábitat; Cultura, Recreación y Deporte; Gobierno; Gestión Pública y Educación) donde se brindará la asistencia técnica, definición de cronogramas de asistencia técnica y avances en su implementación, llegando a servidoras y servidores con procesos de sensibilización y acciones de acompañamiento e implementación para la incorporación del enfoque diferencial en políticas, estrategias y acciones dirigidas a las mujeres en sus diferencias y diversidad. Eliminación de barreras de acceso comunicativas a servicios de la SDMujer para ciudadanas sordas. Se cuenta con herramientas identificadas y cronograma de divulgación con sectores de la Administración Distrital y se han socializado 12 herramientas. Se cuenta con propuesta de formulación del Plan de Fortalecimiento Interno de la SDMujer aprobada por la secretaria de la Mujer y comité directivo; se cuenta con información actualizada de los servicios que presta la SDMujer para identificar las barreras de acceso y con equipo de enlaces de las distintas dependencias para formular el Plan de Fortalecimiento Interno de la SDMujer. Se formularon y validaron las metodologías para identificar barreras de acceso con usuarias de los servicios y servidoras que los prestan. Se identificaron barreras de acceso a los servicios de la SDMujer en 9 grupos focales con servidoras y 6 grupos focales con usuarias de los servicios. Se diseño encuesta para identificar barreras de acceso a los servicios con usuarias.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</si>
  <si>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</si>
  <si>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</si>
  <si>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</si>
  <si>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</si>
  <si>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</si>
  <si>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</si>
  <si>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</si>
  <si>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</si>
  <si>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</si>
  <si>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</si>
  <si>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</si>
  <si>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</si>
  <si>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</si>
  <si>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</si>
  <si>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</si>
  <si>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</si>
  <si>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</si>
  <si>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</si>
  <si>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</si>
  <si>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</si>
  <si>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</si>
  <si>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r>
      <rPr>
        <sz val="11"/>
        <color rgb="FF000000"/>
        <rFont val="Times New Roman"/>
        <family val="1"/>
      </rPr>
      <t>De enero a junio se actualizó procedimiento asistencia técnica - AT, definieron cronogramas de AT con 5 sectores y avanzó en su implementación; se hicieron acciones de transversalización del enfoque diferencial – ED con 7 sectores.</t>
    </r>
    <r>
      <rPr>
        <b/>
        <sz val="11"/>
        <color rgb="FF000000"/>
        <rFont val="Times New Roman"/>
        <family val="1"/>
      </rPr>
      <t xml:space="preserve"> En julio</t>
    </r>
    <r>
      <rPr>
        <sz val="11"/>
        <color rgb="FF000000"/>
        <rFont val="Times New Roman"/>
        <family val="1"/>
      </rPr>
      <t xml:space="preserve"> se avanzó en la AT así:  1 taller sobre ED en ambientes laborales con 33 personas de la red de CADES y de atención a la ciudadanía de entidades del Distrito (26-07-2022); 1 sensibilización a enlaces territoriales Secretaría de Gobierno en atención diferencial a mujeres adultas y mayores (27-07-2022) y coordinación de acciones de AT con Subdirección de Libertad Religiosa y de Conciencia (27-07-2022); 2 talleres de atención diferencial a mujeres, con énfasis en mujeres campesinas y rurales, adultas y mayores y 1 taller sobre sexismo en el deporte con equipo de comunicaciones del IDRD (14,21,28-07-2022); 1 reunión con la UAESP y Cooperación Alemana – GIZ para construcción de propuesta embajadoras de género con mujeres recicladoras de oficio (01-07-2022) y aportes para incorporar el ED al Manual de Gestión Social de la Caja de Vivienda Popular en el marco del fortalecimiento de la Estrategia Plan Terrazas (19-07-2022); 1 reunión con Secretaría de Educación para la articulación del protocolo de comunicaciones entre las dos entidades en el marco del convenio 914 de 2021 y la AT del segundo semestre (05-07-2022) y 1 jornada sobre ED con equipo pedagógico y de género de la Dirección de Integración e Inclusión de Poblaciones de Secretaría de Educación (14-07-2022); 2 reuniones de seguimiento a la AT (13 y 27-07-2022) y 2 reuniones de consolidación de balance semestral de la AT (13 y 25-07-2022). Se realizaron acciones de transversalización del enfoque diferencial con sector Mujeres: 11 servicios de interpretación en Lengua de Señas Colombiana - LSC para atención e inclusión de mujeres sordas (11, 12, 21, 25, 26, 27 y 29-07-2022) e interpretación de videos del curso: derecho a la participación y representación con equidad (29-07-2022).</t>
    </r>
  </si>
  <si>
    <t xml:space="preserve">2. Diseñar, implementar o divulgar herramientas que contribuyan a la eliminación de barreras de acceso a los servicios y a la realización de acciones afirmativas dirigidas a mujeres en sus diferencias y diversidad para la garantía de sus derechos en el Distrito Capital. </t>
  </si>
  <si>
    <r>
      <t xml:space="preserve">De febrero a junio se consolidó listado herramientas y concertó cronograma difusión. Se avanzó en Manual de interpretación en Lengua de Señas Colombiana – LSC con perspectiva de género y poblacional y finalizó Manual de atención e inclusión educativa para mujeres diversas. Se socializaron: lineamientos de atención a mujeres trans y personas no binarias; video eliminación de estereotipos negativos mujeres mayores, manual de atención e inclusión educativa para mujeres diversas (3 socializaciones), video lineamientos de atención en salud para mujeres en sus diferencias y diversidad, herramientas estrategia capacidades psico emocionales (cartilla, piezas comunicativas, podcast salud mental y videos experiencia espacios respiro). Se gestionaron espacios de socialización video lineamientos de atención en salud para mujeres en sus diferencias y diversidad y lineamientos de atención a mujeres Trans y personas no binarias. Correcciones lineamientos de atención a mujeres trans y personas no binarias. </t>
    </r>
    <r>
      <rPr>
        <b/>
        <sz val="11"/>
        <rFont val="Times New Roman"/>
        <family val="1"/>
      </rPr>
      <t>Julio:</t>
    </r>
    <r>
      <rPr>
        <sz val="11"/>
        <rFont val="Times New Roman"/>
        <family val="1"/>
      </rPr>
      <t xml:space="preserve"> Socialización video lineamientos de atención en salud a profesionales de salud y personal de atención a ciudadanía Clínica Fundación Santafé (05-07-2022); correcciones documento de recomendaciones para la incorporación del enfoque diferencial en la atención a personas trans y no binarias en el marco del Sistema de Cuidado - Manzana del Cuidado de Los Mártires (19-07-2022; socialización de 4 videos de mujeres mayores “Te Celebro en mi Vejez” con el Consejo Distrital de Sabios y Sabias para avanzar en la eliminación de estereotipos, imaginarios y representaciones negativas de la vejez (07-07-2022); avance en la construcción del segundo Manual de atención e inclusión educativa para mujeres diversas (25,29.0-2022). Solicitud de comentarios al Manual de atención e inclusión educativa para mujeres diversas del 2021 a la Dirección de Integración e Inclusión de Poblaciones de la Secretaría de Educación, quien solicitó revisión (29-07-2022). Seguimiento al cronograma (29-07-2022).</t>
    </r>
  </si>
  <si>
    <t>3. Formular un plan de fortalecimiento interno para la incorporación de acciones afirmativas con enfoque diferencial, que permitan el acceso de las mujeres en toda su diversidad a los servicios que presta la Secretaría Distrital de la Mujer.</t>
  </si>
  <si>
    <r>
      <rPr>
        <sz val="11"/>
        <color rgb="FF000000"/>
        <rFont val="Times New Roman"/>
        <family val="1"/>
      </rPr>
      <t xml:space="preserve">De enero a junio se elaboró propuesta metodológica preliminar para formulación del plan de fortalecimiento y validó en comité directivo. Se avanzó en identificación y consolidación de información de los servicios que presta la SDMujer. Se elaboró y remitió memorando interno para designación de enlaces de las dependencias responsables de los servicios para formulación del Plan de fortalecimiento y realizó primera reunión de coordinación. Se elaboraron y remitieron al equipo de enlaces las metodologías para realizar grupos focales para identificar barreras de acceso a los servicios con ciudadanas usuarias y servidoras y servidores que prestan los servicios, se propuso cronograma de grupos focales y se realizaron tres reuniones de coordinación para validar las metodologías y los grupos focales propuestos. Se realizaron 11 grupos focales para identificar barreras de acceso a los servicios; 7 con servidoras y servidores y 4 con usuarias. Se realizaron 5 reuniones de coordinación y preparación de los grupos focales. </t>
    </r>
    <r>
      <rPr>
        <b/>
        <sz val="11"/>
        <color rgb="FF000000"/>
        <rFont val="Times New Roman"/>
        <family val="1"/>
      </rPr>
      <t>Julio:</t>
    </r>
    <r>
      <rPr>
        <sz val="11"/>
        <color rgb="FF000000"/>
        <rFont val="Times New Roman"/>
        <family val="1"/>
      </rPr>
      <t xml:space="preserve"> Se realizaron 2 grupos focales con servidoras para identificar barreras de acceso a los servicios; uno con equipo jurídico de Casas de Igualdad y otro con equipo de Centros de Inclusión Digital (01 y 05-07-2022). Se realizaron 2 grupos focales con usuarias para identificar barreras de acceso a los servicios; uno con usuarias del componente de transformación cultural que se realiza en el marco del Sistema de Cuidado y otro con usuarias de los centros de inclusión digital (05-06-2022). Se realizaron 4 reuniones de planeación; 3 para elaborar y remitir a las dependencias la encuesta para aplicar a usuarias y 1 para distribuir la sistematización de los resultados de los grupos focales (12,14,15 y 21-07-2022). </t>
    </r>
  </si>
  <si>
    <t>4. Socializar los lineamientos de la estrategia de corresponsabilidad y elaborar su manual operativo, teniendo en cuenta los enfoques de derechos de las mujeres, de genero y diferencial.</t>
  </si>
  <si>
    <r>
      <rPr>
        <sz val="11"/>
        <color rgb="FF000000"/>
        <rFont val="Times New Roman"/>
        <family val="1"/>
      </rPr>
      <t xml:space="preserve">En febrero y marzo se realizó mesa de trabajo virtual del equipo de promoción de la participación y representación de las mujeres de la Subsecretaría del Cuidado y Políticas de Igualdad, en donde se crearon estrategias para realizar el Manual Operativo de la Estrategia de Corresponsabilidad, se diseñó la matriz para su elaboración, el equipo de corresponsabilidad realizó varias reuniones con el fin de construir el Manual. Dentro de esta construcción se definió la viabilidad técnica, de que la estrategia de fortalecimiento de capacidades ciudadanas de las mujeres es una línea a desarrollar en el lineamiento propuesto, por lo que las acciones de la estrategia se incluyeron dentro del manual operativo. Se realizó la presentación del Manual a la Coordinadora del equipo y las dudas que hay al respecto en cuanto a su implementación.
En abril se revisó y actualizó el procedimiento de Pactos de Corresponsabilidad. Se participó en las reuniones realizadas con la Dirección de Territorialización de Derechos y Participación, con el objetivo de revisar y ajustar conjuntamente este procedimiento, se apoyó ajustándolo de acuerdo a los comentarios y observaciones realizadas. El manual aún se encuentra en revisión.
En el mes de mayo se realizaron mesas de trabajo virtuales del equipo de la Subsecretaría del Cuidado y Políticas de Igualdad, se actualizó el instrumento de seguimiento al Pacto de Corresponsabilidad entre el CCM y los alcaldes y alcaldesas locales, retroalimentando las respuestas que han enviado las alcaldías locales. Con la Dirección de Territorialización de Derechos y Participación, se generaron acuerdos frente al seguimiento al Pacto de Corresponsabilidad entre el CCM y los alcaldes y alcaldesas locales. Se realizó PPT de informe cronológico del Pacto de Corresponsabilidad entre el Consejo Consultivo de Mujeres y los alcaldes y alcaldesas, los referentes de las alcaldías locales. La estrategia de corresponsabilidad fue devuelta por la Subsecretaria para correcciones.
En el mes de junio se realizaron mesas de trabajo virtuales del equipo de la Subsecretaría del Cuidado y Políticas de Igualdad, se actualizó el instrumento de seguimiento al Pacto de Corresponsabilidad entre el CCM y los alcaldes y alcaldesas locales, retroalimentando las respuestas que han enviado las alcaldías locales. Con la Dirección de Territorialización de Derechos y Participación, se generaron acuerdos frente al seguimiento al Pacto de Corresponsabilidad entre el CCM y los alcaldes y alcaldesas locales. Se propuso realizar en el mes de julio nueva reunión con los alcaldes y alcaldesas, los referentes de las alcaldías locales. La estrategia de corresponsabilidad fue corregida y remitida a la Subsecretaria para correcciones junto con el manual operativo.
En el </t>
    </r>
    <r>
      <rPr>
        <b/>
        <sz val="11"/>
        <color rgb="FF000000"/>
        <rFont val="Times New Roman"/>
        <family val="1"/>
      </rPr>
      <t>mes de julio</t>
    </r>
    <r>
      <rPr>
        <sz val="11"/>
        <color rgb="FF000000"/>
        <rFont val="Times New Roman"/>
        <family val="1"/>
      </rPr>
      <t xml:space="preserve"> se realizaron mesas de trabajo virtuales del equipo de la Subsecretaría del Cuidado y Políticas de Igualdad para realizar ajustes al lineamiento de corresponsabilidad y al manual operativo, para enviar una versión final para aprobación de la Subsecretaria. Se actualizó el instrumento de seguimiento al Pacto de Corresponsabilidad entre el CCM y los alcaldes y alcaldesas locales, retroalimentando las respuestas que han enviado las alcaldías locales. Con la Dirección de Territorialización de Derechos y Participación, se generaron acuerdos frente al seguimiento al Pacto de Corresponsabilidad entre el CCM y los alcaldes y alcaldesas locales. Se realizó nueva reunión con los alcaldes y alcaldesas, los referentes de las alcaldías locales y se formalizó de nuevo el pacto con 5 compromisos.</t>
    </r>
  </si>
  <si>
    <t>5. Socializar e implementar la hoja de ruta para incorporar los enfoques de derechos, de género y diferencial para mujeres, a través del acompañamiento y articulación con las consejeras territoriales por el Sector Mujeres en el CTPD.</t>
  </si>
  <si>
    <r>
      <rPr>
        <sz val="11"/>
        <color rgb="FF000000"/>
        <rFont val="Times New Roman"/>
        <family val="1"/>
      </rPr>
      <t xml:space="preserve">En febrero se adelantaron acciones para fortalecer el documento de Caja de Herramientas insumo importante para la incorporación de los enfoques de derechos, de género y diferencial para las mujeres al interior del CTPD, se llevaron a cabo 3 mesas de trabajo, en la que se vienen diseñando actividades pedagógicas que puedan servir para la transversalización de los enfoques en la instancia de participación distrital.
En marzo se continuaron acciones para fortalecer el documento de Caja de Herramientas, se llevó a cabo mesa de trabajo con la consejera Sandra Mazo quién planteó en el año 2021 la creación de una caja de herramientas para ser usada al interior de la instancia, en el encuentro se dio a conocer el avance en el documento y las actividades pedagógicas propuestas hasta el momento para la transversalización de los enfoques en la instancia de participación distrital.
En abril se adelantaron acciones encaminadas a fortalecer el documento de Caja de Herramientas se llevó a cabo mesa de trabajo con la coordinadora del equipo de promoción de la participación y representación de las mujeres, donde se dio a conocer el avance en el documento y se informó del envío del mismo a la consejera Sandra Mazo, con quien se acordó recibir sus comentarios y sugerencias al texto para continuar avanzando con el proceso.
Durante mayo se mantuvo acciones para fortalecer el documento de Caja de Herramientas, se llevaron a cabo mesas de trabajo con la coordinadora del equipo de promoción de la participación y representación de las mujeres los días 10/05/2022, 24/05/2022 y el 31/05/2022, donde se dieron a conocer las actualizaciones y avances en el documento, según los comentarios y sugerencias de la consejera Sandra Mazo, para avanzar con el proceso.
Durante el mes de junio se adelantaron acciones encaminadas a fortalecer el documentos de Caja de Herramientas que será insumo importante para la incorporación de los enfoques de derechos, de género y diferencial para las mujeres al interior del CTPD, se llevaron a cabo mesas de trabajo con la coordinadora del equipo de promoción de la participación y representación de las mujeres los días 07/06/2022 y 15/06/2022, a través de las cuales, se dieron a conocer las actualizaciones y avances en el documento, así mismo se incorporaron sus comentarios y aportes, el docomento paso a revisión preliminar para continuar avanzando con el proceso.
Durante el </t>
    </r>
    <r>
      <rPr>
        <b/>
        <sz val="11"/>
        <color rgb="FF000000"/>
        <rFont val="Times New Roman"/>
        <family val="1"/>
      </rPr>
      <t>mes de julio</t>
    </r>
    <r>
      <rPr>
        <sz val="11"/>
        <color rgb="FF000000"/>
        <rFont val="Times New Roman"/>
        <family val="1"/>
      </rPr>
      <t xml:space="preserve"> se adelantaron acciones encaminadas a robustecer el documentos de Lineamiento de Corresponsabilidad que será insumo importante para la incorporación de los enfoques de derechos, de género y diferencial para las mujeres al interior del CTPD, se fortalecieron los apartados de los mecanismos de coordinación y articulación, de comunicación y de fortalecimiento de capacidades, a través de la mesa de trabajo del equipo de promoción de la participación y representación de las mujeres con el profesional especializado llevada a cabo el 05/07/2022, además, actualmente el documento de Caja de Herramientad se encuentra en revisión preliminar de la coordinadora del equipo de promoción de la participación y representación de las mujeres para continuar avanzando con el proceso.</t>
    </r>
  </si>
  <si>
    <t>6. Socializar e implementar la hoja de ruta para incorporar los enfoques de derechos, de género y diferencial para mujeres, a través del acompañamiento y articulación con la Subcomisión de Género del Decreto 563 de 2015.</t>
  </si>
  <si>
    <r>
      <rPr>
        <sz val="11"/>
        <color rgb="FF000000"/>
        <rFont val="Times New Roman"/>
        <family val="1"/>
      </rPr>
      <t xml:space="preserve">En febrero se elaboró el documento preliminar sobre la actualización del Decreto 563-15, realizando aportes al bloque 1 términos generales, bloque 2 acciones preventivas y bloque 3 acciones concomitantes y realización de la base de datos de las organizaciones firmantes del Decreto. Además, acciones encaminadas a fortalecer el documento de Caja de Herramientas, se llevaron a cabo 3 mesas de trabajo en la que se vienen diseñando actividades pedagógicas que puedan servir para la transversalización de los enfoques en las instancias de participación distrital.
En marzo se realizó la presentación de la actualización del Decreto 563-15 a la Subsecretaría del Cuidado y Políticas de Igualdad, con el fin de mostrar el proceso de actualización que se viene desarrollando desde el año 2020.
En abril se realizó actualización en la presentación de la subcomisión para la garantía y seguimiento de los derechos de las mujeres, diversidades, disidencias sexuales y de género para el 1 y 22 de abril de 2022.
En mayo se realizó la mesa de trabajo el 13 con la Dirección de Diseño de Políticas, Dirección de Violencias y Oficina Asesora Jurídica, con el fin de revisar los insumos de los bloques 1, 2 y 3 de la actualización del Decreto 563-015 con el fin de incluirlos dentro de la actualización del decreto. Se realizó la mesa de trabajo el 16 y 17 de mayo con la contratista Adriana Roque con el fin de revisar los bloques 1, 2 y 3 de la actualización del Decreto 563-015 con las respectivas notas para enviarlas a la Subsecretaría del Cuidado y Políticas de Igualdad para incluirlas en los aportes por parte de la SDMujer a dicho decreto. Se realizó mesa de trabajo el día 31 de mayo con la Dirección de Diseño de Políticas, Dirección de Violencias y Oficina Asesora Jurídica, para revisar la ruta de atención de violencias hacia las mujeres en el marco de las manifestaciones públicas para incluirlas en el bloque 4 denominado acciones posteriores de la relatoría del Decreto 563-15.
En junio se realizó consolidación por parte de la Subsecretaría del Cuidado y Políticas de Igualdad, Dirección de Eliminación de Violencias, Dirección de Diseño de Políticas y Oficina Asesora Juridica de la actualización del documento del Decreto 563 del 2015 para remitir a la Secretaría Distrital de Gobierno con los aportes realizados como Secretaría Distrital de la Mujer para incluirse dentro del documento.
En </t>
    </r>
    <r>
      <rPr>
        <b/>
        <sz val="11"/>
        <color rgb="FF000000"/>
        <rFont val="Times New Roman"/>
        <family val="1"/>
      </rPr>
      <t>julio</t>
    </r>
    <r>
      <rPr>
        <sz val="11"/>
        <color rgb="FF000000"/>
        <rFont val="Times New Roman"/>
        <family val="1"/>
      </rPr>
      <t xml:space="preserve"> se realizaron dos sesiones finales ampliadas del Decreto 563 de 2015 los dìas 01 y 08 de </t>
    </r>
    <r>
      <rPr>
        <b/>
        <sz val="11"/>
        <color rgb="FF000000"/>
        <rFont val="Times New Roman"/>
        <family val="1"/>
      </rPr>
      <t>julio</t>
    </r>
    <r>
      <rPr>
        <sz val="11"/>
        <color rgb="FF000000"/>
        <rFont val="Times New Roman"/>
        <family val="1"/>
      </rPr>
      <t>, con el fin de revisar el documento de la actualización en sus 4 bloques temáticos y de esta manera trabajar sobre los disensos que se han presentado durante la discusión de todo el documento, para ser enviado posteriormente a la Oficina Asesora Jurídica de la Subsecretaría para la Gobernabilidad de la Secretaría Distrital de Gobierno</t>
    </r>
  </si>
  <si>
    <t>5. Implementar el lineamiento de transversalización de los enfoques de derechos, de genero y diferencial para mujeres, a través del acompañamiento y articulación con las consejeras territoriales por el Sector Mujeres en el CTPD.</t>
  </si>
  <si>
    <t>7. Realizar un documento que dé cuenta de la incorporación de los enfoques de derechos de las mujeres, de género y diferencial para mujeres en las instancias que se acompañan desde la Subsecretaría del Cuidado y Políticas de Igualdad.</t>
  </si>
  <si>
    <t>No hay avance programado para el mes</t>
  </si>
  <si>
    <t>DESCRIPCIÓN DE LA ACTIVIDAD</t>
  </si>
  <si>
    <t>Implementar 3 estrategias con enfoque diferencial para mujeres en su diversidad</t>
  </si>
  <si>
    <t>El saldo  del contrato de transporte No.73785 se liberó en el mes de julio.</t>
  </si>
  <si>
    <t xml:space="preserve">No se presentan atrasos desde las estrategias de empoderamiento de niñas, adolescentes y jóvenes, ni de cuidado menstrual. 
Desde la estrategia de capacidades psicoemocionales se presenta retraso en la actividad 13, curso dirigido a profesionales psicosociales, debido a que la realización de este material se hará en el marco del convenio de cooperación Internacional con OEI, el cual se encuentra en la etapa de firma actualmente. Se avazará en la construcción de la activdad durante los próximos meses de agosto y septiembre. </t>
  </si>
  <si>
    <r>
      <rPr>
        <sz val="11"/>
        <color rgb="FF000000"/>
        <rFont val="Times New Roman"/>
        <family val="1"/>
      </rPr>
      <t>Desde la E</t>
    </r>
    <r>
      <rPr>
        <b/>
        <sz val="11"/>
        <color rgb="FF000000"/>
        <rFont val="Times New Roman"/>
        <family val="1"/>
      </rPr>
      <t>strategia de empoderamiento</t>
    </r>
    <r>
      <rPr>
        <sz val="11"/>
        <color rgb="FF000000"/>
        <rFont val="Times New Roman"/>
        <family val="1"/>
      </rPr>
      <t xml:space="preserve"> se adelanta firma del convenio de cooperación Intenacional con la Organización de estados Iberoamericanos para la educación y la cultura con el fin de aunar esfuerzos y fortalecer gestión para impactar mayor número de niñas, adolescentes y mujeres jóvenes empoderadas por medio de la estrategia.  Desde la </t>
    </r>
    <r>
      <rPr>
        <b/>
        <sz val="11"/>
        <color rgb="FF000000"/>
        <rFont val="Times New Roman"/>
        <family val="1"/>
      </rPr>
      <t xml:space="preserve">Estrategia de capacidades psicoemocionales </t>
    </r>
    <r>
      <rPr>
        <sz val="11"/>
        <color rgb="FF000000"/>
        <rFont val="Times New Roman"/>
        <family val="1"/>
      </rPr>
      <t>se continua desarrollando acciones que aportan como espacios respiro y escuela de educación emocional modalidad presencial que aportan al bienestar emocional y el fortalecimiento de capacidades para la gestión emocional de las mujeres en su diversidad. Desde l</t>
    </r>
    <r>
      <rPr>
        <b/>
        <sz val="11"/>
        <color rgb="FF000000"/>
        <rFont val="Times New Roman"/>
        <family val="1"/>
      </rPr>
      <t xml:space="preserve">a Estrategia de cuidado menstrual, </t>
    </r>
    <r>
      <rPr>
        <sz val="11"/>
        <color rgb="FF000000"/>
        <rFont val="Times New Roman"/>
        <family val="1"/>
      </rPr>
      <t xml:space="preserve">se beneficiaron durante el mes de julio 83 mujeres, 67 habitantes de calle y 16 mujeres con discapacidad; también participaron 21 mujeres privadas de la libertad, pero son parte del proceso inciado en abril, por lo que no se reportan como beneficiarias nuevas.  Se entregaron en total 34 kits de cuidado menstrual con los cuales se aporta a la garantía de derechos de las mujeres. En los espacios  EMAA las mujeres posicionan sus necesidades de dignidad para menstruar, así como herramientas para la transformación de prejuicios y tabúes vinculados con sus experiencias menstruales. Se trabajó con 30  personas servidoras públicas, quienes fueron fortalecidas y se continúa la articulación interinstitucional con cuatro sectores (SDIS, IDIPRON, SALUD, HÁBITAT), así como con la organización Periferia para el trabajo con las mujeres privadas de la libertad.                                                                                                                                                                                                                                                                                                     </t>
    </r>
  </si>
  <si>
    <t xml:space="preserve">8. Realizar semilleros de empoderamiento dirigidos a niñas, adolescentes y mujeres jóvenes. </t>
  </si>
  <si>
    <r>
      <rPr>
        <sz val="11"/>
        <color rgb="FF000000"/>
        <rFont val="Times New Roman"/>
        <family val="1"/>
      </rPr>
      <t xml:space="preserve">Durante los meses de enero y febrero de 2022 se realizó cierre del convenio 850 del 2021. Para el mes de abril se redactó documento de anexo técnico con ajustes y especificaciones para convenio de cooperación internacional con la OEI. Así mismo, en el mes de mayo,  se adelantaron semilleros de empoderamiento dirigidos a mujeres jóvenes y a adolescentes, el primero en articulación con la Fundación Universitaria Monserrate con la participación de 20 mujeres jóvenes, y el segundo con la Fundación PLAN con la participación de 18 niñas y adolescentes. Durante junio se adelantaron acciones para firmar memorando de entendimiento con la Universidad de Monserrate. Para el </t>
    </r>
    <r>
      <rPr>
        <b/>
        <sz val="11"/>
        <color rgb="FF000000"/>
        <rFont val="Times New Roman"/>
        <family val="1"/>
      </rPr>
      <t>mes de julio</t>
    </r>
    <r>
      <rPr>
        <sz val="11"/>
        <color rgb="FF000000"/>
        <rFont val="Times New Roman"/>
        <family val="1"/>
      </rPr>
      <t xml:space="preserve"> se continuó avanzando en la organización de estudios previos y anexo técnico para firma de convenio de cooperación internacional con la OEI y se adelantó articulación para realizar memorando de entendimiento con la UNIMONSERRATE, institución con la que se realizarán semilleros durante el II semestre 2022 y se tendrá vinculación de estudiantes a los semilleros de empoderamiento que se desarrollen con las niñas, adolescentes y mujeres jóvenes en sus diferencias y diversidades. </t>
    </r>
  </si>
  <si>
    <t>9. Desarrollar acciones de empoderamiento dirigidas a niñas, adolescentes y mujeres jóvenes.</t>
  </si>
  <si>
    <r>
      <rPr>
        <sz val="11"/>
        <color rgb="FF000000"/>
        <rFont val="Times New Roman"/>
        <family val="1"/>
      </rPr>
      <t>A lo largo del año 2022 se han adelantado 17 jornadas siginificativas de empodermiento dirigidas a niñas, adolescentes y mujeres jóvenes. Durante</t>
    </r>
    <r>
      <rPr>
        <b/>
        <sz val="11"/>
        <color rgb="FF000000"/>
        <rFont val="Times New Roman"/>
        <family val="1"/>
      </rPr>
      <t xml:space="preserve"> el mes de julio </t>
    </r>
    <r>
      <rPr>
        <sz val="11"/>
        <color rgb="FF000000"/>
        <rFont val="Times New Roman"/>
        <family val="1"/>
      </rPr>
      <t xml:space="preserve">se realizaron 7 jornadas con un impacto a 110 niñas y adolescentes. </t>
    </r>
  </si>
  <si>
    <t>10. Fortalecer redes protectoras con madres, padres, cuidadoras, cuidadores y profesionales que en el marco de sus acciones trabajan con niñas, niños y adolescentes para la identificación, prevención y actuación frente a las violencias y formas de discriminación basadas en género contra niños, niñas y adolescentes.</t>
  </si>
  <si>
    <r>
      <rPr>
        <sz val="11"/>
        <color rgb="FF000000"/>
        <rFont val="Times New Roman"/>
        <family val="1"/>
      </rPr>
      <t xml:space="preserve">A partir de febrero de 2022 se ha realizado convocatoria permanenente a adultos signicativos de niñas, niños y adolescentes para realizar el curso Observo, identifico y protejo con un total de 152 personas certificadas durante el primer semestre. Para el </t>
    </r>
    <r>
      <rPr>
        <b/>
        <sz val="11"/>
        <color rgb="FF000000"/>
        <rFont val="Times New Roman"/>
        <family val="1"/>
      </rPr>
      <t>mes de julio</t>
    </r>
    <r>
      <rPr>
        <sz val="11"/>
        <color rgb="FF000000"/>
        <rFont val="Times New Roman"/>
        <family val="1"/>
      </rPr>
      <t xml:space="preserve"> se certificaron 12 personas.  </t>
    </r>
  </si>
  <si>
    <t>11. Desarrollar escuelas de educación emocional enfocadas en fortalecer capacidades y herramientas para gestionar la salud mental de las mujeres en su diversidad en la ciudad de Bogotá.</t>
  </si>
  <si>
    <r>
      <rPr>
        <sz val="11"/>
        <color rgb="FF000000"/>
        <rFont val="Times New Roman"/>
        <family val="1"/>
      </rPr>
      <t xml:space="preserve">Febrero se logró:
• Convocatoria e inicio de la 1 sesión de la escuela con mujeres migrantes y refugiadas en el marco de la alianza con ACNUR
• Montaje escuela de educación emocional virtual en la plataforma de la SD Mujer
Marzo se logró:
• Finalización de la 1 escuela con mujeres migrantes y refugiadas en el marco del convenio con ACNUR y en articulación con la Fundación Madre Janer. Total certificadas: 21
• Inicio y finalización de la 2 escuela con mujeres migrantes y refugiadas y mujeres en ASP en el marco del convenio con ACNUR. Total certificadas: 24
• Realización de prueba plataforma escuela virtual- actualización de certificado- Construcción de pieza de convocatoria (14 al 22 de abril de 2022)
Abril se logró:
• Inicio y finalización de la 3 escuela con mujeres migrantes y refugiadas y mujeres en ASP en el marco del convenio con ACNUR. Total certificadas: 20
• Convocatoria escuela de educación emocional virtual
• Inscripción de 310 mujeres en sus diferencias y diversidad a la escuela de educación emocional- Plataforma virtual SD Mujer
Mayo se logró:
• Inicio de la 4 escuela con mujeres migrantes y refugiadas y mujeres en ASP en el marco del convenio con ACNUR. Total participantes: 81 en curso.
• Inicio y desarrollo de la escuela virtual la cual tiene una inscripción de 310 mujeres en sus diferencias y diversidad y se encuentra en curso  
Junio se logró:
• Finalización de la 4 escuela con mujeres migrantes y refugiadas y mujeres en ASP en el marco del convenio con ACNUR. Total certificadas: 68
• Inicio y finalización de la 5 escuela con mujeres migrantes y refugiadas en el marco del convenio con ACNUR. Total certificadas: 11
• Inicio y desarrollo de la escuela virtual. Total certificadas a la fecha: 15
</t>
    </r>
    <r>
      <rPr>
        <b/>
        <sz val="11"/>
        <color rgb="FF000000"/>
        <rFont val="Times New Roman"/>
        <family val="1"/>
      </rPr>
      <t xml:space="preserve">Julio se logró
</t>
    </r>
    <r>
      <rPr>
        <sz val="11"/>
        <color rgb="FF000000"/>
        <rFont val="Times New Roman"/>
        <family val="1"/>
      </rPr>
      <t>•Inicio y finalización de la 6 escuela con mujeres migrantes y refugiadas y mujeres en ASP en el marco del convenio con ACNUR. Total certificadas: 19</t>
    </r>
  </si>
  <si>
    <t>12. Desarrollar espacios de encuentro de mujeres para el cuidado emocional denominados Espacios Respiro.</t>
  </si>
  <si>
    <r>
      <rPr>
        <sz val="11"/>
        <color rgb="FF000000"/>
        <rFont val="Times New Roman"/>
        <family val="1"/>
      </rPr>
      <t xml:space="preserve">Febrero se implementó:
• 4 espacios respiro con mujeres migrantes y refugiadas en el marco de la alianza con ACNUR. Total: 43
• 2 espacios respiro con mujeres cuidadoras. Total: 26
• 1 espacio respiro con mujeres indígenas- Comunidad Embera. Total: 13
Marzo se implementó:  
• 2 espacios respiro con mujeres migrantes y refugiadas en el marco de la alianza con ACNUR. Total: 28
• 2 espacios respiro con mujeres campesinas y rurales. Total: 47
• 2 espacio respiro con mujeres indígenas- Comunidad Embera. Total: 31
• 1 espacio respiro- arte terapia con mujeres en ASP. Total: 10
Abril se implementó:
• 3 espacios respiro con mujeres migrantes y refugiadas en el marco de la alianza con ACNUR. Total: 46 
• 1 espacio respiro con mujeres campesinas y rurales. Total: 14 
Mayo se implementó:
• 3 espacios respiro con mujeres migrantes y refugiadas en el marco de la alianza con ACNUR. Total: 30
• 2 espacios respiro con mujeres adultas y mayores. Total: 41
• 1 espacio respiro con mujeres con discapacidad visual. Total: 26
• 1 espacio respiro con mujeres privadas de la libertad. Total: 9 
• 1 espacio respiro con mujeres campesinas y rurales. Total: 20 
Junio se implementó:
• 3 espacios respiro con mujeres migrantes y refugiadas y mujeres de acogida en el marco de la alianza con ACNUR. Total: 24
• 1 espacio respiro con mujeres con discapacidad visual. Total: 8.
• 2 espacios respiro con mujeres en ASP con el apoyo de Casa de Todas. Total: 20
</t>
    </r>
    <r>
      <rPr>
        <b/>
        <sz val="11"/>
        <color rgb="FF000000"/>
        <rFont val="Times New Roman"/>
        <family val="1"/>
      </rPr>
      <t>Julio</t>
    </r>
    <r>
      <rPr>
        <sz val="11"/>
        <color rgb="FF000000"/>
        <rFont val="Times New Roman"/>
        <family val="1"/>
      </rPr>
      <t xml:space="preserve"> se implementó: 
• 4 espacios respiro con mujeres migrantes y refugiadas en el marco de la alianza con ACNUR. Total: 42
• 2 espacios respiro con mujeres campesinas y rurales. Total: 15
•1 espacio respiro con mujeres indígenas. Total: 15
•1 espacio respiro con mujeres en ASP con el apoyo de Casa de Todas. Total: 2
• 1 espacio respiro con mujeres adultas y mayores. Total: 7
• 1 espacio respiro con mujeres privadas de la libertad. Total: 19</t>
    </r>
  </si>
  <si>
    <t xml:space="preserve">13. Desarrollar un Curso virtual Fortalecimiento de Hábitos de autocuidado y herramientas para la atención y acompañamiento sensible con enfoque diferencial   para equipos de atención psicosocial de los diferentes sectores del Distrito </t>
  </si>
  <si>
    <r>
      <rPr>
        <sz val="11"/>
        <color rgb="FF000000"/>
        <rFont val="Times New Roman"/>
        <family val="1"/>
      </rPr>
      <t xml:space="preserve">Abril: El día 29 de abril se participa de la instalación de la mesa de trabajo de bienestar emocional,  liderada por la Secretaría de Salud (Dirección de Participación Ciudadana) para articular acciones de promoción desde los diferentes sectores del distrito, en este espacio se realizará la socialización de la estrategia y se invitará a los y las asistentes al grupo focal proyectado para la definición del alcance del curso dirigido a profesionales que realizan atención psicosocial.
Mayo: no se realizó avance en la actividad.
Junio: El día 14 de junio se realizó socialización de la estrategia en la mesa de trabajo de bienestar emocional, acordando generar articulación para que profesionales psicosociales puedan realizar el curso propuesto y el día 24 de junio se llevó a cabo socialización de la estrategia con el equipo psicosocial de territorialización y posterior grupo focal para la definición del mismo.
</t>
    </r>
    <r>
      <rPr>
        <b/>
        <sz val="11"/>
        <color rgb="FF000000"/>
        <rFont val="Times New Roman"/>
        <family val="1"/>
      </rPr>
      <t>Julio</t>
    </r>
    <r>
      <rPr>
        <sz val="11"/>
        <color rgb="FF000000"/>
        <rFont val="Times New Roman"/>
        <family val="1"/>
      </rPr>
      <t xml:space="preserve">: no se realizó avance en la actividad, pendiente inicio del convenio de cooperación con OEI. </t>
    </r>
  </si>
  <si>
    <t xml:space="preserve">14.   Implementar la Fase I y II de la EDCM . Espacios EMAA mujeres en sus diferencias y diversidad; hombres trans y personas no binarias. Jornadas de Dignidad Menstrual.  Fortalecimiento de capacidades y/o acompañamiento en EMAA a servidoras/servidores públicos del Distrito </t>
  </si>
  <si>
    <r>
      <rPr>
        <sz val="11"/>
        <color rgb="FF000000"/>
        <rFont val="Times New Roman"/>
        <family val="1"/>
      </rPr>
      <t>Hasta el mes de junio se había avanzado  con la realización de tres recorridos por la dignidad menstrual en las localidades de Fontibón, Bosa y Santafé, en todos estos espacios se entregaron kits de la SDmujer, de SDIS y de IDIPRON. Al cierre de junio según planeación establecida, se habían realizado dos jornadas de dignidad menstrual con mujeres habitantes de calle, en las localidades de Kennedy y Los Mártires. Se realizaron los fortalecimientos al equipo de IDIPRON en el que participaron 45 personas servidoras públicas y se avanza satisfactoriamente con los espacios de fortalecimiento y profundización en Cuidado Menstrual con mujeres privadas de la libertad.</t>
    </r>
    <r>
      <rPr>
        <b/>
        <sz val="11"/>
        <color rgb="FF000000"/>
        <rFont val="Times New Roman"/>
        <family val="1"/>
      </rPr>
      <t xml:space="preserve"> Durante el mes de julio </t>
    </r>
    <r>
      <rPr>
        <sz val="11"/>
        <color rgb="FF000000"/>
        <rFont val="Times New Roman"/>
        <family val="1"/>
      </rPr>
      <t xml:space="preserve">se llevó a cabo recorrido interinstitucional por la dignidad menstrual en la localidad de Santafé, zona de San Bernardo y Las Cruces, en el que se logró llegar a 24 mujeres habitantes de calle, de parte de la SDMujer se entregaron 13 kits de cuidado menstrual y los demás fueron entregados por SDIS. Así mismo, se cumplió con la realización de la Jornada de Dignidad Menstrual  en la localidad de Los Mártires, la cual contó con la participación de 43 mujeres. Se llevó a cabo fortalecimiento de capacidades y seguimiento con el equipo del centro de alta dependencia de la SDIS, para ajustar la metodología EMAA, según las necesidades de la población que es atendida en dicha unidad, participaron 13 personas servidoras públicas. Se continuó el trabajo en alianza con la organización Periferia para generar capacidades a mujeres privadas de la libertad para aprender a realizar toallas de tela y que pueda volverse una opción de ingresos económicos. </t>
    </r>
  </si>
  <si>
    <t xml:space="preserve">15. Desarrollar la Mesa Interinstitucional e implementar Plan de Trabajo  </t>
  </si>
  <si>
    <r>
      <rPr>
        <sz val="11"/>
        <color rgb="FF000000"/>
        <rFont val="Times New Roman"/>
        <family val="1"/>
      </rPr>
      <t xml:space="preserve">Hasta el mes de junio se habían realizado seis mesas distritales, una de ellas presencial y con participación de personal directivo, las demás técnicas y operativas. 
</t>
    </r>
    <r>
      <rPr>
        <b/>
        <sz val="11"/>
        <color rgb="FF000000"/>
        <rFont val="Times New Roman"/>
        <family val="1"/>
      </rPr>
      <t>Durante el mes de julio</t>
    </r>
    <r>
      <rPr>
        <sz val="11"/>
        <color rgb="FF000000"/>
        <rFont val="Times New Roman"/>
        <family val="1"/>
      </rPr>
      <t xml:space="preserve"> se llevó a cabo la séptima reunión de la Mesa Distrital de Cuidado Menstrual, la cual se desarrolló según la agenda prevista que incluyó la presentación de dos personas nuevas de SDSalud y SDIS, el balance de recorrido y jornada de dignidad de julio, la planeación de actividades de agosto, y el avance del informe a la Corte Constitucional. </t>
    </r>
  </si>
  <si>
    <t xml:space="preserve">16. Definir e implementar acciones de las fases III y IV de la Estrategia de Cuidado Menstrual dirigidas a mujeres y personas con experiencias menstruales en sus diferencias y diversidad, según priorización y pertinencia. </t>
  </si>
  <si>
    <r>
      <rPr>
        <sz val="11"/>
        <color rgb="FF000000"/>
        <rFont val="Times New Roman"/>
        <family val="1"/>
      </rPr>
      <t xml:space="preserve">Hasta el mes de junio se habían desarrollado espacios con mujeres afrocolombianas y negras, la firma del Memorando de entendimiento entre la SDMujer y la Organización Periferia para el trabajo con mujeres privadas de la libertad, el desarrollo de espacios pedagógicos EMAA con mujeres de organizaciones de recicladoras de oficio, participaron 81 mujeres, así como reunión con la organización de ASDOWN para realizar acciones articuladas en los centros CRECER y AMAR de la SDIS y fortalecimiento de capacidades al equipo de ACNUR con el fin de profundizar en los módulos EMAA para el desarrollo de las escuelas de cuidado menstrual proyectadas. Se había realizado reunión con con la Secretaría de Educación para definir acuerdos para el inicio del pilotaje de la fase con entornos escolares, así mismo se hizo fortalecimiento al equipo de enlaces SOFIA, quienes en algunas localidades tienen trabajo en colegios y serán multiplicadoras de la EMAA en dichos espacios. </t>
    </r>
    <r>
      <rPr>
        <b/>
        <sz val="11"/>
        <color rgb="FF000000"/>
        <rFont val="Times New Roman"/>
        <family val="1"/>
      </rPr>
      <t xml:space="preserve">Durante el mes de julio </t>
    </r>
    <r>
      <rPr>
        <sz val="11"/>
        <color rgb="FF000000"/>
        <rFont val="Times New Roman"/>
        <family val="1"/>
      </rPr>
      <t xml:space="preserve">se avanzó satisfactoriamente con la realización del segundo espacio de fortalecimiento y alistmiento con 17 enlaces SOFIA, quienes entre agosto y septiembre realizarán pilotajes EMAA en entornos escolares, así mismo se desarrolló un espacio EMAA con 16 mujeres con discapacidad, con quienes se implementaron los ajustes sugeridos a la metodología EMAA y se observó buena recepción. Por último se tuvo una reunión con el área de salud y punto de articulación de ACNUR para el proceso con mujeres migrantes en ASP, quienes finalmente dieron Vo. Bo, para la compra por parte del ACNUR de los kits de cuidado menstrual solicitados, y dar inicio a los espacios con mujeres en el mes de agosto. De parte de la SDMujer, se construyó la guía de justificación técnica de los mismos. </t>
    </r>
  </si>
  <si>
    <t>17. Diseñar y poner en acción el Plan Estratégico de Comunicaciones de la EDCM</t>
  </si>
  <si>
    <r>
      <rPr>
        <sz val="11"/>
        <color rgb="FF000000"/>
        <rFont val="Times New Roman"/>
        <family val="1"/>
      </rPr>
      <t>Hasta el mes de junio se había avanzado con el desarrollo del contenido audiovisual final del "reel" de la campaña No te tapones, dirigida a mujeres habitantes de calle. Asimismo, se han publicado en las redes de la entidad (facebook e instragram), el reel del evento de cierre y entrega de kits que se hizo con las mujeres privadas de la libertad de la cárcel distrital, informción sobre las jornadas de dignidad menstrual y tips generales sobre la estrategia.</t>
    </r>
    <r>
      <rPr>
        <b/>
        <sz val="11"/>
        <color rgb="FF000000"/>
        <rFont val="Times New Roman"/>
        <family val="1"/>
      </rPr>
      <t xml:space="preserve"> Durante el mes de julio, </t>
    </r>
    <r>
      <rPr>
        <sz val="11"/>
        <color rgb="FF000000"/>
        <rFont val="Times New Roman"/>
        <family val="1"/>
      </rPr>
      <t xml:space="preserve">se desarrolló la guía técnica para fortalecimiento a equipos distritales respecto a las Jornadas de Dignidad Menstrual.  </t>
    </r>
  </si>
  <si>
    <t>Promoción de la igualdad de género, desarrollo de capacidades y reconocimiento de la ciudadanía en su diversidad.</t>
  </si>
  <si>
    <t xml:space="preserve">Implementar la Estrategia Casa de Todas </t>
  </si>
  <si>
    <t xml:space="preserve">Implementar la Estrategia Casa de Todas 														</t>
  </si>
  <si>
    <t>Para esta meta el saldo corresponde a la adición del contrato de ferretería. Se estima que los pagos pendiente se haga en el mes de agosto de 2022.</t>
  </si>
  <si>
    <t>Durante los meses de enero a julio de 2022, se dio continuidad a la operación de la Estrategia Casa de Todas con atención presencial y telefónica, brindando atención integral y acompañamiento a 1.909 mujeres que realizan actividades sexuales pagadas, se realizaron 7.019 atenciones en el periodo desagregadas por área así: 3.571 intervenciones por trabajo social, 2.230 actuaciones jurídicas, 1.218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salud en Casa de Todas y en territorios como Kennedy y Barrios Unidos.</t>
  </si>
  <si>
    <t>Durante el mes de enero se realizó el proceso de contratación del personal de atención de la Casa de Todas; sin embargo, este hecho fue contemplado en la planeación de las metas por tanto no se presentaron retrasos en el cumplimiento de las mismas. Con el equipo completo a partir del mes de febrero las metas fueron cumplidas a cabalidad hasta el mes de julio. Derivado de la emergencia sanitaria por COVID-19 la atención se ha alternado entre presencial y telefónica.</t>
  </si>
  <si>
    <t>Se brindó atención integral y acompañamiento a las mujeres que realizan ASP con el fin de contribuir a la garantía de derechos, combatir la estigmatización y mejorar la calidad de vida de esta población a través de una oferta institucional diferencial y especializada.</t>
  </si>
  <si>
    <t>18. Realizar atenciones en intervención social que comprenden plan de intervención, asesoría, acompañamiento, enrutamiento y seguimiento a mujeres que realizan actividades sexuales pagadas</t>
  </si>
  <si>
    <r>
      <rPr>
        <sz val="11"/>
        <color rgb="FF000000"/>
        <rFont val="Times New Roman"/>
        <family val="1"/>
      </rPr>
      <t xml:space="preserve">Durante los meses de enero a </t>
    </r>
    <r>
      <rPr>
        <b/>
        <sz val="11"/>
        <color rgb="FF000000"/>
        <rFont val="Times New Roman"/>
        <family val="1"/>
      </rPr>
      <t>julio</t>
    </r>
    <r>
      <rPr>
        <sz val="11"/>
        <color rgb="FF000000"/>
        <rFont val="Times New Roman"/>
        <family val="1"/>
      </rPr>
      <t xml:space="preserve"> de 2022 se atendieron 1.399 mujeres en trabajo social y se realizaron 3.571 atenciones desagregadas así: 1.131 intervenciones, 2.084 seguimientos y 356 valoraciones iniciales. Derivado de la emergencia por el COVID-19, durante el periodo se realizó atención presencial y telefónica. A través de la atención, en el periodo se logró dar respuesta a las siguientes necesidades específicas:
*26 Remisión para IVE
*30 Portabilidad
*182 Solicitud de encuesta socioeconomica SISBEN
*79 Afiliaciones al sistema de salud
*134 Activación servicios de SDIS, proyecto enlace emergencia social , bono de adulto mayor y jardines
*100 Solicitud cupo DLE
*170 Proceso educación flexible
*35 Formación cursos técnicos SENA
*61 Anticoncepción
*135 Formación para el trabajo con la Fundación Miquelina y Conviventia
*2 Solicitud de citas médicas con el Comité Internacional de Rescate
*251 Pruebas rápidas con secretaria de salud
*16 Duplicados de cédula
*136 Fondo Nacional del Ahorro
*95 Subsidios con Habitat
*271 Salud sexual y reproductiva liga contra el cancer
*9 Unidad para las víctimas
*1 Secretaria Desarrollo Económico
*1 Idipron actividades para jóvenes
*102 Empleabilidad</t>
    </r>
  </si>
  <si>
    <t>19. Realizar atenciones psicosociales  (valoración, asesoría y seguimiento) a mujeres que realizan actividades sexuales pagadas y sus familias</t>
  </si>
  <si>
    <r>
      <rPr>
        <sz val="11"/>
        <color rgb="FF000000"/>
        <rFont val="Times New Roman"/>
        <family val="1"/>
      </rPr>
      <t>Durante los meses de enero a</t>
    </r>
    <r>
      <rPr>
        <b/>
        <sz val="11"/>
        <color rgb="FF000000"/>
        <rFont val="Times New Roman"/>
        <family val="1"/>
      </rPr>
      <t xml:space="preserve"> julio</t>
    </r>
    <r>
      <rPr>
        <sz val="11"/>
        <color rgb="FF000000"/>
        <rFont val="Times New Roman"/>
        <family val="1"/>
      </rPr>
      <t xml:space="preserve"> de 2022 se atendieron 509 mujeres en el área psicosocial y se realizaron 1.218 atenciones desagregadas así: 270 asesorías, 769 seguimientos y 179 valoraciones iniciales. Teniendo en cuenta la contingencia a nivel global de la pandemia COVID-19 la atención se prestó de manera presencial y telefónica acorde a la agenda programada.  Se han realizado primeras atenciones y orientación psicosocial con énfasis en auto cuidado, autoestima, gestión emocional, reconocimiento de habilidades y recursos de afrontamiento. El equipo psicosocial se ha posicionado en la atención a las mujeres que RASP a través de técnicas como la escucha activa y comprensiva, asimismo brindando herramientas que les permite dar trámite a sus emociones y de esta manera se aporta a la solución de sus malestares emocionales.</t>
    </r>
  </si>
  <si>
    <t>20. 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t>
  </si>
  <si>
    <r>
      <rPr>
        <sz val="11"/>
        <color rgb="FF000000"/>
        <rFont val="Times New Roman"/>
        <family val="1"/>
      </rPr>
      <t xml:space="preserve">Durante los meses de enero a </t>
    </r>
    <r>
      <rPr>
        <b/>
        <sz val="11"/>
        <color rgb="FF000000"/>
        <rFont val="Times New Roman"/>
        <family val="1"/>
      </rPr>
      <t xml:space="preserve">julio </t>
    </r>
    <r>
      <rPr>
        <sz val="11"/>
        <color rgb="FF000000"/>
        <rFont val="Times New Roman"/>
        <family val="1"/>
      </rPr>
      <t>de 2022, se atendieron en el área jurídica 737 mujeres y se realizaron 2.230 atenciones desagregadas así: 612 asesorías, 1.441 seguimientos y 177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con mayor participación de las mujeres beneficiarias e incluso con mayor cumplimiento de la agenda por parte de las ciudadanas citadas. En el marco de estas atenciones, durante el periodo se logró además de dar las asesorías requeridas, el seguimiento a casos en curso y la elaboración y trámite de: 
*69 Derechos de petición
*24 Impulso procesal
*18 Procesos de representación
*26 Comités jurídicos de enlaces
*26 Comités jurídicos virtuales
*57 Comités estudio de casos
*4 Audiencias
*16 Ponencias comités de enlaces</t>
    </r>
  </si>
  <si>
    <t>21. Generar y divulgar información de los sitios, dinámicas y contextos de las actividades sexuales pagadas en Bogotá</t>
  </si>
  <si>
    <r>
      <rPr>
        <sz val="11"/>
        <color rgb="FF000000"/>
        <rFont val="Times New Roman"/>
        <family val="1"/>
      </rPr>
      <t>Durante los meses de enero a</t>
    </r>
    <r>
      <rPr>
        <b/>
        <sz val="11"/>
        <color rgb="FF000000"/>
        <rFont val="Times New Roman"/>
        <family val="1"/>
      </rPr>
      <t xml:space="preserve"> julio</t>
    </r>
    <r>
      <rPr>
        <sz val="11"/>
        <color rgb="FF000000"/>
        <rFont val="Times New Roman"/>
        <family val="1"/>
      </rPr>
      <t xml:space="preserve"> de 2022 se consolidó y elaboró:
1-Boletín preliminar de caracterización de personas ASP atendidas en Casa de Todas en 2021 (enero a noviembre)
2-Boletín caracterización de personas ASP atendidas en Casa de Todas en 2021
3-Boletín caracterización de personas ASP atendidas en Casa de Todas primer trimestre de 2022
4-Boletin caracterizacion de personas ASP atendidas 2021. Comparativo Colombianas y Venezolanas. 
5-Boletin caracterizacion de personas ASP atendidas en Casa de Todas primer semestre 2022. Comparativo Colombianas y Venezolanas.
6-Boletín identificacion establecimientos ASP primer semestre de 2022.</t>
    </r>
  </si>
  <si>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</si>
  <si>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</si>
  <si>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Reducir la pobreza monetaria, multidimensional y la feminización de la pobreza				
</t>
  </si>
  <si>
    <t xml:space="preserve">Promocion de la igualdad de género, desarrollo de capacidades y reconocimiento de la ciudadania en su diversidad.			
</t>
  </si>
  <si>
    <t xml:space="preserve">Implementar una estrategia de educación flexible con enfoque diferencial.														
</t>
  </si>
  <si>
    <t>Pendiente por liberar el saldo de $79,750 correspondiente al contrato con el ICFES. Lo cual se espera que se de en el mes de agosto/22 contra liquidación.</t>
  </si>
  <si>
    <t>Implementar una estrategia de educación flexible con enfoque diferencial.</t>
  </si>
  <si>
    <t xml:space="preserve">Se han formalizado las alianzas respectivas con el ICFES, BID, Google, ACNUR y la SED para la implementación de la Estrategia. 
Se avanzó en el proceso de inscripción de las mujeres que presentarán las pruebas Saber 11° en el 2022. (327 mujeres)
Se realizó la feria semestral de educación superior para mujeres diversas. (120 mujeres). 
Se aperturaron dos cursos del SENA del nivel de inglés básico para 54 mujeres. 
Se registraron a 41 mujeres matriculadas en el II semestre de Educación Flexible. </t>
  </si>
  <si>
    <t xml:space="preserve">No se presentan retrasos. </t>
  </si>
  <si>
    <t xml:space="preserve">La estrategia de educación flexible permite la reducción de las barreras de acceso al derecho a la educación de las mujeres, en este sentido se impactó a: 
13 mujeres graduandas de Edu. Flexible desde Casa de Todas I - Semestre de 2022. 
327 mujeres pre-inscritas en las pruebas Saber 11° Calendario A. 
120 mujeres participantes de la feria semestral de Educación Superior para mujeres diversas. 
54 mujeres matriculadas en los cursos de inglés básico del SENA. </t>
  </si>
  <si>
    <t xml:space="preserve">22. Generar alianzas interinstitucionales, convenios y articulaciones con entidades nacionales y distritales, públicas y privadas para la implementación de estrategias educativas flexibles con enfoque diferencial. </t>
  </si>
  <si>
    <r>
      <t xml:space="preserve">De enero a junio se realizaron las gestiones operativas de articulación con las diferentes instituciones de los convenios (ICFES, Google, BID, Makaia, SED y Universidades) de las cuales ya se han firmado los convenios/contratos/acuerdos de entendimiento con el ICFES, Google y el BID para la implementación de la estrategia de educación flexible, especialmente en las gestión del contrato interadministrativo con el ICFES suscrito a finales de junio. </t>
    </r>
    <r>
      <rPr>
        <b/>
        <sz val="11"/>
        <color theme="1"/>
        <rFont val="Times New Roman"/>
        <family val="1"/>
      </rPr>
      <t>Durante julio,</t>
    </r>
    <r>
      <rPr>
        <sz val="11"/>
        <color theme="1"/>
        <rFont val="Times New Roman"/>
        <family val="1"/>
      </rPr>
      <t xml:space="preserve"> se realizó el acta de inicio del contrato con el ICFES, y se realizaron dos reuniones de articulación con ACNUR para el proyecto de investigación y de educación flexible. </t>
    </r>
  </si>
  <si>
    <t xml:space="preserve">23. Promover los apoyos de educación superior con las pruebas Saber (ICFES), Ferias Universitarias y Ruta de la educación superior.  </t>
  </si>
  <si>
    <r>
      <rPr>
        <sz val="11"/>
        <color rgb="FF000000"/>
        <rFont val="Times New Roman"/>
        <family val="1"/>
      </rPr>
      <t xml:space="preserve">Durante marzo a junio se avanzó en tres lineas fundamentales: 1. El registro e inscripción de las pruebas Saber 11° para las 327 mujeres beneficiarias del proceso. Se realizó la primera feria de educación superior en junio y también una reunión de articulación con la agencia de educación superior ATENEA. </t>
    </r>
    <r>
      <rPr>
        <b/>
        <sz val="11"/>
        <color rgb="FF000000"/>
        <rFont val="Times New Roman"/>
        <family val="1"/>
      </rPr>
      <t>Durante julio</t>
    </r>
    <r>
      <rPr>
        <sz val="11"/>
        <color rgb="FF000000"/>
        <rFont val="Times New Roman"/>
        <family val="1"/>
      </rPr>
      <t xml:space="preserve">, se avanzó en la incorporación del equipo de gestoras y profesional para el proyecto del ICFES, se realizaron dos reuniones de implementación del proyecto con el ICFES (14 y 26 de julio), se realizó la reunión de bienvenida de las mujeres inscritas en el programa con más de 200 mujeres participantes (26 de julio), se realizo el material pedagógico de las cartillas de preparación para las pruebas, y se sostuvieron reuniones con los profesores voluntarios (25 de julio) para las sesiones de PREICFES. En el tema de las ferias, se realizó el 06 de julio una reunión de evaluación sobre la primera feria del año. </t>
    </r>
  </si>
  <si>
    <t xml:space="preserve">24. Acompañar a la SDMujer y promoción y vinculación de mujeres en toda su diversidad a la formación complementaria (SENA, Google y Escuela Indigena). </t>
  </si>
  <si>
    <r>
      <rPr>
        <sz val="11"/>
        <color rgb="FF000000"/>
        <rFont val="Times New Roman"/>
        <family val="1"/>
      </rPr>
      <t>Durante enero a junio se realizaron las siguientes acciones en esta linea: Escuela indigena: Reuniones con diferentes universidades (Javeriana, u. Rosario y Andes) para recibir las cotizaciones del proceso formativo, y se continúa trabajando en conjunto conla Dirección de Contratación para poder definir la modalidad contractual idónea para realizar este proceso,  y consultando con universidades para su realización, por lo cual se tuvo una reunión con la U. Nacional (29 de julio) para dar a conocer la propuesta para la escuela indígena. Dirección de Gestión del Conocimiento: Se realizaron 4 sesiones de formación para el persona de los centros de inclusión y formadores del SENA. Adicionalmente, con esta dirección se han habilitado dos cursos de formación de inglés básico. En tercer lugar, desde la línea con Google, se realizaron reuniones de coordinación para establecer las fechas de implementación de los talleres pactados.</t>
    </r>
    <r>
      <rPr>
        <b/>
        <sz val="11"/>
        <color rgb="FF000000"/>
        <rFont val="Times New Roman"/>
        <family val="1"/>
      </rPr>
      <t xml:space="preserve"> Durante julio </t>
    </r>
    <r>
      <rPr>
        <sz val="11"/>
        <color rgb="FF000000"/>
        <rFont val="Times New Roman"/>
        <family val="1"/>
      </rPr>
      <t xml:space="preserve">(06 de julio y 21 de julio) se dio apertura oficial a los dos cursos de inglés básico con el SENA con un total de 54 mujeres matriculadas con una duración de un mes. Adicionalmente, se realizó el primer taller ofrecido con Google para la SDMujer "I am Remarkable" en el marco de la alianza establecida. </t>
    </r>
  </si>
  <si>
    <t xml:space="preserve">25. Realizar el seguimiento y acompañamiento a las mujeres registradas en las estrategias de Educación Flexible inscritas a través de la Dirección de Enfoque Diferencial. </t>
  </si>
  <si>
    <r>
      <rPr>
        <sz val="11"/>
        <color rgb="FF000000"/>
        <rFont val="Times New Roman"/>
        <family val="1"/>
      </rPr>
      <t xml:space="preserve">Durante enero a junio se realizó la inscripción y el seguimiento de las mujeres de Casa de Todas interesadas en la estrategia de Educación Flexible para el I semestre de 2022 con un total de 68 mujeres inscritas que luego aumentó a 75. Adicionalmente, se dio la firma del acta de inicio del convenio con la SED y se han realizado reuniones mensuales de seguimiento a la implementación. Además, se realizaron, dos jornadas de capacitación a los docentes de Casa de Todas sobre el enfoque de género y diferencial. Así mismo, durante este primer semestre se realizó la inscripción de 24 mujeres de ASP en el proceso de las pruebas Saber 11° y las reuniones mensuales de seguimiento con la SED. Durante junio, se realizó la primera reunión semestral de evaluación del convenio con la SED evidenciando alertas tempranas frente a la articulación y deserción de mujeres en ASP del proceso de Educación Flexible. </t>
    </r>
    <r>
      <rPr>
        <b/>
        <sz val="11"/>
        <color rgb="FF000000"/>
        <rFont val="Times New Roman"/>
        <family val="1"/>
      </rPr>
      <t>Durante Julio</t>
    </r>
    <r>
      <rPr>
        <sz val="11"/>
        <color rgb="FF000000"/>
        <rFont val="Times New Roman"/>
        <family val="1"/>
      </rPr>
      <t xml:space="preserve"> (05) se realizó una jornada con la SED de seguimiento al convenio 914 de 2021, y el 18 de julio se realizó una reunión de seguimiento al proceso por parte de Casa de Todas. Adicionalmente, se informa el envío del listado de 145 mujeres para matricular en educación flexible para el II semestre del 2022, de las cuales se han confirmado 41 mujeres matriculadas por la SED. </t>
    </r>
  </si>
  <si>
    <t>Promocion de la igualdad de género, desarrollo de capacidades y reconocimiento de la ciudadania en su diversidad</t>
  </si>
  <si>
    <t>Implementar 1 estrategia de fortalecimiento de capacidades  para el ejercicio del derecho a la participación de las mujeres</t>
  </si>
  <si>
    <t>Saldo de la reserva ejecutado en su totalidad</t>
  </si>
  <si>
    <t>Con el objetivo de continuar con el diseño de la Estrategia de Fortalecimiento de Capacidades, se propuso continuar con la revisión del documento, analizando los objetivos planteados, tanto el general como los específicos. Hay avances en la revisión de los procedimientos conjuntamente con la dirección de Territorialización. El proceso eleccionarionario del CCM se posesionaron 6 nuevas consultivas y se encuentra en visperas de iniciar un nuevo proceso eleccionario para aquellas representaciones en las que no hubo inscripciones.</t>
  </si>
  <si>
    <t>No se logró la elección de 11 representaciones del Consejo Consultivo de Mujeres, ya que no hubo inscripciones por parte de la Ciudadanía, por lo que se va a iniciar un nuevo proceso de elección. La articulación de la estrategia de fortalecimiento de capacidades ciudadanas de las mujeres, ha avanzado, pero va a requerir más tiempo del programado por lo que se reprogramó, Se trabajará lo más que se pueda para ver si se logra en el tiempo programado, ya que aunque ya se están implementado acciones en las instancias, se deben formalizar con el procedimiento y el instructivo pendientes de aprobación</t>
  </si>
  <si>
    <t>Fortalecimiento de las capacidades de las mujeres en torno al ejercicio del derecho de la participación</t>
  </si>
  <si>
    <t>26. Diseñar y socializar la estrategia de fortalecimiento de capacidades para el ejercicio del derecho a la participación de las mujeres en el Distrito.</t>
  </si>
  <si>
    <t>Con el objetivo de continuar con el diseño de la Estrategia de Fortalecimiento de Capacidades, se propuso continuar con la revisión del documento, analizando los objetivos planteados, tanto el general como los específicos. De igual manera, revisar las dos acciones propuestas las cuales son: a. Cualificar la participación de las mujeres y b. El ejercicio de representación de las mujeres. El paso a seguir en el mes de marzo es socializar el documento a las demás direcciones de la Secretaría para retroalimentación.
En el mes de marzo  el equipo de corresponsabilidad realizó varias reuniones con el fin de construir el manual operativo del lineamiento de corresponsabilidad. Dentro de esta construcción se definió la viabilidad técnica, de que la estrategia de fortalecimiento de capacidades ciudadanas de las mujeres es una línea a desarrollar en el lineamiento propuesto. Por tal razón las acciones de la estrategia se incluyeron dentro del manual operativo. También se realizó una reunión con la Veeduría Distrital para concertar acciones de articulación encaminadas al fortalecimiento de capacidades ciudadanas de la mujeres. Queda un compromiso de una próxima reunión para definir acciones de articulación conjuntas.
En abril se asistió a la reunión convocada para el Equipo de Corresponsabilidad de la Subsecretaría del Cuidado y Políticas de Igualdad con el objetivo de revisar el procedimiento de Fortalecimiento de la Participación y representación de las mujeres en instancias y procesos organizativos del Distrito Capital, ya que dicho procedimiento debe estar articulado con la estrategia de fortalecimiento, el cual se va a actualizar en el mes de mayo junto con la Dirección de Territorialización de Derechos y Participación
En el mes de mayo se realizaron reuniones con la dirección de territorialización, con el fin de revisar y actualizar el procedimiento de fortalecimiento a organizaciones, el cual es la base para la promoción de la participación de las mujeres.
En el mes de junio se realizaron reuniones con la dirección de territorialización, con el fin de revisar y actualizar el procedimiento de fortalecimiento a organizaciones, el cual es la base para la promoción de la participación de las mujeres. Se propuso realizar un instructivo de asistencia técnica que está en proceso de formulación.
En el mes de julio se realizaron reuniones con el fin de revisar y actualizar el procedimiento de fortalecimiento a organizaciones, el cual es la base para la promoción de la participación de las mujeres. Se realizo una propuesta de instructivo de asistencia técnica que está en proceso de formulación.</t>
  </si>
  <si>
    <t>27. Realizar una implementación piloto de la estrategia de fortalecimiento de capacidades para el ejercicio del derecho a la participación de las mujeres en el Distrito.</t>
  </si>
  <si>
    <t>Aunque no se han terminado de actualizar los procedimienos, se han realizado actividades permanentes de fortalecimiento de capacidades de las mujeres al CCM y al CTPD.  Se proyecta hacer la caracterización de las instancias de acuerdo al instructivo y posteriormente hacer un  plan de trabajo</t>
  </si>
  <si>
    <t>28. Implementar el proceso eleccionario del Consejo Consultivo de Mujeres - Espacio Autónomo y posesionar las Consejeras Consultivas electas.</t>
  </si>
  <si>
    <t>Proceso de Información con las candidatas inscritas por Localidad y Diferencias y Diversidad. El 4 de febrero se publicó el documento con los listados parciales de las organizaciones y candidatas que subsanaron documentos de acuerdo a las observaciones realizadas  El 7 de febrero se publicaron los listados finales de las organizaciones de mujeres y candidatas que cumplieron con los requisitos definidos para el proceso eleccionario. Los días 14, 15, 16, 17, 18, y 21 de febrero se adelantaron las Asambleas de Elección, en las cuales se eligieron a 14 consejeras consultivas para las representaciones por Localidad, Derechos, Diferencias y Diversidad. El 25 de febrero fueron publicadas las respectivas actas de las Asambleas de Elección, con el objetivo de recoger observaciones sobre las mismas a partir del 28 de febrero.
En el mes de marzo se expidió la resolución 066 de 2022, por medio de la cual se reconoce a las 14 consejeras consultivas elegidas en la asamblea del mes de febrero de 2022, y las 3 consejeras consultivas que fueron delegadas. De igual manera, el 8 de marzo se lleva a cabo el acto protocolario de reconocimiento de estas 17 nuevas consejeras consultivas.
Por otro lado, se adelanto el proyecto de resolución, para el nuevo proceso eleccionario que se debe adelantar para la elecciones de las 17 representaciones faltantes dentro del CCM.
Durante el mes de abril, se realizaron los ajustes del proyecto de resolución para el nuevo proceso eleccionario que se debe adelantar para las 17 representaciones faltantes. 
El 8 y 11 de abril se llevaron a cabo dos reuniones internas de la Subsecretaría del Cuidado y Políticas de Igualdad, con el objetivo de revisar los ajustes solicitados por la Oficina Asesora Jurídica de la SDMujer, realizar los mismos y elaborar un anexo técnico con las justificaciones de las modificaciones propuestas en la resolución. 
De igual manera, se realizaron socializaciones sobre el proceso eleccionario en las siguientes fechas:
El 1 de abril se realizó una socialización  con 7 mujeres interesadas en el proceso eleccionario, a quienes se les presentó las representaciones faltantes por elección y los requisitos a cumplir.
El 5 de abril se llevo a cabo una reunión con organizaciones y espacios de participación de mujeres afrocolombianas, negras, palenqueras y raizales, con el objetivo de conocer como sería su participación en el proceso eleccionario, y se realizó la propuesta de hacer la delegación de la consejera consultiva para la representación de mujeres afrocolombianas. 
El 7 de abril se participó en el COLMYG de Fontibón, en el cual se presento el estado actual del proceso eleccionario y cual era el caso de la Localidad para elegir a su consejera consultiva. 
Durante el mes de mayo se llevo a cabo la publicación del proyecto de resolución del proceso eleccionario del CCM en LegalBog para recibir comentarios por parte de la ciudadanía hasta el 16 de mayo, una vez revisado y considerando que no se recibieron comentarios al respecto, se procedió a expedir el 18 de mayo el acto administrativo con la información del proceso eleccionario 2022 a través de la Resolución 0137 de 2022 con las 17 representaciones a elegir, los requisitos para la inscripción y el cronograma previsto para adelantar el proceso. 
De igual manera se adelantaron reuniones con las Direcciones de Territorialización de Derechos y Participación, de  Derechos y Diseño de Política y de Enfoque Diferencial, para revisar las estrategias a seguir para lograr la elección de las 17 representaciones vacantes dentro del CCM.
Durante el mes de junio, se realizó la revisión de requisitos de las organizaciones y candidatas inscritas para el proceso eleccionario. El 14 y 30 de junio se llevaron a cabo las sesiones de Proceso de Información con las candidatas. El 21 de junio se publicó el documento con la lista de las organizaciones y candidatas que debían subsanar documentos, entre el 22 y el 24 de junio se recibieron las subsanaciones, y el 29 de junio se publicó el documento con los listados de las organizaciones y candidatas que subsanaron requisitos. 
De igual manera, en el mes de junio se elaboró el proyecto de resolución por medio del cual se modifica el cronograma del proceso eleccionario establecido en la Resolución 137 de 2022, para las 11 representaciones en las cuales no se recibieron inscripciones, o el mínimo de (2) candidatas para llevar a cabo las Asambleas de Elección. este proyecto de resolución fue publicado en LegalBog el 17 de junio, y estuvo abierto para comentarios de la ciudadanía hasta el 24 de junio. 
El 28 de junio se llevó a cabo una reunión con el equipo de la SDMujer que apoya el proceso eleccionario, para definir el cronograma de las asambleas de elección que se llevarán a cabo en el mes de julio.
Los días 7, 8 y 12 de julio, se realizaron seis asambleas de elección correspondientes a las siguientes representaciones: Derecho al Trabajo en Condiciones de Igualdad y Dignidad, Mujeres Excombatientes Constrcutoras de Paz, Mujeres que hacen parte de Juntas de Acción Comunal, y de las Localidad de Suba, Rafael Uribe Uribe Uribe y Sumapaz. 
De igual manera, el 21 de julio se publiron los resultados finales de las asamleas de elección en la sección del proceso eleccionario de la página web de la SDMujer.
Se expidió la Resolución 0230 de 2022 por medio de la cual se reconoce a las seis consejeras consultivas electas, así mismo el 29 de julio se realizó el acto de reconocimiento simbólico de las consejeras consultivas.</t>
  </si>
  <si>
    <t xml:space="preserve">Acompañar técnicamente 4 instancias de participación y representación de las mujeres  para fortalecer sus capacidades de liderazgo								
</t>
  </si>
  <si>
    <t xml:space="preserve">Acompañar técnicamente 4 instancias de participación y representación de las mujeres  para fortalecer sus capacidades de liderazgo		</t>
  </si>
  <si>
    <t>Se han realizado el acompañamiento técnico a las cuatro instancias priorizadas  CCM , la Subcomisión de Género, el CTPD y el Concejo de Bogotá</t>
  </si>
  <si>
    <t>Acompañamiento técnico para el fortalecimiento del derecho a la participación de las mujeres en las diferentes instancias priorizadas, para el posicionamiento de sus agendas.</t>
  </si>
  <si>
    <t xml:space="preserve">29. Acompañar técnica y operativamente el desarrollo de la Mesa coordinadora y la plenaria del espacio autónomo del Consejo Consultivo de Mujeres </t>
  </si>
  <si>
    <t xml:space="preserve">Durante el mes de febrero no se pudo adelantar la Mesa Coordinadora ni la plenaria del Espacio Autónomo, teniendo en cuenta que no se contaba con el quórum necesario para sesionar, teniendo en cuenta que hasta el 8 de marzo se realizará la posesión de  las 17 consejeras consultivas elegidas en febrero. Sin embargo el 10 de febrero se adelantó llevó a cabo una reunión inicial con las consejeras consultivas posesionadas el 23 de diciembre de 2021, con el objetivo de realizar una bienvenida y priorizar algunos temas necesarios para el trabajo a desarrollar con el Consejo Consultivo de Mujeres. 
Durante  el mes de marzo, se adelantaron las siguientes reuniones con el CCM:
Reunión de las consejeras posesionadas en el evento del 8M y las consejeras consultivas salientes, con el objetivo de presentar los logros del CCM y los compromisos pendientes, se socializó por parte de la Dirección de Territorialización la estrategia de fortalecimiento definida en el marco del convenio suscrito por la SDMujer y la OEI.
El 30 de marzo se llevo a cabo la Mesa Coordinadora, en la cual se abordaron temas relacionados con el Consejo Local de Seguridad para las Mujeres, informe sobre las acciones a seguir para elegir las vacantes del proceso eleccionario, y la elección de la consejera articuladora y secretaria del CCM. Por otro lado, se dio respuesta las consejeras consultivas por parte de la Dirección de Territorialización, a las preguntas realizadas por el CCM sobre el incentivo de plan de datos a entregar, en el marco de la estrategia de fortalecimiento a las organizaciones. 
Durante  el mes de abril, se adelantaron las siguientes reuniones con el CCM:
El 20 de abril se realizó la Mesa Coordinadora, en la cual se abordaron temas relacionados con la transversalización del enfoque de género y se escucharon observaciones y comentarios de las consejeras consultivas frente al proceso. 
De igual manera, el 20 de abril se llevó a cabo la plenaria del Espacio Autónomo, en la cual las consejeras consultivas iniciaron con la elaboración del Plan de Acción para la vigencia 2022. Se programaron adicionalmente dos reuniones, el 25 y 28 de abril para continuar trabajando en la definición del plan de acción. 
Durante  el mes de mayo , se adelantaron las siguientes reuniones con el CCM:
El 25 de mayo se realizó la Mesa Coordinadora, en la cual se propuso un espacio de diálogo entre el CCM y la Secretaria Distrital de la Mujer para abordar temas priorizados por las consejeras consultivas relacionados con temas de transversalización, presupuestos participativos, fortalecimiento territorial y de relacionamiento entre la SDMujer y el CCM
De igual manera, el 25 de mayo se llevó a cabo la plenaria del Espacio Autónomo, en la cual las consejeras consultivas realizaron la revisión de la propuesta del Plan de Acción 2022 elaborado por el CCM y se dieron observaciones y comentarios al mismo, por parte de la Secretaría Técnica del CCM.
Durante  el mes de junio , se adelantarón las siguientes reuniones con el CCM:
El 29 de junio se realizó la Mesa Coordinadora, en la cual se presentaron los avances del Sistema del Cuidado por parte de la Dirección del Sistema del Cuidado y se llevo a cabo un escenario de Diálogo con el Secretario Distrital de Gobierno para abordar temas relacionados con la segunda fase de Presupuestos Participativos. 
De igual manera, el 29 de junio  se llevó a cabo la plenaria del Espacio Autónomo, en la se les presentó a las consejeras consultivas una propuesta de fortalecimiento para el CCM elaborada por la Subsecretaría del Cuidado y Políticas de Igualdad, se definió un cronograma de trabajo, y se dió un informe sobre el proceso eleccionario.
Durante  el mes de julio, se adelantarón las siguientes reuniones con el CCM:
El 27 de julio se llevó a cabo la Mesa Coordinadora en la cual se hizo lse sesión de seguimiento de los compromisos suscritos el 15 de septiembre de 2021 entre el CCM y los Alcaldes y Alcaldesas Locales en el marco del  Pacto de Corresponsabilidad.
De igual manera, el 27 de julio  se llevó a cabo la plenaria del Espacio Autónomo, de acuerdo a la agenda propuesta por las consejeras consultivas. </t>
  </si>
  <si>
    <t>30. Acompañar técnicamente el desarrollo de las mesas de trabajo con los sectores de la administración distrital y hacerle seguimiento a los compromisos adquiridos por la administración distrital en el marco del Consejo Consultivo de Mujeres - EA.</t>
  </si>
  <si>
    <t>Durante el mes de febrero, no se realizaron mesas de trabajo con los sectores ya que se estaba a la espera de la posesión de las 17 consejeras consultivas elegidas durante este mes, para contar con un número significativo de integrantes para la programación y desarrollo de las mismas. Internamente, la Subsecretaría del Cuidado y Políticas de Igualdad  realizó mesa de trabajo virtual del equipo de promoción de la participación y representación de las mujeres  el 01 de febrero de 2022, en donde se realizó la revisión de los Pactos de Corresponsabilidad pendientes por seguimiento para la vigencia 2022. Realizó mesa de trabajo virtual del equipo de promoción de la participación y representación de las mujeres de la Subsecretaría del Cuidado y Políticas de Igualdad y el equipo de Gestión Local de la Dirección de Territorialización el 04 de febrero de 2022, en donde se realizó la revisión del Pacto de Corresponsabilidad entre el Consejo Consultivo de Mujeres y los alcaldes y alcaldesas locales para la vigencia 2022. Se elaboró el instrumento de seguimiento al Pacto de Corresponsabilidad entre el Consejo Consultivo de Mujeres y los alcaldes y alcaldesas locales para la vigencia 2022. Se llevó a cabo mesa de trabajo virtual del equipo de promoción de la participación y representación de las mujeres de la Subsecretaría del
Cuidado y Políticas de Igualdad y el equipo de Gestión Local de la Dirección de Territorialización el 15 de febrero de 2022, en donde se presentó el instrumento de seguimiento al Pacto de Corresponsabilidad entre el Consejo Consultivo de Mujeres y los alcaldes y alcaldesas locales para la vigencia 2022. 
Durante el mes de marzo, no se realizaron mesas de trabajo con los sectores ya que no se ha definido con el nuevo CCM que temas se priorizarán para ser abordados con las entidades del Distrito. Sin embargo, El 1 de marzo se llevó  a cabo una reunión con las 12 consejeras consultivas posesionadas durante diciembre de 2021 y las consejeras consultivas salientes, con el objetivo de realizar una reunión inicial de presentación del proceso y revisar temas relacionados con presupuestos participativos y el Pacto de Corresponsabilidad suscrito entre el CCM y las Alcaldesas y Alcaldes Locales.
Durante el mes de abril, no se realizaron mesas de trabajo con los sectores ya que no se ha definido con el  CCM que temas se priorizarán para ser abordados con las entidades del Distrito. Sin embargo, el 5 de abril se llevó  a cabo una reunión con las consejeras consultivas y la  Dirección de Territorialización de Derechos y Participación para revisar los avances relacionados con el seguimiento  del Pacto de Corresponsabilidad suscrito entre el CCM y las Alcaldesas y Alcaldes Locales.
El 24 de mayo, se llevo a cabo una mesa de trabajo con la Secretaría Distrital de Planeación, en la cual se le socializó al CCM lo relacionado con el POT y se presento la estrategia para promover la participación de la ciudadanía en su implementación y seguimiento. De igual manera se recogieron las observaciones y propuestas del CCM para continuar la articulación y trabajo realizado frente al POT.
El 25 de mayo se acompaño la reunión realizada con la Dirección de Derechos Humanos de la Secretaría Distrital de Gobierno y la Consejera Consultiva delegada para el Comité Distrital de Derechos Humanos, con el objetivo de revisar la propuesta de hacer un taller participativo con el CCM, para la actualización del Plan Distrital de Prevención y Protección.
El 3 de junio se llevó a cabo un  taller participativo con el CCM y la Secretaría Distrital de Gobierno, con el objetivo de recoger aportes y comentarios de las consejeras consultivas  para la actualización del Plan Distrital de Prevención y Protección.
El 8 de julio se llevó a cabo una reunión con la Secretaría Distrital de Gobierno en la cual se presentó la estrategia de Cuidado Local y se socializó el estado del proceso de Presupuestos Participativos.
El 22 de julio se realizó un taller con la Secretaría General, con el objetivo de identificar las necesidades de información de las mujeres para los procesos de rendición de cuentas de la Administración Distrital, y seguir fortaleciendo la ruta metodologica de rendición de cuentas con enfoque de género, enfoque de derechos y enfoque diferencial. 
Los días 6, 11, 18 y 25 de julio se realizaron reuniones de trabajo con el CCM, para preparar la mesa de seguimiento del Pacto de Corresponsabilidad, a partir del análisis de información de las respuestas remitidas por las Alcaldías Locales, frente al cumplimiento de los compromisos suscritos el 15 de septiembre de 2022</t>
  </si>
  <si>
    <t>31. Acompañar técnicamente el desarrollo de comisiones de trabajo del Espacio Autónomo del Consejo Consultivo de Mujeres.</t>
  </si>
  <si>
    <t>El CCM aún no ha definido las Comisiones de trabajo del Espacio Autónomo, esta actividad se realizará durante el mes de abril. En el mes de abril el CCM propuso la conformación de 8 comisiones de trabajo, una por cada uno de los derechos de la PPMYEG, y comisiones permanentes de comunicaciones, ética, normativa y jurídica. Sin embargo, aún no han definido como estarán integradas cada una de estas comisiones. 
El 17 de mayo se llevó a cabo una reunión de empalme del CCM, en la cual se definieron las comisiones de trabajo del CCM y como estarían conformadas.
Por otro lado, se llevaron a cabo las siguientes reuniones con la Comisión Normativa: 
El 12 de mayo se realizó una reunión para recoger aportes y comentarios de las consejeras consultivas, para la actualización del Decreto 364 de 2021. 
Los días 16 y 23 de mayo se realizaron mesas de trabajo para iniciar con la actualización del reglamento interno del CCM Espacio Autónomo
El  24 de junio, en el marco de las comisiones del CCM, se llevó  a cabo una reunión con la Dirección de Territorialización de Derechos y Participación con el objetivo de trabajar con las consejeras consultivas, temas relacionados con la actualización normativa de los COLMYG
Los días 13 y 18 de julio en el marco de las comisiones del CCM, se continuó con la actualización del reglamento del CCM - EA y se finalizó la elaboración del plan de acción 2022</t>
  </si>
  <si>
    <t>32. Acompañar técnicamente la transversalización del enfoque de género en el Concejo de Bogotá, con enfásis en las bancadas de mujeres de este organo</t>
  </si>
  <si>
    <t xml:space="preserve">Durante el mes de enero, la Secretaría de la Mujer se reunió con Demolab (Laboratorio de innovación política del Concejo de Bogotá) y sus organizaciones aliadas, en donde se logró definir los objetivos durante el año 2022 para continuar con la implementación de la caja de transversalización del enfoque de género en el Concejo de Bogotá. Se avanzó en un cronograma común y la reafirmación de los compromisos de cada una de las organizaciones. Esta reunión trae como beneficio que durante el 2022 se siga trabajando conjuntamente para que los y las concejales junto a sus equipos tengan herramientas técnicas para realizar proyectos de acuerdo y debates de control político con enfoque de género.
Durante el mes de febrero, la Secretaría de la Mujer participó en la reunión convocada por Demolab para definir la metodología que se usará para ajustar la caja de herramientas para la transversalización del enfoque de género en el Concejo de Bogotá. En dicha reunión se definió las fechas en que se ajustará cada capitulo y las preguntas orientadoras para garantizar que se incorpore el enfoque de género y diferencial en el toolkit. Así mismo, se asistió a diferentes sesiones en el Concejo, en donde el orden del día contenía los siguientes proyectos de acuerdo: 181 del 2021,  264 del 2021, 023 del 2022 y 046 del 2022. Durante estas sesiones, la Secretaria de la Mujer estuvo presente para garantizar la incorporación del enfoque de género. Igualmente, se asistió a la mesa de trabajo convocada por la Concejal Heidy Sánchez en donde se trató el tema de docentes trans en Bogotá. Allí se logró articular acciones con distintas entidades y se informó a la Concejal sobre los avances de SDMujer en pro de la garantía de derechos para las mujeres trans.  
Durante el mes de marzo, la SDMujer fue invitada a diferentes proyectos de acuerdo, entre esos el PA Priorizado No. 023 de 2022 “Por medio del cual se toman medidas para garantizar el derecho a la vida, la salud plena, la dignidad humana, el libre desarrollo de la personalidad, y el derecho fundamental a la Interrupción Voluntaria del Embarazo (IVE) y se dictan otras disposiciones”, allí se asistió con el objetivo de garantizar la inclusión del enfoque de género en el proyecto. También la entidad asistió a la mesa de trabajo convocada por el sector educación en donde se abordó el PA “La ciudad de las niñas, niños y adolescentes”, el objetivo y resultado de la reunión fue la incorporación de los comentarios de SDMujer en el articulado. 
Así mismo, se participó en la reunión de preparación de la mesa de trabajo convocada por la bancada por la dignidad de los recicladores, la SDMujer asistió para hacerle seguimiento a las necesidades de la comunidad y brindar la oferta institucional. Igualmente se realizó una reunión interna para coordinar la capacitación sobre equidad de género para el comité de la mujer del Concejo de Bogotá.
 Durante el mes de abril, se asistió a la reunión convocada por Demolab que tenía como objetivo actualizar el cronograma de trabajo para ajustar la caja de herramientas para la transversalización del enfoque de género en el Concejo de Bogotá, allí se definió que la SDMujer acompañara la actualización de esta herramienta durante el 2022. También se asistió a la mesa de trabajo convocada por el Concejal Luis Carlos Leal en donde se abordó el proyecto de acuerdo 143 del 2022, allí se expusieron los comentarios de esta Secretaria con el fin de que el proyecto integre el enfoque de género. Igualmente se asistieron a los debates de control político citados por la corporación para exponer el trabajo de la Secretaria de la Mujer, para esto se prepararon las presentación que muestran el avance de las metas y los logros obtenidos por la SDMujer. 
Durante el mes de mayo se asistió a todos los debates de proyectos de acuerdo de autoría de los Concejales a los que fue invitada la Secretaría de la Mujer, así mismo se participó en diversas mesas de trabajo externas como internas para garantizar la incorporación del enfoque de género en los proyectos de acuerdo. 
También se hizo revisión de la caja de herramientas para la transversalización del enfoque de género y se enviaron comentarios para su actualización. 
Durante el mes de junio se realizó una reunión presencial con Demolab y distintas organizaciones aliadas en donde se socializaron los comentarios para la Caja de Herramientas para la transversalización del enfoque de género. También se asistió a la Comisión de Gobierno del Concejo de Bogotá en donde se debatió el proyecto de acuerdo 134 2022: “Por medio del cual se crean Lineamientos para la Atención Integral a Víctimas de Abuso Policial, con enfoque de juventudes, en el marco de la protesta social en Bogotá”, este proyecto incorporó las sugerencias realizadas por la Secretaría de la Mujer para transversalizar el enfoque de género en el articulado. 
Durante el mes de julio se asistió a la presentación y debate del proyecto de acuerdo No. 279 de 2022 “Por el cual se efectúan unas modificaciones en el Presupuesto Anual de Rentas e Ingresos y de Gastos e Inversiones del Distrito Capital, para la vigencia fiscal comprendida entre el 1 de enero y el 31 de diciembre de 2022 en donde se aprobó la asignación de recursos para programas con enfoque de género. Así mismo se asistió a mesas de trabajo del proyecto de acuerdo 143 del 2022 en donde se promovió la incorporación del enfoque de género y diferencial. </t>
  </si>
  <si>
    <t>33. Acompañar técnicamente la incorporación del enfoque de género en la mesa de la actualización del decreto 563 de 2015, gestionar y coordinar las reuniones con la subcomisión de genero.</t>
  </si>
  <si>
    <t>Se asistió a la reunión convocada por la Secretaría Distrital de Gobierno, con el fin actualizar el Decreto 563-015 en su bloque 3 denominado acciones concomitantes los días 10,17 y 24 de febrero. Se asistió a la reunión convocada por la Secretaría Distrital de Gobierno con motivo de las movilizaciones convocadas en la ciudad para el día 24 de febrero de 2022. Se acompañó de manera presencial en el centro de operaciones de emergencia (COE) con motivos de las movilizaciones convocadas en la ciudad de Bogotá el día 24 de febrero de 2022
En el mes de marzo  se realizó la reunión convocada por la Secretaría Distrital de Gobierno, con el fin actualizar el Decreto 563-015 en su bloque 3 denominado acciones concomitantes los días 9, 10,15 y 31 de marzo
Se reaPor ultimo la SDMujer  participó en la reunión de caracterización de mujeres alrededor de la movilización social en Bogotá, con el fin de identificar como se viene desarrollando de manera diferencial la movilización en la ciudad de Bogotá para las mujeres y así mismo determinar las violencias que sufren las mujeres alrededor de la protesta social en las calles y dentro de las organizaciones sociales de las que participan.
En el mes de abril se asistió a la reunión de la subcomisión para la garantía y seguimiento de los derechos de las mujeres, diversidades, disidencias sexuales y de género el día 01 de abril y 22 de abril del 2022.
 Se participó a la reunión citada por Campaña Defender la Libertad con el fin de acompañar el lanzamiento del documento torturar y castigar a quien protesta el día 06 de abril de 2022. 
 También participamos en la reunión convocada por la Secretaría Distrital de Gobierno, con motivo de las movilizaciones citadas para el día 28 de abril y 1ero de mayo y las marchas LGBTI que tendrán lugar a finales del mes de junio, en el marco de la celebración mundial del Día del Orgullo Gay y Lésbico el día 26 de abril de 2022.
En el mes de mayo se realizó la reunión el día 3 de mayo, con el fin de revisar verbos y categorías con la Dirección de Eliminación de Violencias para llevarlas como propuestas a la reunión de la Subcomisión. Se realizó la reunión de la subcomisión los día 09 y 20 de mayo, con el fin de establecer agenda de trabajo y construir objetivos específicos y acciones de dicha subcomisión junto a las instituciones y organizaciones de la sociedad civil firmantes del Decreto 563-015. Se realizó la reunión  del día 9 de mayo por la Secretaría Distrital de Gobierno, con el fin revisar el bloque 4 de la actualización del Decreto 563-015 denominada acciones concomitantes. Se participó en la reunión convocada por Secretaría Distrital de Gobierno con el fin de revisar de forma conjunta los aspectos logísticos y el cronograma propuesto para llevar a cabo la tercera versión del ejercicio teórico práctico y a la reunión convocada por la Secretaría Distrital de Gobierno, con el fin de revisar la agenda de las  marchas a desarrollarse en la ciudad de Bogotá del sector LGBTI+, en el marco de la celebración mundial del Día del Orgullo Gay.  Se participó en el ejercicio teórico practico el día 19 de mayo con el fin de implementar el Decreto Nacional 003 de 2021 y Decreto Distrital 563 de 2015. 
En junio se Asiste a la Subcomisión para la garantía y seguimiento de los derechos de las mujeres, diversidades, disidencias sexuales y de género.  los días 9 y 24 de junio, con el fin de establecer agenda de trabajo y construir objetivos específicos y acciones de dicha subcomisión junto a las instituciones y organizaciones de la sociedad civil firmantes del Decreto 563-015. 
 Se Asiste a la reunión citada por la Secretaría Distrital de Gobierno los días 10 y 29 de junio, con el fin revisar el bloque 4 de la actualización del Decreto 563-015 denominada acciones concomitantes y la ultima sesión relatora de la Actualización del Decreto 563-015.
Se realiza mesa de trabajo con la Dirección de Eliminación de Violencias, con el fin de revisar los objetivos específicos y las acciones de la Subcomisión para llevar como propuesta de trabajo un cuadro comparativo a la siguiente  Subcomisión para la garantía y seguimiento de los derechos de las mujeres, diversidades, disidencias sexuales y de género.
Se Asiste a la Subcomisión para la garantía y seguimiento de los derechos de las mujeres, diversidades, disidencias sexuales y de género el dìa 8 de julio, con el fin de construir objetivos específicos y acciones de dicha subcomisión junto a las instituciones y organizaciones de la sociedad civil firmantes del Decreto 563-015. 
Se realiza mesa de trabajo el dìa 05 de julio con la Subsecretaria del Cuidado y Polìticas de Igualdad sobre el trabajo desarrolado en la Subcomisión para la garantia de los derechos de las mujeres, diversidades y disidencias del gènero.
 Se Asiste a la reunión citada por ONU mujeres chile el dìa 13 de julio, con el fin de de solicitar apoyo técnico para la incorporación y sistematización de cursos con enfoque de género dirigidos a gestores de seguridad y convivencia.
Se Asiste a la reunión citada por Secretarìa Distrital de Gobierno el dìa 18 de julio, con el fin de  realizar seguimiento a la convocatoria del 20 de julio con relaciòn a la instalciòn del Congreso de la Repùblica.</t>
  </si>
  <si>
    <t>34. Realizar Acompañamiento técnico al Centro de Operaciones de Emergencia (COE) durante las movilizaciones sociales que se realicen y a las cuales se convoque a la SDMujer.</t>
  </si>
  <si>
    <t>El día 8 de marzo se asistió de manera presencial al centro de operaciones de emergencia (COE) para la instalación de Puesto de mando unificado por la convocatoria realizada por parte de Secretaría Distrital de Gobierno por el día Internacional de la Mujer.
El día 13 de marzo se acompañó de manera virtual al COE citado por Secretaría Distrital de Seguridad, con el fin de  la jornada de elecciones legislativas y consultas presidenciales.
El día 09 de abril se acompaño de manera virtual al COE citado por Secretaría Distrital de Seguridad, con el fin de acompañar el día de las victimas
El día 28 de abril  se realizó de manera presencial al centro de operaciones de emergencia (COE) para la instalación de Puesto de mando unificado por la convocatoria realizada por parte de Secretaría Distrital de Gobierno en conmemoración a un año del estalladio social del 2021.
En el mes de mayo el día 29 dse participó de manera presencial al centro de operaciones de emergencia (COE) para la instalación de Puesto de mando unificado por la convocatoria realizada por parte de Secretaría Distrital de Gobierno en relación a las elecciones presidenciales año 2022.
El día 19 de junio se asiste de manera presencial al centro de operaciones de emergencia (COE) para la instalación de Puesto de mando unificado por la convocatoria realizada por parte de Secretaría Distrital de Seguridad en relación a la segunda vuelta de elecciones presidenciales año 2022.
El día 03 de julio se asiste de manera presencial al centro de operaciones de emergencia (COE) para la instalación de Puesto de mando unificado por la convocatoria realizada por parte de Secretaría Distrital de Seguridad por el dìa del orgullo LGBTIQ+ y el dìa 20 de julio se asiste de manera virtual en el chat PMU-COE distrital por la posesiòn del Congreso de la Republica para el periodo 2022-2026</t>
  </si>
  <si>
    <t>35. Acompañar técnicamente la incorporación del enfoque de género en el Consejo Territorial de Planeación Distrital CTPD</t>
  </si>
  <si>
    <t>Durante el mes de febrero se adelantaron acciones encaminadas a darle continuidad a las proyecciones que quedaron pendientes durante el 2021, se gestionó reunión con la Oficina Asesora de Planeación, convocando a las directivas de la SDMujer para darle respuesta a las consejeras territoriales sobre las inquietudes planteadas en la reunión de diciembre, sin embargo, las consejeras territoriales no se presentaron en la sesión virtual programada para el lunes 14/02/22, se está trabajando en la reprogramación del espacio liderado por la OAP. Se llevó a cabo sesión virtual con las profesionales de la estrategia Hablemos de Paridad de la Dirección de Territorialización y las consejeras territoriales el lunes 28/02/22 en donde se dio continuidad a la proyección de implementar pacto de corresponsabilidad al interior del CTPD.
Durante el mes de marzo se adelantaron acciones encaminadas a darle continuidad a las proyecciones que quedaron pendientes durante el 2021, se gestionó reunión con la Oficina Asesora de Planeación, convocando a las directivas de la SDMujer para darle respuesta a las consejeras territoriales sobre las inquietudes planteadas en la reunión de diciembre, sin embargo, la reunión se reprogramó para el 07/04/2022. Se llevó a cabo sesión virtual con las profesionales de la estrategia Hablemos de Paridad de la Dirección de Territorialización y el equipo de promoción de la participación y representación de las mujeres el 10/03/2022 en donde se aclararon aspectos relacionados con el pacto de corresponsabilidad y la proyección de la ejecución del mismo al interior del CTPD. Se gestionó en articulación con los profesionales de la Secretaría Distrital de Planeación que apoyan las acciones del CTPD, la delegación de la consejera Alexandra Useche Cuervo al Consejo Consultivo de Mujeres, información que se formalizó a través del envío del acta del proceso. Se llevó a cabo mesa de trabajo con la consejera Alexandra Useche Cuervo en donde se trabajó en los requerimientos que realizó para el encuentro que sostuvo con la subsecretaria en donde solicitó la armonización con la institucionalidad de ciertos procesos relacionados con la garantía de derechos para la población indígena asentada en los parques La Florida y Nacional y su accionar como consejera territorial de planeación distrital.
Durante el mes de abril se gestionó reunión liderada por la Oficina Asesora de Planeación, convocando a las diferentes dependencias de la SDMujer para darle respuesta a las consejeras territoriales sobre las inquietudes planteadas en la reunión de diciembre de 2021, dicho encuentro se llevó a cabo el 07/04/2022. De este encuentro quedó pendiente la resolución de inquietudes por parte del SIDICU y la Subsecretaría de Gestión Corporativa, por lo que a través del apoyo de la Subsecretaria de Políticas de Igualdad se viene gestionando información y la posibilidad de una  mesa de trabajo para la resolución de inquietudes. Asimismo, se logró la gestión y envío de la certificación de participación como consejera delegada por el CTPD al CCM y Sandra Mazo.
Durante el mes de mayo se gestionó mesa de trabajo con las consejeras territoriales y la directora del Sistema Distrital de Cuidado SIDICU de la SDMujer para dar respuesta a las inquietudes planteadas por las consejeras territoriales, planteadas durante la reunión de diciembre de 2021 con la Oficina Asesora de Planeación, dicho encuentro se llevó a cabo el 11/05/2022, del encuentro quedó como compromiso el envío del acta, la PPT de la sesión y las fichas técnicas de las manzanas del cuidado; compromisos que se enviaron en los tiempos estipulados a las consejeras territoriales. Se realizó un primer acercamiento a través de correo electrónico con los consejeros y consejeras de la mesa directiva del CTPD que al momento ha sido electa y se resolvió inquietud a través de correo electrónico a consejero territorial del CTPD por discapacidad con relación al Plan de Acción de la SDMujer.
Durante el mes de junio se gestionó mesa de trabajo con las consejeras territoriales y la Estrategia 50/50 Ruta por la Paridad de la Dirección de Territorialización de Derechos de la SDMujer para continuar con el proceso de articulación e implementación del Pacto de Paridad, dicho encuentro se llevó a cabo el 29/06/2022, del encuentro quedó como compromiso el envío del acta, el artículo de Angélica Bernal y un breve abstract de la estrategia, dando contexto de donde surge el Pacto de Paridad y cual es su relevancia, para continuar avanzando con la gestión al interior de la instancia de participación distrital con la valiosa gestión de las consejeras territoriales, quienes hace parte de las comisiones poblacional, de participacipon y del POT de la mesa directiva del CTPD. Por petición de la subsecretaria se crea agenda de implementación de acciones en el CTPD para lo que resta del año.
Durante el mes de julio se gestionó mesa de trabajo con profesional de la Estrategia 50/50 Ruta por la Paridad de la Dirección de Territorialización de Derechos de la SDMujer y profesional de la Secretaría Distrital de Planeación, quien realiza el proceso de acompañamiento técnico al CTPD, para continuar con el proceso de articulación e implementación del Pacto de Paridad al interior de la instancia de participación, dicho encuentro se llevó a cabo el 18/07/2022, se  dió a conocer el contexto de donde surge el Pacto de Paridad y cual es su relevancia, para continuar avanzando con la gestión al interior de la instancia de participación distrital con la valiosa gestión de las consejeras territoriales, quienes hace parte de las comisiones poblacional, de participacipon y del POT de la mesa directiva del CTPD, se realiza el respectivo envió de compromisos pendientes a las consejeras territoriales.</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</si>
  <si>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</si>
  <si>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</si>
  <si>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t>El saldo de la reserva corresponde a la liberación contra liquidación del contrato de transporte No.73785, la cual se encuentra en trámite.</t>
  </si>
  <si>
    <t xml:space="preserve">Se realizó planeación, articulación y gestión para el desarrollo e implementacion de 13 fechas conmemorativas de mujeres en sus diferencia y divesidad (adultas, mayores, lesbianas y bisexuales, negras y afrocolombianas, cuidadoras y con discapacidad, actividades Sexuales Pagadas, transgénero, raizales, campesinas y rurales, jóvenes y palenqueras y la fecha de cuidado menstrual) Se destaca la participación activa de las mujeres en la realización de dos fechas conmerativas y la firma del decreto 295 del 22 de julio 2022 sobre la institucionalización del día distrital de mujeres negras y afrocolombianas en Bogotá con la participación de la alcaldesa y la Secretaria de la Mujer. Se han desarollado 11 encuentros diferenciales de mujeres en sus diferencias y diversidades y la planeación de las jornadas de socialización e información con los equipos de comunicaciones y las oficinas de atención a la ciudadanía. Igualmente se han desarrollado piezas comunicativas de mujeres transgénero, que permiten avanzar en la reflexión sobre los estereotipos, imaginarios y representaciones de discriminación de estos grupos poblacionales. </t>
  </si>
  <si>
    <t>No se  presentan retrasos.</t>
  </si>
  <si>
    <t>Se avanzó en la construcción de procesos metodológicos para la realizacion de fechas conmemorativas, así como de metodologias de trabajo sobre enfoque diferencial para implementar con las oficinas de atención a la ciudadanía y avanzar en la incorporación del enfoque diferencial. Asimismo, se han realizado dos fechas conmemorativas con una participación significativa de mujeres lesbianas, bisexuales, negras y afrocolombianas, que han permitido el posicionamiento de sus agendas de reinvindicación y reconocer sus luchas y biografias. El trabajo en las fechas conmemorativas ha estado articulado a los grupos poblaciones de mujeres en sus diferencias y diversidad. Para finalizar una de las fechas conmemorativas de mujeres negras y afrocolombianas contó con la presencia de la alcadesa, secretaria de la Mujer y se firmó el decreto 295 con el cual se insitucionaliza el 25 de julio como el día distrital de las mujeres negras y afrocolombianas en Bogotá y se realizaron piezas comunicativas con las voces de mujeres transgénero, lesbianas y bisexuales, lo anterior contribuye en la eliminación de estereotipos, imaginarios y representaciones de discriminación para estos grupos poblacionales.</t>
  </si>
  <si>
    <t>36. Planear, articular y desarrollar  las distintas conmemoraciones de mujeres en sus diferencias y diversidad, que permitan visibilizar sus luchas y biografías desde el enfoque diferencial.</t>
  </si>
  <si>
    <r>
      <rPr>
        <sz val="11"/>
        <color rgb="FF000000"/>
        <rFont val="Times New Roman"/>
        <family val="1"/>
      </rPr>
      <t xml:space="preserve">Febrero: Se realizó el envío a las referentas del paso a  paso para la realización de las fechas conmemorativas de cada uno de los grupos poblacionales con los cuales se trabaja en la Dirección Enfoque Diferencial para su revisión y retroalimentación, también se realizó la construcción  y posterior envío de la metodología para la realización de los encuentros diferenciales de mujeres en sus diferencias y diversidad.  
Marzo: Se inició la articulación para el desarrollo de la conmemoración de las mujeres Negras/Afrocolombianas y se recibió la propuesta de conmemoración de Mujeres Gitanas.
Abril: Se recibió las propuesta de  conmemoración de las mujeres raizales. 
Mayo: Se recibió y revisó la propuesta Rrom-Gitana, la propuesta de mujeres palenqueras, la propuesta de mujeres negras-afrocolombianas. Se han venido iniciando las gestiones con los diferentes sectores para el desarrollo de las conmemoraciones, asi como con las instancias de representación de cada uno de los grupos. Con adultas y mujeres mayores se inició articulación para la visibilización de las mujeres por medio de unos videclips, así como se inició el diálogo con las profesionales encargadas de Casa de Todas para el desarrollo de la conmemoración.  
Durante junio se  realizaron actividades de articulación para el desarrollo de la conmemoración de las mujeres Negras/ afrocolombianas, se avanzó en el desarrollo de la conmemoración de mujeres Lesbianas y Bisexuales, se recibió la propuesta de  mujeres  jovenes y se revisó su alcance. 
</t>
    </r>
    <r>
      <rPr>
        <b/>
        <sz val="11"/>
        <color rgb="FF000000"/>
        <rFont val="Times New Roman"/>
        <family val="1"/>
      </rPr>
      <t>En julio</t>
    </r>
    <r>
      <rPr>
        <sz val="11"/>
        <color rgb="FF000000"/>
        <rFont val="Times New Roman"/>
        <family val="1"/>
      </rPr>
      <t xml:space="preserve"> se reportaron reuniones y articulaciones de 13 grupos poblacionales y de cuidado menstrual (mujeres Adultas y mayores,  lesbianas y bisexuales,  negras y afrocolombianas,  Cuidadoras y con discapacidad,  actividades sexuales pagadas,  transgénero, raizales,  campesinas y rurales, jóvenes, Palenqueras ) de fechas conmemorativas de mujeres en sus diferencias y diversidad, de las cuales se realizaron dos: lesbianas y bisexuales, negras y afrocolombianas. </t>
    </r>
  </si>
  <si>
    <t xml:space="preserve">37. Diseñar, articular e implementar jornadas de información  con las Oficinas de Atención a la Ciudadanía, con el objetivo de transversalizar el enfoque de género y diferencial con los sectores de la Administración Distrital, generando un cambio comunicacional acerca del lenguaje incluyente y no  sexista, que promueven los estereotipos, inmaginarios yrepresentaciones y fomentas los sistemas de opresión y discriminación contra las mujeres en sus diferencias y diversidad. </t>
  </si>
  <si>
    <r>
      <rPr>
        <sz val="11"/>
        <color rgb="FF000000"/>
        <rFont val="Times New Roman"/>
        <family val="1"/>
      </rPr>
      <t xml:space="preserve">Durante el mes de marzo: Se finalizó a revisión de la Caja de Herramientas dirigida a las oficinas de comunicaciones construida durante la vigencia 2020, se reenvió a la referentas para su retroalimentación, se realizó seguimiento a los objetivos trazados de  la estrategia de transformación cultura.  Se realizaron 13 encuentros diferenciales de mujeres en sus diferencias y diversidad pertenecientes a los  siguientes grupo poblacionales (Mujeres Trans, Mujeres en ASP, Mujeres  Palenqueras, Mujeres Migrantes, Mujeres Rrom-Gitana, Mujeres Adultas, Mujeres Mayores, Mujeres jóvenes, Mujeres Campesinas y rurales, Mujeres  indígenas, Mujeres raizales y Mujeres con discapacidad.) con una participación de 176 Mujeres en su diferencia y diversidad. 
Durante el mes de abril: Se realizó el encuentro diferencial  con mujeres  habitantes de calle que contó con  la participación de 19 mujeres. Se construyó las metodologías para la socialización con los  equipos de comunicación  de la caja de Herramientas y las metodologías para los equipos de atención a la  ciudadanía. 
Durante el mes de mayo: Se realizaron cinco (5) encuentros diferenciales mensuales de mujeres transgénero, adultas, mayores, con discapacidad, Lesbianas y bisexuales  y en ASP, donde se abordaron diversas temáticas relacionadas con los derechos de las mujeres en sus diferencias y diversidad con un total de 64 mujeres participantes. Se desarrolló la conmemoración del 21 de mayo día de la Afrocolombianidad. 
En Junio se realizaron cinco (5) encuentros diferenciales mensuales de mujeres adultas, mayores, ASP, Discapacidad, Palenqueras donde se abordaron diversas temáticas relacionadas con la participación y sobre Día Mundial de toma de consciencia contra el maltrato de las personas mayores y lenguaje diferencial. En los cinco (5) encuentros se reporta la participación de 40 mujeres. 
</t>
    </r>
    <r>
      <rPr>
        <b/>
        <sz val="11"/>
        <color rgb="FF000000"/>
        <rFont val="Times New Roman"/>
        <family val="1"/>
      </rPr>
      <t>En julio</t>
    </r>
    <r>
      <rPr>
        <sz val="11"/>
        <color rgb="FF000000"/>
        <rFont val="Times New Roman"/>
        <family val="1"/>
      </rPr>
      <t xml:space="preserve"> se realizaron 11 encuentros diferenciales de mujeres con una participación de 152 mujeres en sus diferencias y diversidad. </t>
    </r>
  </si>
  <si>
    <t xml:space="preserve">38. Apoyar y articular acciones para la transformación cultural, con diferentes sectores de la administración distrital, organizaciones sociales y grupos de mujeres en sus diferencias y diversidad . </t>
  </si>
  <si>
    <r>
      <t xml:space="preserve">Durante el mes de febrero: Se realizó la revisión del manual de atención de las Secretaría Distrital de la Mujer con el objetivo de generar insumos que permitan la construcción de la metodología que se implementaría con los equipos de las oficinas de atención a la ciudadanía de los 15 sectores de la administración distrital, así como la planeación frente a realización de estrategias comunicativas que permitan visibilizar a las mujeres en sus diferencias y diversidad.
Durante el mes de marzo: Se  definió la realización de actividades en el marco de esta actividad para el segundo semestre, teniendo en cuenta la planeación y adjudicación de bolsa logística así como la contratación de dos personas que harán parte de la estrategia.   
Durante el  mes de abril:  Se definió la  realización videoclips con mujeres en sus diferencias y diversidades pertenecientes a los 16 grupos étnicos con los que se trabajan en la Dirección de Enfoque Diferencial.
Durante el mes de mayo: Se realizó reunión con comunicaciones de la SDMujer con el objetivo de definir la estrategia para esta línea, estableciéndose una estrategia de impresos donde de evidencia qué hacer para la atención de mujeres en sus diferencias y diversidad, así como realizar un Facebook live con los resultados obtenidos en el desarrollo de las actividades en el marco de atención a la ciudadanía. 
En junio:  el 21 de junio de 2022 se realizó la grabación de 4 historias de mujeres para avanzar en la eliminación de estereotipos para las mujeres mayores que se proyectarán en las Redes de la Secretaría de la Mujer en el mes agosto.  De otra parte, se realizó seguimiento a las actividades de la propuesta en el marco de la estrategia de transformación cultural.                                                                                                                
</t>
    </r>
    <r>
      <rPr>
        <b/>
        <sz val="11"/>
        <rFont val="Times New Roman"/>
        <family val="1"/>
      </rPr>
      <t>En julio</t>
    </r>
    <r>
      <rPr>
        <sz val="11"/>
        <rFont val="Times New Roman"/>
        <family val="1"/>
      </rPr>
      <t xml:space="preserve"> se realizaron piezas comunicativas para sensibilizar sobre el trabajo que realizan las cuidadoras y fueron compartidas en las redes de la SDMujer. </t>
    </r>
  </si>
  <si>
    <t>FORMULACIÓN Y SEGUIMIENTO PLAN DE ACCIÓN</t>
  </si>
  <si>
    <t>Fecha de Emisión: 04 de enero de 2022</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</si>
  <si>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</si>
  <si>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</si>
  <si>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</si>
  <si>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</si>
  <si>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</si>
  <si>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</si>
  <si>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</si>
  <si>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</si>
  <si>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</si>
  <si>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</si>
  <si>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</si>
  <si>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</si>
  <si>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</si>
  <si>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</si>
  <si>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</si>
  <si>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</si>
  <si>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</si>
  <si>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</si>
  <si>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</si>
  <si>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</si>
  <si>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</si>
  <si>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</si>
  <si>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</si>
  <si>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</si>
  <si>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</si>
  <si>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</si>
  <si>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</si>
  <si>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</si>
  <si>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</si>
  <si>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</si>
  <si>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</si>
  <si>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</si>
  <si>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</si>
  <si>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</si>
  <si>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</si>
  <si>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</si>
  <si>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</si>
  <si>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</si>
  <si>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</si>
  <si>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t xml:space="preserve">Seguimos trabajando con los sectores de Educación; Mujeres; Gestión Pública; Cultura, Recreación y Deporte; Gobierno; Hábitat e Integración Social; Salud; Seguridad, Convivencia y Justicia. Se avanzó con el grupo de 21 mujeres privadas de la libertad de la Cárcel Distrital, que están fortaleciendo capacidades, de manera voluntaria, para aprender a elaborar toallas de tela en asocio con la organización Periferia. </t>
  </si>
  <si>
    <t>No hubo retrasos en esta acción</t>
  </si>
  <si>
    <t>N.A.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</si>
  <si>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</si>
  <si>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(asesorias, seguimientos y valoraciones iniciales)</t>
  </si>
  <si>
    <t>Suma</t>
  </si>
  <si>
    <t>Atenciones</t>
  </si>
  <si>
    <t>Se cuantificarán mensualmente las atenciones sociojuridicas: valoraciones iniciales, asesorías y seguimientos.</t>
  </si>
  <si>
    <t>MENSUAL</t>
  </si>
  <si>
    <t>Reporte mensual de atenciones socio jurídicas realizadas-PMR Mensual</t>
  </si>
  <si>
    <t>Durante el mes de julio de 2022, se atendieron en el área jurídica 193 mujeres y se realizaron 348 atenciones desagregadas así: 82 asesorías, 237 seguimientos y 29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con mayor participación de las mujeres beneficiarias e incluso con mayor cumplimiento de la agenda por parte de las señoras citadas. En el marco de estas atenciones, durante el periodo se logró además de dar las asesorías requeridas, el seguimiento a casos en curso y la elaboración y trámite de: 
*9 Derechos de petición
*3 Impulso procesal
*4 Procesos de representación
*3 Comités jurídicos de enlaces
*4 Comités jurídicos virtuales
*6 Comités estudio de casos
*1 Audiencias
*6 Ponencias comités de enlaces</t>
  </si>
  <si>
    <t>La meta proyectada para el periodo fue cumplida satisfactoriamente. Por la dificultad para adelantar la impresión de documentos en la Casa de Todas, ya sea escritos proyectados, como formatos para trámites, se generan demoras en la atención, debiendo finalmente ser remitidos a las mujeres por correo electrónico</t>
  </si>
  <si>
    <t>Cuando se presentan inconvenientes para imprimir la documentación de los procesos legales de las mujeres atendidas, se envía documentación por medio de correo electrónico, lo cual se convierte en un medio legal de comunicación oficial.</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</si>
  <si>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</si>
  <si>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(asesorias, seguimientos y valoraciones iniciales)</t>
  </si>
  <si>
    <t>Se cuantificarán mensualmente las atenciones psicosociales: valoraciones iniciales, asesorías y seguimientos.</t>
  </si>
  <si>
    <t>Reporte mensual de atenciones psicosociales realizadas-PMR Mensual</t>
  </si>
  <si>
    <t>Durante el mes de julio de 2022 se atendieron 166 mujeres en el área psicosocial y se realizaron 202 atenciones desagregadas así: 49 asesorías, 111 seguimientos y 42 valoraciones iniciales. La atención se prestó de manera presencial y telefónica acorde a la agenda programada.  Se han realizado primeras atenciones y orientación psicosocial con énfasis en auto cuidado, autoestima, gestión emocional y reconocimiento de habilidades y recursos de afrontamiento. El equipo psicosocial se ha posicionado en la atención a las mujeres que RASP a través de técnicas como la escucha activa y comprensiva y brindando herramientas que les permiten dar trámite a sus emociones y de esta manera se aporta a la solución de sus malestares emocionales.</t>
  </si>
  <si>
    <t xml:space="preserve">La meta proyectada para el periodo fue cumplida satisfactoriamente. Se presenta una alta tasa de ciudadanas que no es posible contactar en los teléfonos suministrados (buzón, fuera de servicio, equivocado, número errado) por lo que en muchos casos no es posible cumplir cabalmente con la agenda. </t>
  </si>
  <si>
    <t>Se intenta establecer contacto con las mujer en diferentes momentos del día y en diferentes días para tratar de garantizar la atención, junto con la búsqueda activa de las gestoras en el territorio.</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</si>
  <si>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</si>
  <si>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(asesorias, seguimientos y valoraciones iniciales)</t>
  </si>
  <si>
    <t>Se cuantificarán mensualmente las atenciones en trabajo social: valoraciones iniciales, asesorías y seguimientos.</t>
  </si>
  <si>
    <t>Reporte mensual de atenciones en trabajo social realizadas-PMR Mensual</t>
  </si>
  <si>
    <t>Durante el mes de julio de 2022 se atendieron 400 mujeres en trabajo social y se realizaron 618 atenciones desagregadas así: 195 intervenciones, 349 seguimientos y 74 valoraciones iniciales. Durante el periodo se realizó atención presencial y telefónica, dando respuesta a las siguientes necesidades específicas:
*3 Remisión para IVE
*5 Portabilidad
*41 Solicitud de encuesta socioeconomica SISBEN
*8 Afiliaciones al sistema de salud
*17 Activación servicios de SDIS, proyecto enlace emergencia social , bono de adulto mayor y jardines
*11 Solicitud cupo DLE
*35 Proceso educación flexible
*6 Formación cursos técnicos SENA
*6 Anticoncepción
*6 Ruta de intermediación laboral con el SENA
*28 Formación para el trabajo con la Fundación Miquelina y Conviventia
*69 Pruebas rápidas con secretaria de salud
*6 Duplicados de cédula
*23 Fondo Nacional del Ahorro
*10 Subsidios con Habitat
*72 Salud sexual y reproductiva liga contra el cancer
*4 Unidad para las victimas
*27 Empleabilidad
*Se articuló con entidades como:  Secretaria de Salud, Fundación Miquelina, Fondo Nacional del Ahorro, Registraduría, Secretaría Desarrollo Económico, Secretaria de Educación, Secretaria Integración Social, Secretaria de Planeación, Orientame, Liga contra el cáncer, Secretaria de habitat, Conviventia, AHF, Agencia de empleo del SENA.</t>
  </si>
  <si>
    <t>La meta del periodo se cumplió satisfactoriamente. Dado que todas las necesidades de las mujeres atendidas no es posible resolverlas desde la Casa de Todas, estas deben ser redireccionadas a las demás entidades con las cuales se tienen alianzas estrategicas.</t>
  </si>
  <si>
    <t>Se ha establecido contacto con las demás entidades del distrito y de orden nacional con el objeto de identificar los servicios disponibles, protocolos y rutas de atención, lo que permite direccionar la atención acorde a las necesidades de las personas atendidas.</t>
  </si>
  <si>
    <t>Transversalización del enfoque de género y diferencial para mujeres</t>
  </si>
  <si>
    <t>NA</t>
  </si>
  <si>
    <t xml:space="preserve">Elaborar e implementar 3 lineamientos con enfoque de derechos de las mujeres, de género y diferencial. </t>
  </si>
  <si>
    <t xml:space="preserve">1. No. de actividades internas de alistamiento, planeación y seguimiento.
</t>
  </si>
  <si>
    <t xml:space="preserve">Suma </t>
  </si>
  <si>
    <t xml:space="preserve">actividades
</t>
  </si>
  <si>
    <t xml:space="preserve">48 actividades de alistamiento anuales, 12 cada trimestre.
</t>
  </si>
  <si>
    <t xml:space="preserve">0
</t>
  </si>
  <si>
    <t xml:space="preserve">1. Evidencias de reuniones internas para alistar, planear y hacer seguimiento a la asistencia técnica
2. Documentos elaborados asociados a la asistencia técnica
</t>
  </si>
  <si>
    <t>Se adelantaron 4 actividades de alistamiento, así: 1. 
•	1 reunión de seguimiento a la asistencia técnica con todo el equipo de profesionales (13-07-2022).
•	1 reunión de seguimiento individual con cada una de las profesionales que lideran la asistencia técnica para identificar logros, beneficios y dificultades de la asistencia técnica (27-07-2022)
•	2 reuniones para consolidar el balance semestral de la asistencia técnica (13,25-07-2022)
•	1 reunión con la Subdirección de Libertad Religiosa y de Conciencia de la Secretaría de Gobierno para coordinar las acciones de asistencia técnica para el segundo semestre del año con este sector (27-07-2022).</t>
  </si>
  <si>
    <t xml:space="preserve">No se presentaron </t>
  </si>
  <si>
    <t>2. No. de actividades de asistencia técnica para la transversalización del enfoque diferencial para mujeres implementadas.</t>
  </si>
  <si>
    <t>actividades</t>
  </si>
  <si>
    <t>40 actividades de asistencia anuales: 10 en el segundo trimestre, 15 en el tercer y 15 en el cuarto trimestre</t>
  </si>
  <si>
    <t>1. Evidencias de reuniones externas para asistencia técnica
2. Informes de asistencia técnica</t>
  </si>
  <si>
    <t>Se adelantaron 5 actividades de asistencia técnica, así: 
•	Una actividad de formación implementada con tres sectores, así: 1 taller sobre enfoque diferencial en ambientes laborales con 33 personas de la red de CADES y de atención a la ciudadanía de entidades del Distrito (26-07-2022); 1 sensibilización a enlaces territoriales de Secretaría de Gobierno en atención diferencial a mujeres adultas y mayores (27-07-2022); 2 talleres de atención diferencial a mujeres, con énfasis en mujeres campesinas y rurales y adultas y mayores, y 1 taller sobre sexismo en el deporte con el equipo de comunicaciones del IDRD (14,21,28-07-2022).
•	Una actividad de planeación y seguimiento con sector hábitat: 1 reunión con la UAESP y Cooperación Alemana – GIZ para construcción de propuesta embajadoras de género con mujeres recicladoras de oficio (01-07-2022).
•	Una actividad de acompañamiento con el sector hábitat: aportes para incorporar el enfoque diferencial al Manual de Gestión Social de la Caja de Vivienda Popular en el marco del fortalecimiento de la Estrategia Plan Terrazas (19-07-2022).
•	Una actividad de planeación y seguimiento con sector educación: 1 reunión con Secretaría de Educación para la articulación del protocolo de comunicaciones entre las dos entidades en el marco del convenio 914 de 2021 y la asistencia técnica del segundo semestre del año (05-07-2022).
•	Una actividad de sensibilización y coordinación con sector educación: 1 jornada sobre enfoque diferencial con equipo pedagógico y equipo de género de la Dirección de Integración e Inclusión de Poblaciones de la Secretaría de Educación y de coordinación de acciones de asistencia técnica para el segundo semestre de 2022 (14-07-2022).</t>
  </si>
  <si>
    <t>Implementación de acciones afirmativas dirigidas a las mujeres con enfoque diferencial y de género en Bogotá Bogotá</t>
  </si>
  <si>
    <t>Personas con acceso a los servicios sociales del Estado con enfoque diferencial.</t>
  </si>
  <si>
    <t>Número</t>
  </si>
  <si>
    <t>Mujeres atendidas en el marco del proyecto de inversión 7671</t>
  </si>
  <si>
    <t>Reporte SIMISIONAL</t>
  </si>
  <si>
    <t>En el mes de julio se realizaron atenciones a 793 mujeres nuevas en toda su diferencia y diversidad en las distintas estrategias desde la Dirección de Enfoque Diferencial</t>
  </si>
  <si>
    <t xml:space="preserve">No se presentan retrasos en la meta   </t>
  </si>
  <si>
    <t>Se realiza busqueda activa en el territorio a través de los recorridos. La atención se articula con las demás entidades y organizaciones que atienden población vulnerable y garantía de derechos.</t>
  </si>
  <si>
    <t>*Incluir tantas filas sean necesarias</t>
  </si>
  <si>
    <t>ELABORÓ</t>
  </si>
  <si>
    <t xml:space="preserve">Firma:  </t>
  </si>
  <si>
    <t>APROBÓ (Según aplique Gerenta de proyecto, Lider técnica y responsable de proceso)</t>
  </si>
  <si>
    <t>Firma:</t>
  </si>
  <si>
    <t>REVISÓ OFICINA ASESORA DE PLANEACIÓN</t>
  </si>
  <si>
    <t xml:space="preserve">VoBo. </t>
  </si>
  <si>
    <t xml:space="preserve">Nombre: </t>
  </si>
  <si>
    <t>Nombre:</t>
  </si>
  <si>
    <r>
      <t>Cargo:</t>
    </r>
    <r>
      <rPr>
        <sz val="11"/>
        <rFont val="Times New Roman"/>
        <family val="1"/>
      </rPr>
      <t xml:space="preserve"> </t>
    </r>
  </si>
  <si>
    <t xml:space="preserve">Cargo: </t>
  </si>
  <si>
    <t>Cargo: Jefa Oficina Asesora de Planeación</t>
  </si>
  <si>
    <t xml:space="preserve">Versión: </t>
  </si>
  <si>
    <t xml:space="preserve">Fecha de Emisión: </t>
  </si>
  <si>
    <t>Página 1 de 3</t>
  </si>
  <si>
    <t>dd/mm/aaaa</t>
  </si>
  <si>
    <t>MAGNITUD META VIGENCIA ACTUAL</t>
  </si>
  <si>
    <t>mmmm</t>
  </si>
  <si>
    <t>RESERVAS VIGENCIA ANTERIOR</t>
  </si>
  <si>
    <t>PRESUPUESTO ASIGNADO EN LA VIGENCIA ACTUAL</t>
  </si>
  <si>
    <t>Recursos Programados</t>
  </si>
  <si>
    <t>Recursos Ejecutados (giros)</t>
  </si>
  <si>
    <t>Recursos Ejecutados</t>
  </si>
  <si>
    <t>Recursos girados</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</si>
  <si>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</si>
  <si>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</si>
  <si>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</si>
  <si>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</si>
  <si>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</si>
  <si>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 xml:space="preserve">FORMULACIÓN Y SEGUIMIENTO PLAN DE ACCIÓN </t>
  </si>
  <si>
    <t>ANEXO - TERRITORIALIZACIÓN</t>
  </si>
  <si>
    <t>Página 3 de 3</t>
  </si>
  <si>
    <t xml:space="preserve">PRORAMACIÓN </t>
  </si>
  <si>
    <t xml:space="preserve">SEGUIMIENTO </t>
  </si>
  <si>
    <t>PERIODO DE REPORTE:</t>
  </si>
  <si>
    <t>Marzo de 2022</t>
  </si>
  <si>
    <t>INDICADOR / META:</t>
  </si>
  <si>
    <t>Atenciones socio jurídicas brindadas a través de la Estrategia Casa de Todas, a mujeres que realizan actividades sexuales pagadas (asesorias, seguimientos y valoraciones iniciales)/Realizar atenciones socio jurídicas brindadas a través de la Estrategia Casa de Todas, a mujeres que realizan actividades sexuales pagadas
Territorializada para reporte de PMR, por tal razón solamente se incluye la magnitud que corresponde al número de atenciones.</t>
  </si>
  <si>
    <t>LOCALIDAD</t>
  </si>
  <si>
    <t>TOTAL POR LOCALIDAD</t>
  </si>
  <si>
    <t xml:space="preserve">ENFOQUE DIFERENCIAL </t>
  </si>
  <si>
    <t>GRUPO ETARIO</t>
  </si>
  <si>
    <t>Magnitud</t>
  </si>
  <si>
    <t>Presupuesto</t>
  </si>
  <si>
    <t>0-5</t>
  </si>
  <si>
    <t>6-12</t>
  </si>
  <si>
    <t>13-17</t>
  </si>
  <si>
    <t>18-26</t>
  </si>
  <si>
    <t>27-59</t>
  </si>
  <si>
    <t>más de 59</t>
  </si>
  <si>
    <t xml:space="preserve">Bogotá Distrito Capital </t>
  </si>
  <si>
    <t xml:space="preserve">Se atendieron 192 mujeres de las cuales:
*0 Indígenas
*3 Afrodescendientes
*0 Raizales, palenqueras 
*1 Rrom
*17 Lesbiana, Bisexuales, Gay
*12 Transgeneristas
*0 Rural y/o campesina
*23 Condición discapacidad
*6 Víctimas conflicto armado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</si>
  <si>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</si>
  <si>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</si>
  <si>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</si>
  <si>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</si>
  <si>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</si>
  <si>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</si>
  <si>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</si>
  <si>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</si>
  <si>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</si>
  <si>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</si>
  <si>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</si>
  <si>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</si>
  <si>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</si>
  <si>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</si>
  <si>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</si>
  <si>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</si>
  <si>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</si>
  <si>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</si>
  <si>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</si>
  <si>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</si>
  <si>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</si>
  <si>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Atenciones psicosociales brindadas a través de la Estrategia Casa de Todas, a mujeres que realizan actividades sexuales pagadas (asesorias, seguimientos y valoraciones iniciales)/Realizar atenciones psicosociales brindadas a través de la Estrategia Casa de Todas, a mujeres que realizan actividades sexuales pagadas.
Territorializada para reporte de PMR, por tal razón solamente se incluye la magnitud que corresponde al número de atenciones.</t>
  </si>
  <si>
    <t>Se atendieron 129 mujeres de las cuales:
*2 Indígenas
*7 Afrodescendientes
*0 Raizales, palenqueras 
*0 Rrom
*8 Lesbiana, Bisexuales, Gay
*5 Transgeneristas
*0 Rural y/o campesina
*12 Condición discapacidad
*5 Víctimas conflicto armado</t>
  </si>
  <si>
    <t>Atenciones en trabajo social brindadas a través de la Estrategia Casa de Todas, a mujeres que realizan actividades sexuales pagadas (asesorias, seguimientos y valoraciones iniciales)/Realizar atenciones en trabajo social brindadas a través de la Estrategia Casa de Todas, a mujeres que realizan actividades sexuales pagadas.
Territorializada para reporte de PMR, por tal razón solamente se incluye la magnitud que corresponde al número de atenciones.</t>
  </si>
  <si>
    <t>Se atendieron 385 mujeres de las cuales.
*5 Indígenas
*15 Afrodescendientes
*0 Raizales, palenqueras 
*2 Rrom
*30 Lesbiana, Bisexuales, Gay
*17 Transgeneristas
*0 Rural y/o campesina
*32 Condición discapacidad
*28 Víctimas conflicto armado</t>
  </si>
  <si>
    <t>PESTAÑA No. 1 META 1..n</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</si>
  <si>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</si>
  <si>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</si>
  <si>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</si>
  <si>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</si>
  <si>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</si>
  <si>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</si>
  <si>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</si>
  <si>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</si>
  <si>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</si>
  <si>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</si>
  <si>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</si>
  <si>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</si>
  <si>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</si>
  <si>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</si>
  <si>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</si>
  <si>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</si>
  <si>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</si>
  <si>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SEGUIMIENTO INDICADORES</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</si>
  <si>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</si>
  <si>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</si>
  <si>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</si>
  <si>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</si>
  <si>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</si>
  <si>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</si>
  <si>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</si>
  <si>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</si>
  <si>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</si>
  <si>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</si>
  <si>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</si>
  <si>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</si>
  <si>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</si>
  <si>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</si>
  <si>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</si>
  <si>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</si>
  <si>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</si>
  <si>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</si>
  <si>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</si>
  <si>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</si>
  <si>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t>En este campo se debe diligenciar:
1.La descripción detallada de la medición del indicador.
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2.La representación matemática del cálculo del indicador.
Ejemplo 2: No. Capacitaciones realizadas / No. Capacitaciones programadas *100</t>
  </si>
  <si>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</si>
  <si>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</si>
  <si>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</si>
  <si>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</si>
  <si>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</si>
  <si>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</si>
  <si>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</si>
  <si>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</si>
  <si>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</si>
  <si>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</si>
  <si>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</si>
  <si>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</si>
  <si>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</si>
  <si>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</si>
  <si>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Este anexo, responde a la necesidad de plasmar la información correspondiente que las acciones (derivadas de metas PDD, metas proyecto de inversión, indicadores PMR, actividades) que se territorializan incluyendo el enfoque diferencial y según grupo etario.</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</si>
  <si>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</si>
  <si>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</si>
  <si>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</si>
  <si>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</si>
  <si>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</si>
  <si>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</si>
  <si>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</si>
  <si>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</si>
  <si>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</si>
  <si>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</si>
  <si>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</si>
  <si>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</si>
  <si>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</si>
  <si>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</si>
  <si>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</si>
  <si>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</si>
  <si>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</si>
  <si>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</si>
  <si>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</si>
  <si>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</si>
  <si>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</si>
  <si>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14 y 27 años)</t>
  </si>
  <si>
    <t>LGBTI</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</si>
  <si>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</si>
  <si>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</si>
  <si>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</si>
  <si>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</si>
  <si>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</si>
  <si>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</si>
  <si>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Adultez (Entre 27 y 59 años)</t>
  </si>
  <si>
    <t xml:space="preserve">Indigena </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</si>
  <si>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</si>
  <si>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</si>
  <si>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</si>
  <si>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</si>
  <si>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</si>
  <si>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</si>
  <si>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</si>
  <si>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Mayores (Igual o superior a 60 años)</t>
  </si>
  <si>
    <t>Afrodescendiente</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</si>
  <si>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</si>
  <si>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</si>
  <si>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</si>
  <si>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</si>
  <si>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</si>
  <si>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</si>
  <si>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Raizal</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</si>
  <si>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</si>
  <si>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</si>
  <si>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</si>
  <si>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</si>
  <si>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</si>
  <si>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Rrom</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</si>
  <si>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</si>
  <si>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</si>
  <si>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</si>
  <si>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</si>
  <si>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</si>
  <si>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</si>
  <si>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</si>
  <si>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</si>
  <si>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</si>
  <si>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</si>
  <si>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</si>
  <si>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</si>
  <si>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</si>
  <si>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</si>
  <si>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</si>
  <si>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</si>
  <si>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</si>
  <si>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</si>
  <si>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</si>
  <si>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</si>
  <si>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</si>
  <si>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</si>
  <si>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</si>
  <si>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CONTENIDOS</t>
  </si>
  <si>
    <t xml:space="preserve">Plan de seguridad y privacidad de la información </t>
  </si>
  <si>
    <t>GESTIÓN DEL SISTEMA DISTRITAL DE CUIDADO</t>
  </si>
  <si>
    <t>CASOS NUEVOS</t>
  </si>
  <si>
    <t>Plan de participación ciudadana</t>
  </si>
  <si>
    <t>GESTIÓN  TALENTO HUMANO</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</si>
  <si>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</si>
  <si>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</si>
  <si>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</si>
  <si>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</si>
  <si>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</si>
  <si>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</si>
  <si>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</si>
  <si>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</si>
  <si>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</si>
  <si>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</si>
  <si>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</si>
  <si>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</si>
  <si>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</si>
  <si>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</si>
  <si>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</si>
  <si>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</si>
  <si>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</si>
  <si>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</si>
  <si>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</si>
  <si>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</si>
  <si>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</si>
  <si>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</si>
  <si>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</si>
  <si>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</si>
  <si>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</si>
  <si>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</si>
  <si>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</si>
  <si>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</si>
  <si>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</si>
  <si>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</si>
  <si>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</si>
  <si>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</si>
  <si>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</si>
  <si>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</si>
  <si>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</si>
  <si>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</si>
  <si>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</si>
  <si>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</si>
  <si>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</si>
  <si>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</si>
  <si>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</si>
  <si>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</si>
  <si>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</si>
  <si>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</si>
  <si>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</si>
  <si>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</si>
  <si>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</si>
  <si>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</si>
  <si>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</si>
  <si>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</si>
  <si>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</si>
  <si>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</si>
  <si>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</si>
  <si>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</si>
  <si>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</si>
  <si>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</si>
  <si>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</si>
  <si>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</si>
  <si>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</si>
  <si>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</si>
  <si>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</si>
  <si>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</si>
  <si>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</si>
  <si>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</si>
  <si>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</si>
  <si>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</si>
  <si>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</si>
  <si>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</si>
  <si>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</si>
  <si>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</si>
  <si>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</si>
  <si>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</si>
  <si>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</si>
  <si>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</si>
  <si>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</si>
  <si>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</si>
  <si>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</si>
  <si>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</si>
  <si>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</si>
  <si>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</si>
  <si>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</si>
  <si>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</si>
  <si>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</si>
  <si>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</si>
  <si>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</si>
  <si>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</si>
  <si>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</si>
  <si>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</si>
  <si>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</si>
  <si>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</si>
  <si>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</si>
  <si>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</si>
  <si>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La </t>
    </r>
    <r>
      <rPr>
        <b/>
        <sz val="11"/>
        <color rgb="FF000000"/>
        <rFont val="Times New Roman"/>
        <family val="1"/>
      </rPr>
      <t>Estrategia de empoderamiento</t>
    </r>
    <r>
      <rPr>
        <sz val="11"/>
        <color rgb="FF000000"/>
        <rFont val="Times New Roman"/>
        <family val="1"/>
      </rPr>
      <t xml:space="preserve"> adelanta proceso de firmas de convenio de cooperación internacional con la OEI y memorando de entendimiento con la Universidad de Monserrate con el fin de realizar semilleros de empoderamiento dirigidos a niñas, adolescentes y mujeres jóvenes en sus diferencias y diversidad. En julio se formaron 12 adultas y adultos significativos en el curso Observo, Identifico y Protejo y se adelantaron 7 jornadas significativas con un impacto a 110 niñas y adolescentes. Desde la </t>
    </r>
    <r>
      <rPr>
        <b/>
        <sz val="11"/>
        <color rgb="FF000000"/>
        <rFont val="Times New Roman"/>
        <family val="1"/>
      </rPr>
      <t>Estrategia de capacidades psicoemocionales</t>
    </r>
    <r>
      <rPr>
        <sz val="11"/>
        <color rgb="FF000000"/>
        <rFont val="Times New Roman"/>
        <family val="1"/>
      </rPr>
      <t xml:space="preserve"> se desarrollaron 4 espacios respiro con mujeres migrantes y refugiadas, 1 mujeres en ASP, 2 mujeres campesinas y rurales, 1 mujeres privadas de la libertad, 1 mujeres indígenas y 1 mujeres adultas y mayores promoviendo con una mirada diferencial espacios de autocuidado y bienestar emocional, impactando a 100 mujeres participantes. Se desarrolló 1 escuela de educación emocional presencial con mujeres migrantes y refugiadas para un total de 19 participantes. Por medio de la </t>
    </r>
    <r>
      <rPr>
        <b/>
        <sz val="11"/>
        <color rgb="FF000000"/>
        <rFont val="Times New Roman"/>
        <family val="1"/>
      </rPr>
      <t xml:space="preserve">Estrategia de cuidado menstrual </t>
    </r>
    <r>
      <rPr>
        <sz val="11"/>
        <color rgb="FF000000"/>
        <rFont val="Times New Roman"/>
        <family val="1"/>
      </rPr>
      <t>se avanzó con la I y II fase, llegando a mujeres habitantes de calle por medio del cuarto recorrido y la tercera jornada de dignidad menstrual, en total 67 mujeres participaron, en que se compartió con ellas información de la línea EMAA. Se avanzó con el grupo de 21 mujeres privadas de la libertad, que están fortaleciendo capacidades, de manera voluntaria, para aprender a elaborar toallas de tela en asocio con la organización Periferia. Se desarrolló espacio EMAA con 16 mujeres con discapacidad del centro de alta dependencia de SDIS, con quienes se implementó la metodología ajustada. Se realizó la séptima mesa distrital de cuidado menstrual, se finalizó el fortalecimiento de capacidades a 17 profesionales enlace SOFIA de la SDMujer que apoyarán la realización de pilotajes en entornos escolares y se hizo seguimiento de fortalecimiento a 13 personas servidoras públicas de SDIS.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</si>
</sst>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41" formatCode="_-* #,##0_-;\-* #,##0_-;_-*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0.000"/>
    <numFmt numFmtId="179" formatCode="0.00000"/>
    <numFmt numFmtId="180" formatCode="0.0000"/>
    <numFmt numFmtId="181" formatCode="#,##0.000"/>
  </numFmts>
  <fonts count="5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theme="0" tint="-0.34998626667073579"/>
      <name val="Times New Roman"/>
      <family val="1"/>
    </font>
    <font>
      <sz val="9"/>
      <color indexed="81"/>
      <name val="Tahoma"/>
      <family val="2"/>
    </font>
    <font>
      <b/>
      <sz val="9"/>
      <color indexed="81"/>
      <name val="Tahoma"/>
      <family val="2"/>
    </font>
    <font>
      <b/>
      <sz val="8"/>
      <name val="Times New Roman"/>
      <family val="1"/>
    </font>
    <font>
      <sz val="11"/>
      <name val="Calibri"/>
      <family val="2"/>
    </font>
    <font>
      <sz val="8"/>
      <name val="Times New Roman"/>
      <family val="1"/>
    </font>
    <font>
      <sz val="8"/>
      <name val="Calibri"/>
      <family val="2"/>
    </font>
    <font>
      <sz val="7"/>
      <name val="Times New Roman"/>
      <family val="1"/>
    </font>
    <font>
      <b/>
      <sz val="8"/>
      <name val="Calibri"/>
      <family val="2"/>
    </font>
    <font>
      <sz val="7"/>
      <name val="Calibri"/>
      <family val="2"/>
    </font>
    <font>
      <b/>
      <sz val="18"/>
      <color theme="0" tint="-0.34998626667073579"/>
      <name val="Times New Roman"/>
      <family val="1"/>
    </font>
    <font>
      <b/>
      <sz val="12"/>
      <name val="Times New Roman"/>
      <family val="1"/>
    </font>
    <font>
      <b/>
      <sz val="12"/>
      <color theme="1"/>
      <name val="Times New Roman"/>
      <family val="1"/>
    </font>
    <font>
      <sz val="8"/>
      <name val="Calibri"/>
      <family val="2"/>
      <scheme val="minor"/>
    </font>
    <font>
      <b/>
      <sz val="10"/>
      <color indexed="81"/>
      <name val="Tahoma"/>
      <family val="2"/>
    </font>
    <font>
      <sz val="10"/>
      <color indexed="81"/>
      <name val="Tahoma"/>
      <family val="2"/>
    </font>
    <font>
      <b/>
      <sz val="11"/>
      <color rgb="FF0070C0"/>
      <name val="Times New Roman"/>
      <family val="1"/>
    </font>
    <font>
      <sz val="11"/>
      <color rgb="FF000000"/>
      <name val="Times New Roman"/>
      <family val="1"/>
    </font>
    <font>
      <sz val="9"/>
      <color indexed="81"/>
      <name val="Tahoma"/>
    </font>
    <font>
      <b/>
      <sz val="9"/>
      <color indexed="81"/>
      <name val="Tahoma"/>
    </font>
  </fonts>
  <fills count="3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CC0D9"/>
        <bgColor rgb="FFCCC0D9"/>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00B0F0"/>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medium">
        <color auto="1"/>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auto="1"/>
      </right>
      <top style="medium">
        <color auto="1"/>
      </top>
      <bottom style="medium">
        <color auto="1"/>
      </bottom>
      <diagonal/>
    </border>
    <border>
      <left style="medium">
        <color auto="1"/>
      </left>
      <right style="thin">
        <color auto="1"/>
      </right>
      <top/>
      <bottom/>
      <diagonal/>
    </border>
    <border>
      <left style="thin">
        <color auto="1"/>
      </left>
      <right/>
      <top style="medium">
        <color auto="1"/>
      </top>
      <bottom/>
      <diagonal/>
    </border>
  </borders>
  <cellStyleXfs count="37">
    <xf numFmtId="0" fontId="0" fillId="0" borderId="0"/>
    <xf numFmtId="0" fontId="19" fillId="3" borderId="66" applyNumberFormat="0" applyAlignment="0" applyProtection="0"/>
    <xf numFmtId="49" fontId="21" fillId="0" borderId="0" applyFill="0" applyBorder="0" applyProtection="0">
      <alignment horizontal="left" vertical="center"/>
    </xf>
    <xf numFmtId="0" fontId="22" fillId="4" borderId="67" applyNumberFormat="0" applyFont="0" applyFill="0" applyAlignment="0"/>
    <xf numFmtId="0" fontId="22" fillId="4" borderId="68"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6" fillId="0" borderId="0" applyFont="0" applyFill="0" applyBorder="0" applyAlignment="0">
      <alignment horizontal="left"/>
    </xf>
    <xf numFmtId="0" fontId="27" fillId="7" borderId="0" applyNumberFormat="0" applyBorder="0" applyProtection="0">
      <alignment horizontal="center" vertical="center"/>
    </xf>
    <xf numFmtId="168"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8" fontId="5"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169" fontId="19" fillId="0" borderId="0" applyFont="0" applyFill="0" applyBorder="0" applyAlignment="0" applyProtection="0"/>
    <xf numFmtId="171" fontId="2" fillId="0" borderId="0" applyFont="0" applyFill="0" applyBorder="0" applyAlignment="0" applyProtection="0"/>
    <xf numFmtId="170" fontId="19"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8"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19"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0" fillId="0" borderId="0"/>
    <xf numFmtId="0" fontId="29" fillId="5" borderId="0" applyNumberFormat="0" applyBorder="0" applyProtection="0">
      <alignment horizontal="left" indent="1"/>
    </xf>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cellStyleXfs>
  <cellXfs count="88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9"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0"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1" fillId="19" borderId="13" xfId="0" applyFont="1" applyFill="1" applyBorder="1" applyAlignment="1">
      <alignment vertical="center"/>
    </xf>
    <xf numFmtId="0" fontId="31" fillId="19" borderId="0" xfId="0" applyFont="1" applyFill="1" applyAlignment="1">
      <alignment vertical="center"/>
    </xf>
    <xf numFmtId="0" fontId="31"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19"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2"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0"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0"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1" fillId="0" borderId="0" xfId="0" applyFont="1" applyAlignment="1">
      <alignment vertical="center"/>
    </xf>
    <xf numFmtId="0" fontId="33" fillId="9" borderId="1"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166" fontId="31" fillId="0" borderId="1" xfId="11" applyFont="1" applyBorder="1" applyAlignment="1">
      <alignment horizontal="center" vertical="center" wrapText="1"/>
    </xf>
    <xf numFmtId="0" fontId="31" fillId="0" borderId="1" xfId="0" applyFont="1" applyBorder="1" applyAlignment="1">
      <alignment vertical="center"/>
    </xf>
    <xf numFmtId="0" fontId="34" fillId="9" borderId="1" xfId="0" applyFont="1" applyFill="1" applyBorder="1" applyAlignment="1">
      <alignment horizontal="center" vertical="center"/>
    </xf>
    <xf numFmtId="0" fontId="31"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41" fontId="31" fillId="0" borderId="1" xfId="12" applyFont="1" applyFill="1" applyBorder="1" applyAlignment="1">
      <alignment vertical="center"/>
    </xf>
    <xf numFmtId="0" fontId="35" fillId="0" borderId="0" xfId="0" applyFont="1" applyAlignment="1">
      <alignment vertical="center"/>
    </xf>
    <xf numFmtId="0" fontId="33" fillId="0" borderId="0" xfId="0" applyFont="1" applyAlignment="1">
      <alignment horizontal="left" vertical="center"/>
    </xf>
    <xf numFmtId="0" fontId="33" fillId="9" borderId="1" xfId="0" applyFont="1" applyFill="1" applyBorder="1" applyAlignment="1">
      <alignment vertical="center"/>
    </xf>
    <xf numFmtId="41" fontId="31" fillId="0" borderId="2" xfId="12" applyFont="1" applyFill="1" applyBorder="1" applyAlignment="1">
      <alignment vertical="center"/>
    </xf>
    <xf numFmtId="49" fontId="31" fillId="0" borderId="2" xfId="12" applyNumberFormat="1" applyFont="1" applyFill="1" applyBorder="1" applyAlignment="1">
      <alignment vertical="center"/>
    </xf>
    <xf numFmtId="49" fontId="31" fillId="0" borderId="1" xfId="12" applyNumberFormat="1" applyFont="1" applyFill="1" applyBorder="1" applyAlignment="1">
      <alignment vertical="center"/>
    </xf>
    <xf numFmtId="0" fontId="31" fillId="0" borderId="0" xfId="0" applyFont="1" applyAlignment="1">
      <alignment horizontal="left" vertical="center"/>
    </xf>
    <xf numFmtId="0" fontId="33" fillId="21" borderId="1" xfId="0" applyFont="1" applyFill="1" applyBorder="1" applyAlignment="1">
      <alignment horizontal="center" vertical="center"/>
    </xf>
    <xf numFmtId="0" fontId="33" fillId="0" borderId="1" xfId="0" applyFont="1" applyBorder="1" applyAlignment="1">
      <alignment horizontal="center" vertical="center"/>
    </xf>
    <xf numFmtId="0" fontId="31" fillId="0" borderId="4" xfId="0" applyFont="1" applyBorder="1" applyAlignment="1">
      <alignment horizontal="left" vertical="center" wrapText="1"/>
    </xf>
    <xf numFmtId="0" fontId="31" fillId="0" borderId="1" xfId="0" applyFont="1" applyBorder="1" applyAlignment="1">
      <alignment horizontal="left" vertical="center" wrapText="1"/>
    </xf>
    <xf numFmtId="0" fontId="33" fillId="0" borderId="1" xfId="0" applyFont="1" applyBorder="1" applyAlignment="1">
      <alignment horizontal="center" vertical="center" wrapText="1"/>
    </xf>
    <xf numFmtId="0" fontId="31" fillId="0" borderId="1" xfId="0" applyFont="1" applyBorder="1" applyAlignment="1">
      <alignment vertical="center" wrapText="1"/>
    </xf>
    <xf numFmtId="0" fontId="33" fillId="0" borderId="1" xfId="0" applyFont="1" applyBorder="1" applyAlignment="1">
      <alignment vertical="center" wrapText="1"/>
    </xf>
    <xf numFmtId="0" fontId="11" fillId="19" borderId="1" xfId="0" applyFont="1" applyFill="1" applyBorder="1" applyAlignment="1">
      <alignment horizontal="left" vertical="center" wrapText="1"/>
    </xf>
    <xf numFmtId="0" fontId="33" fillId="0" borderId="10" xfId="0" applyFont="1" applyBorder="1" applyAlignment="1">
      <alignment horizontal="left" vertical="center" wrapText="1"/>
    </xf>
    <xf numFmtId="0" fontId="31"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22" borderId="1" xfId="0" applyFont="1" applyFill="1" applyBorder="1" applyAlignment="1">
      <alignment horizontal="left" vertical="center"/>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0" fontId="17" fillId="0" borderId="1" xfId="0" applyFont="1" applyBorder="1" applyAlignment="1">
      <alignment horizontal="center" vertical="center" wrapText="1"/>
    </xf>
    <xf numFmtId="9" fontId="11" fillId="25" borderId="1" xfId="28" applyFont="1" applyFill="1" applyBorder="1" applyAlignment="1" applyProtection="1">
      <alignment horizontal="center" vertical="center" wrapText="1"/>
      <protection locked="0"/>
    </xf>
    <xf numFmtId="9" fontId="11" fillId="25" borderId="2" xfId="28" applyFont="1" applyFill="1" applyBorder="1" applyAlignment="1" applyProtection="1">
      <alignment horizontal="center" vertical="center" wrapText="1"/>
      <protection locked="0"/>
    </xf>
    <xf numFmtId="0" fontId="3" fillId="0" borderId="76" xfId="0" applyFont="1" applyBorder="1" applyAlignment="1">
      <alignment horizontal="left" vertical="center" wrapText="1"/>
    </xf>
    <xf numFmtId="9" fontId="4" fillId="0" borderId="77" xfId="0" applyNumberFormat="1" applyFont="1" applyBorder="1" applyAlignment="1">
      <alignment horizontal="center" vertical="center" wrapText="1"/>
    </xf>
    <xf numFmtId="9" fontId="3" fillId="0" borderId="78" xfId="0" applyNumberFormat="1" applyFont="1" applyBorder="1" applyAlignment="1">
      <alignment horizontal="center" vertical="center" wrapText="1"/>
    </xf>
    <xf numFmtId="0" fontId="3" fillId="26" borderId="79" xfId="0" applyFont="1" applyFill="1" applyBorder="1" applyAlignment="1">
      <alignment horizontal="left" vertical="center" wrapText="1"/>
    </xf>
    <xf numFmtId="9" fontId="4" fillId="26" borderId="80" xfId="0" applyNumberFormat="1" applyFont="1" applyFill="1" applyBorder="1" applyAlignment="1">
      <alignment horizontal="center" vertical="center" wrapText="1"/>
    </xf>
    <xf numFmtId="9" fontId="3" fillId="0" borderId="81" xfId="0" applyNumberFormat="1" applyFont="1" applyBorder="1" applyAlignment="1">
      <alignment horizontal="center" vertical="center" wrapText="1"/>
    </xf>
    <xf numFmtId="0" fontId="3" fillId="0" borderId="1" xfId="0" applyFont="1" applyBorder="1" applyAlignment="1">
      <alignment horizontal="left" vertical="center" wrapText="1"/>
    </xf>
    <xf numFmtId="9" fontId="4" fillId="0" borderId="1" xfId="0" applyNumberFormat="1" applyFont="1" applyBorder="1" applyAlignment="1">
      <alignment horizontal="center" vertical="center" wrapText="1"/>
    </xf>
    <xf numFmtId="9" fontId="4" fillId="0" borderId="76" xfId="0" applyNumberFormat="1" applyFont="1" applyBorder="1" applyAlignment="1">
      <alignment horizontal="center" vertical="center" wrapText="1"/>
    </xf>
    <xf numFmtId="0" fontId="3" fillId="26" borderId="19" xfId="0" applyFont="1" applyFill="1" applyBorder="1" applyAlignment="1">
      <alignment horizontal="left" vertical="center" wrapText="1"/>
    </xf>
    <xf numFmtId="9" fontId="4" fillId="26" borderId="19" xfId="0" applyNumberFormat="1" applyFont="1" applyFill="1" applyBorder="1" applyAlignment="1">
      <alignment horizontal="center" vertical="center" wrapText="1"/>
    </xf>
    <xf numFmtId="9" fontId="4" fillId="26" borderId="82" xfId="0" applyNumberFormat="1" applyFont="1" applyFill="1" applyBorder="1" applyAlignment="1">
      <alignment horizontal="center" vertical="center" wrapText="1"/>
    </xf>
    <xf numFmtId="9" fontId="4" fillId="26" borderId="83" xfId="0" applyNumberFormat="1" applyFont="1" applyFill="1" applyBorder="1" applyAlignment="1">
      <alignment horizontal="center" vertical="center" wrapText="1"/>
    </xf>
    <xf numFmtId="9" fontId="3" fillId="0" borderId="84" xfId="0" applyNumberFormat="1" applyFont="1" applyBorder="1" applyAlignment="1">
      <alignment horizontal="center" vertical="center" wrapText="1"/>
    </xf>
    <xf numFmtId="0" fontId="12" fillId="20" borderId="10" xfId="22" applyFont="1" applyFill="1" applyBorder="1" applyAlignment="1">
      <alignment horizontal="center" vertical="center" wrapText="1"/>
    </xf>
    <xf numFmtId="0" fontId="12" fillId="0" borderId="44" xfId="22" applyFont="1" applyBorder="1" applyAlignment="1">
      <alignment horizontal="left" vertical="center" wrapText="1"/>
    </xf>
    <xf numFmtId="9" fontId="12" fillId="0" borderId="53" xfId="22" applyNumberFormat="1" applyFont="1" applyBorder="1" applyAlignment="1">
      <alignment horizontal="center" vertical="center" wrapText="1"/>
    </xf>
    <xf numFmtId="43" fontId="0" fillId="0" borderId="0" xfId="0" applyNumberFormat="1"/>
    <xf numFmtId="168" fontId="0" fillId="0" borderId="0" xfId="10" applyFont="1"/>
    <xf numFmtId="168" fontId="30" fillId="0" borderId="0" xfId="0" applyNumberFormat="1" applyFont="1"/>
    <xf numFmtId="168" fontId="0" fillId="0" borderId="0" xfId="0" applyNumberFormat="1"/>
    <xf numFmtId="9" fontId="0" fillId="0" borderId="0" xfId="28" applyFont="1"/>
    <xf numFmtId="0" fontId="12" fillId="20" borderId="5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11" xfId="22" applyFont="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0" borderId="12" xfId="22" applyFont="1" applyBorder="1" applyAlignment="1">
      <alignment horizontal="center" vertical="center" wrapText="1"/>
    </xf>
    <xf numFmtId="0" fontId="40" fillId="27" borderId="80" xfId="0" applyFont="1" applyFill="1" applyBorder="1" applyAlignment="1">
      <alignment horizontal="center" vertical="center" wrapText="1"/>
    </xf>
    <xf numFmtId="0" fontId="40" fillId="0" borderId="80" xfId="0" applyFont="1" applyBorder="1" applyAlignment="1">
      <alignment horizontal="center" vertical="center" wrapText="1"/>
    </xf>
    <xf numFmtId="9" fontId="43" fillId="0" borderId="0" xfId="0" applyNumberFormat="1" applyFont="1" applyAlignment="1">
      <alignment horizontal="center" vertical="center"/>
    </xf>
    <xf numFmtId="178" fontId="45" fillId="28" borderId="0" xfId="0" applyNumberFormat="1" applyFont="1" applyFill="1" applyAlignment="1">
      <alignment horizontal="center" vertical="center"/>
    </xf>
    <xf numFmtId="178" fontId="43" fillId="0" borderId="0" xfId="0" applyNumberFormat="1" applyFont="1" applyAlignment="1">
      <alignment horizontal="center" vertical="center"/>
    </xf>
    <xf numFmtId="0" fontId="43" fillId="0" borderId="0" xfId="0" applyFont="1" applyAlignment="1">
      <alignment horizontal="center" vertical="center"/>
    </xf>
    <xf numFmtId="0" fontId="40" fillId="29" borderId="80" xfId="0" applyFont="1" applyFill="1" applyBorder="1" applyAlignment="1">
      <alignment horizontal="center" vertical="center" wrapText="1"/>
    </xf>
    <xf numFmtId="178" fontId="43" fillId="29" borderId="0" xfId="0" applyNumberFormat="1" applyFont="1" applyFill="1" applyAlignment="1">
      <alignment horizontal="center" vertical="center"/>
    </xf>
    <xf numFmtId="178" fontId="45" fillId="29" borderId="0" xfId="0" applyNumberFormat="1" applyFont="1" applyFill="1" applyAlignment="1">
      <alignment horizontal="center" vertical="center"/>
    </xf>
    <xf numFmtId="178" fontId="0" fillId="0" borderId="0" xfId="0" applyNumberFormat="1" applyAlignment="1">
      <alignment vertical="center"/>
    </xf>
    <xf numFmtId="0" fontId="43" fillId="30" borderId="0" xfId="0" applyFont="1" applyFill="1" applyAlignment="1">
      <alignment horizontal="center" vertical="center"/>
    </xf>
    <xf numFmtId="179" fontId="45" fillId="30" borderId="0" xfId="0" applyNumberFormat="1" applyFont="1" applyFill="1" applyAlignment="1">
      <alignment horizontal="center" vertical="center"/>
    </xf>
    <xf numFmtId="180" fontId="43" fillId="31" borderId="0" xfId="0" applyNumberFormat="1" applyFont="1" applyFill="1" applyAlignment="1">
      <alignment horizontal="center" vertical="center"/>
    </xf>
    <xf numFmtId="178" fontId="43" fillId="31" borderId="0" xfId="0" applyNumberFormat="1" applyFont="1" applyFill="1" applyAlignment="1">
      <alignment horizontal="center" vertical="center"/>
    </xf>
    <xf numFmtId="0" fontId="4" fillId="0" borderId="0" xfId="0" applyFont="1" applyAlignment="1">
      <alignment vertical="center"/>
    </xf>
    <xf numFmtId="0" fontId="42" fillId="0" borderId="0" xfId="0" applyFont="1" applyAlignment="1">
      <alignment vertical="center"/>
    </xf>
    <xf numFmtId="4" fontId="12" fillId="0" borderId="10" xfId="22" applyNumberFormat="1" applyFont="1" applyBorder="1" applyAlignment="1">
      <alignment horizontal="center" vertical="center" wrapText="1"/>
    </xf>
    <xf numFmtId="4" fontId="12" fillId="0" borderId="10"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0" fontId="40" fillId="31" borderId="0" xfId="0" applyFont="1" applyFill="1" applyAlignment="1">
      <alignment vertical="center"/>
    </xf>
    <xf numFmtId="4" fontId="11" fillId="9" borderId="19" xfId="30" applyNumberFormat="1" applyFont="1" applyFill="1" applyBorder="1" applyAlignment="1" applyProtection="1">
      <alignment horizontal="center" vertical="center" wrapText="1"/>
    </xf>
    <xf numFmtId="0" fontId="11" fillId="0" borderId="18" xfId="22" applyFont="1" applyBorder="1" applyAlignment="1">
      <alignment horizontal="justify" vertical="center" wrapText="1"/>
    </xf>
    <xf numFmtId="0" fontId="37" fillId="0" borderId="0" xfId="0" applyFont="1" applyAlignment="1">
      <alignment horizontal="center" vertical="center"/>
    </xf>
    <xf numFmtId="0" fontId="33" fillId="0" borderId="0" xfId="0" applyFont="1" applyAlignment="1">
      <alignment horizontal="center" vertical="center" wrapText="1"/>
    </xf>
    <xf numFmtId="0" fontId="12" fillId="2" borderId="0" xfId="22" applyFont="1" applyFill="1" applyAlignment="1">
      <alignment vertical="center" wrapText="1"/>
    </xf>
    <xf numFmtId="176" fontId="31" fillId="0" borderId="0" xfId="0" applyNumberFormat="1" applyFont="1" applyAlignment="1">
      <alignment vertical="center"/>
    </xf>
    <xf numFmtId="176" fontId="31" fillId="0" borderId="0" xfId="14" applyNumberFormat="1" applyFont="1" applyBorder="1" applyAlignment="1">
      <alignment vertical="center"/>
    </xf>
    <xf numFmtId="173" fontId="31" fillId="0" borderId="0" xfId="0" applyNumberFormat="1" applyFont="1" applyAlignment="1">
      <alignment vertical="center"/>
    </xf>
    <xf numFmtId="165" fontId="31" fillId="0" borderId="0" xfId="15" applyFont="1" applyAlignment="1">
      <alignment vertical="center"/>
    </xf>
    <xf numFmtId="9" fontId="33" fillId="0" borderId="0" xfId="28" applyFont="1" applyBorder="1" applyAlignment="1">
      <alignment horizontal="center" vertical="center"/>
    </xf>
    <xf numFmtId="165" fontId="33" fillId="0" borderId="0" xfId="15" applyFont="1" applyAlignment="1">
      <alignment vertical="center"/>
    </xf>
    <xf numFmtId="0" fontId="33" fillId="0" borderId="0" xfId="0" applyFont="1" applyAlignment="1">
      <alignment vertical="center"/>
    </xf>
    <xf numFmtId="9" fontId="42" fillId="0" borderId="0" xfId="0" applyNumberFormat="1" applyFont="1" applyAlignment="1">
      <alignment horizontal="center" vertical="center"/>
    </xf>
    <xf numFmtId="178" fontId="40" fillId="28" borderId="0" xfId="0" applyNumberFormat="1" applyFont="1" applyFill="1" applyAlignment="1">
      <alignment horizontal="center" vertical="center"/>
    </xf>
    <xf numFmtId="178" fontId="42" fillId="0" borderId="0" xfId="0" applyNumberFormat="1" applyFont="1" applyAlignment="1">
      <alignment horizontal="center" vertical="center"/>
    </xf>
    <xf numFmtId="0" fontId="42" fillId="0" borderId="0" xfId="0" applyFont="1" applyAlignment="1">
      <alignment horizontal="center" vertical="center"/>
    </xf>
    <xf numFmtId="178" fontId="42" fillId="29" borderId="0" xfId="0" applyNumberFormat="1" applyFont="1" applyFill="1" applyAlignment="1">
      <alignment horizontal="center" vertical="center"/>
    </xf>
    <xf numFmtId="178" fontId="40" fillId="29" borderId="0" xfId="0" applyNumberFormat="1" applyFont="1" applyFill="1" applyAlignment="1">
      <alignment horizontal="center" vertical="center"/>
    </xf>
    <xf numFmtId="178" fontId="31" fillId="0" borderId="0" xfId="0" applyNumberFormat="1" applyFont="1" applyAlignment="1">
      <alignment vertical="center"/>
    </xf>
    <xf numFmtId="0" fontId="42" fillId="30" borderId="0" xfId="0" applyFont="1" applyFill="1" applyAlignment="1">
      <alignment horizontal="center" vertical="center"/>
    </xf>
    <xf numFmtId="179" fontId="40" fillId="30" borderId="0" xfId="0" applyNumberFormat="1" applyFont="1" applyFill="1" applyAlignment="1">
      <alignment horizontal="center" vertical="center"/>
    </xf>
    <xf numFmtId="180" fontId="42" fillId="31" borderId="0" xfId="0" applyNumberFormat="1" applyFont="1" applyFill="1" applyAlignment="1">
      <alignment horizontal="center" vertical="center"/>
    </xf>
    <xf numFmtId="178" fontId="42" fillId="31" borderId="0" xfId="0" applyNumberFormat="1" applyFont="1" applyFill="1" applyAlignment="1">
      <alignment horizontal="center" vertical="center"/>
    </xf>
    <xf numFmtId="41" fontId="31" fillId="0" borderId="1" xfId="12" applyFont="1" applyFill="1" applyBorder="1" applyAlignment="1">
      <alignment horizontal="justify" vertical="center" wrapText="1"/>
    </xf>
    <xf numFmtId="0" fontId="31" fillId="0" borderId="1" xfId="0" applyFont="1" applyBorder="1" applyAlignment="1">
      <alignment horizontal="justify" vertical="center" wrapText="1"/>
    </xf>
    <xf numFmtId="0" fontId="31" fillId="19" borderId="1" xfId="0" applyFont="1" applyFill="1" applyBorder="1" applyAlignment="1">
      <alignment horizontal="justify" vertical="center" wrapText="1"/>
    </xf>
    <xf numFmtId="3" fontId="33" fillId="9" borderId="1" xfId="0" applyNumberFormat="1" applyFont="1" applyFill="1" applyBorder="1" applyAlignment="1">
      <alignment horizontal="center" vertical="center" wrapText="1"/>
    </xf>
    <xf numFmtId="3" fontId="31" fillId="0" borderId="1" xfId="11" applyNumberFormat="1" applyFont="1" applyBorder="1" applyAlignment="1">
      <alignment horizontal="center" vertical="center" wrapText="1"/>
    </xf>
    <xf numFmtId="3" fontId="31" fillId="0" borderId="1" xfId="0" applyNumberFormat="1" applyFont="1" applyBorder="1" applyAlignment="1">
      <alignment horizontal="center" vertical="center"/>
    </xf>
    <xf numFmtId="3" fontId="31" fillId="0" borderId="1" xfId="0" applyNumberFormat="1" applyFont="1" applyBorder="1" applyAlignment="1">
      <alignment horizontal="center" vertical="center" wrapText="1"/>
    </xf>
    <xf numFmtId="3" fontId="31" fillId="0" borderId="0" xfId="0" applyNumberFormat="1" applyFont="1" applyAlignment="1">
      <alignment horizontal="center" vertical="center"/>
    </xf>
    <xf numFmtId="1" fontId="33" fillId="9" borderId="1" xfId="0" applyNumberFormat="1" applyFont="1" applyFill="1" applyBorder="1" applyAlignment="1">
      <alignment horizontal="center" vertical="center" wrapText="1"/>
    </xf>
    <xf numFmtId="4" fontId="31" fillId="0" borderId="1" xfId="0" applyNumberFormat="1" applyFont="1" applyBorder="1" applyAlignment="1">
      <alignment horizontal="center" vertical="center" wrapText="1"/>
    </xf>
    <xf numFmtId="4" fontId="31" fillId="0" borderId="1" xfId="0" applyNumberFormat="1" applyFont="1" applyBorder="1" applyAlignment="1">
      <alignment horizontal="center" vertical="center"/>
    </xf>
    <xf numFmtId="3" fontId="12" fillId="9" borderId="10" xfId="0" applyNumberFormat="1" applyFont="1" applyFill="1" applyBorder="1" applyAlignment="1">
      <alignment horizontal="center" vertical="center" wrapText="1"/>
    </xf>
    <xf numFmtId="3" fontId="33" fillId="9" borderId="22" xfId="0" applyNumberFormat="1" applyFont="1" applyFill="1" applyBorder="1" applyAlignment="1">
      <alignment horizontal="center" vertical="center"/>
    </xf>
    <xf numFmtId="3" fontId="33" fillId="9" borderId="23" xfId="0" applyNumberFormat="1" applyFont="1" applyFill="1" applyBorder="1" applyAlignment="1">
      <alignment horizontal="center" vertical="center"/>
    </xf>
    <xf numFmtId="3" fontId="33" fillId="9" borderId="0" xfId="0" applyNumberFormat="1" applyFont="1" applyFill="1" applyAlignment="1">
      <alignment horizontal="center" vertical="center"/>
    </xf>
    <xf numFmtId="3" fontId="33" fillId="9" borderId="24" xfId="0" applyNumberFormat="1" applyFont="1" applyFill="1" applyBorder="1" applyAlignment="1">
      <alignment horizontal="center" vertical="center"/>
    </xf>
    <xf numFmtId="3" fontId="33" fillId="9" borderId="3" xfId="0" applyNumberFormat="1" applyFont="1" applyFill="1" applyBorder="1" applyAlignment="1">
      <alignment horizontal="center" vertical="center"/>
    </xf>
    <xf numFmtId="3" fontId="33" fillId="9" borderId="25" xfId="0" applyNumberFormat="1" applyFont="1" applyFill="1" applyBorder="1" applyAlignment="1">
      <alignment horizontal="center" vertical="center"/>
    </xf>
    <xf numFmtId="9" fontId="31" fillId="0" borderId="34" xfId="28" applyFont="1" applyFill="1" applyBorder="1" applyAlignment="1">
      <alignment vertical="center"/>
    </xf>
    <xf numFmtId="0" fontId="12" fillId="20" borderId="87" xfId="22" applyFont="1" applyFill="1" applyBorder="1" applyAlignment="1">
      <alignment horizontal="center" vertical="center" wrapText="1"/>
    </xf>
    <xf numFmtId="173" fontId="31" fillId="0" borderId="9" xfId="10" applyNumberFormat="1" applyFont="1" applyFill="1" applyBorder="1" applyAlignment="1">
      <alignment vertical="center"/>
    </xf>
    <xf numFmtId="5" fontId="31" fillId="0" borderId="25" xfId="10" applyNumberFormat="1" applyFont="1" applyFill="1" applyBorder="1" applyAlignment="1">
      <alignment horizontal="right" vertical="center"/>
    </xf>
    <xf numFmtId="5" fontId="31" fillId="0" borderId="4" xfId="10" applyNumberFormat="1" applyFont="1" applyFill="1" applyBorder="1" applyAlignment="1">
      <alignment horizontal="right" vertical="center"/>
    </xf>
    <xf numFmtId="5" fontId="31" fillId="0" borderId="5" xfId="10" applyNumberFormat="1" applyFont="1" applyFill="1" applyBorder="1" applyAlignment="1">
      <alignment horizontal="right" vertical="center"/>
    </xf>
    <xf numFmtId="5" fontId="31" fillId="0" borderId="1" xfId="10" applyNumberFormat="1" applyFont="1" applyFill="1" applyBorder="1" applyAlignment="1">
      <alignment horizontal="right" vertical="center"/>
    </xf>
    <xf numFmtId="5" fontId="31" fillId="0" borderId="3" xfId="10" applyNumberFormat="1" applyFont="1" applyFill="1" applyBorder="1" applyAlignment="1">
      <alignment horizontal="right" vertical="center"/>
    </xf>
    <xf numFmtId="5" fontId="31" fillId="0" borderId="46" xfId="10" applyNumberFormat="1" applyFont="1" applyBorder="1" applyAlignment="1">
      <alignment horizontal="right" vertical="center"/>
    </xf>
    <xf numFmtId="5" fontId="31" fillId="0" borderId="19" xfId="10" applyNumberFormat="1" applyFont="1" applyBorder="1" applyAlignment="1">
      <alignment horizontal="right" vertical="center"/>
    </xf>
    <xf numFmtId="5" fontId="31" fillId="0" borderId="8" xfId="10" applyNumberFormat="1" applyFont="1" applyFill="1" applyBorder="1" applyAlignment="1">
      <alignment horizontal="right" vertical="center"/>
    </xf>
    <xf numFmtId="0" fontId="11" fillId="19" borderId="39" xfId="22" applyFont="1" applyFill="1" applyBorder="1" applyAlignment="1">
      <alignment vertical="center" wrapText="1"/>
    </xf>
    <xf numFmtId="0" fontId="12" fillId="19" borderId="14" xfId="22" applyFont="1" applyFill="1" applyBorder="1" applyAlignment="1">
      <alignment vertical="center" wrapText="1"/>
    </xf>
    <xf numFmtId="0" fontId="12" fillId="20" borderId="45"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1" fillId="0" borderId="0" xfId="0" applyFont="1" applyAlignment="1">
      <alignment vertical="center"/>
    </xf>
    <xf numFmtId="0" fontId="43" fillId="0" borderId="0" xfId="0" applyFont="1" applyAlignment="1">
      <alignment vertical="center"/>
    </xf>
    <xf numFmtId="0" fontId="41" fillId="0" borderId="0" xfId="0" applyFont="1" applyAlignment="1">
      <alignment vertical="center"/>
    </xf>
    <xf numFmtId="5" fontId="31" fillId="0" borderId="32" xfId="10" applyNumberFormat="1" applyFont="1" applyFill="1" applyBorder="1" applyAlignment="1">
      <alignment horizontal="right" vertical="center"/>
    </xf>
    <xf numFmtId="5" fontId="31" fillId="0" borderId="56" xfId="10" applyNumberFormat="1" applyFont="1" applyFill="1" applyBorder="1" applyAlignment="1">
      <alignment horizontal="right" vertical="center"/>
    </xf>
    <xf numFmtId="5" fontId="31" fillId="0" borderId="57" xfId="10" applyNumberFormat="1" applyFont="1" applyFill="1" applyBorder="1" applyAlignment="1">
      <alignment horizontal="right" vertical="center"/>
    </xf>
    <xf numFmtId="5" fontId="31" fillId="0" borderId="6" xfId="10" applyNumberFormat="1" applyFont="1" applyFill="1" applyBorder="1" applyAlignment="1">
      <alignment horizontal="right" vertical="center"/>
    </xf>
    <xf numFmtId="5" fontId="31" fillId="0" borderId="31" xfId="10" applyNumberFormat="1" applyFont="1" applyFill="1" applyBorder="1" applyAlignment="1">
      <alignment horizontal="right" vertical="center"/>
    </xf>
    <xf numFmtId="5" fontId="31" fillId="0" borderId="19" xfId="10" applyNumberFormat="1" applyFont="1" applyFill="1" applyBorder="1" applyAlignment="1">
      <alignment horizontal="right" vertical="center"/>
    </xf>
    <xf numFmtId="0" fontId="12" fillId="9" borderId="10" xfId="22" applyFont="1" applyFill="1" applyBorder="1" applyAlignment="1">
      <alignment horizontal="left" vertical="center" wrapText="1"/>
    </xf>
    <xf numFmtId="4" fontId="11" fillId="9" borderId="10" xfId="30" applyNumberFormat="1" applyFont="1" applyFill="1" applyBorder="1" applyAlignment="1" applyProtection="1">
      <alignment horizontal="center" vertical="center" wrapText="1"/>
    </xf>
    <xf numFmtId="4" fontId="12" fillId="9" borderId="10" xfId="28" applyNumberFormat="1" applyFont="1" applyFill="1" applyBorder="1" applyAlignment="1" applyProtection="1">
      <alignment horizontal="center" vertical="center" wrapText="1"/>
    </xf>
    <xf numFmtId="9" fontId="12" fillId="0" borderId="1" xfId="22" applyNumberFormat="1" applyFont="1" applyBorder="1" applyAlignment="1">
      <alignment horizontal="center" vertical="center" wrapText="1"/>
    </xf>
    <xf numFmtId="9" fontId="12" fillId="0" borderId="19" xfId="22" applyNumberFormat="1" applyFont="1" applyBorder="1" applyAlignment="1">
      <alignment horizontal="center" vertical="center" wrapText="1"/>
    </xf>
    <xf numFmtId="2" fontId="12" fillId="0" borderId="10" xfId="22" applyNumberFormat="1" applyFont="1" applyBorder="1" applyAlignment="1">
      <alignment horizontal="center" vertical="center" wrapText="1"/>
    </xf>
    <xf numFmtId="4" fontId="31" fillId="0" borderId="1" xfId="12" applyNumberFormat="1" applyFont="1" applyFill="1" applyBorder="1" applyAlignment="1">
      <alignment horizontal="center" vertical="center" wrapText="1"/>
    </xf>
    <xf numFmtId="41" fontId="31" fillId="0" borderId="1" xfId="12" applyFont="1" applyFill="1" applyBorder="1" applyAlignment="1">
      <alignment vertical="center" wrapText="1"/>
    </xf>
    <xf numFmtId="0" fontId="17" fillId="0" borderId="1" xfId="0" applyFont="1" applyBorder="1" applyAlignment="1">
      <alignment vertical="center" wrapText="1"/>
    </xf>
    <xf numFmtId="181" fontId="11" fillId="9" borderId="19" xfId="30" applyNumberFormat="1" applyFont="1" applyFill="1" applyBorder="1" applyAlignment="1" applyProtection="1">
      <alignment horizontal="center" vertical="center" wrapText="1"/>
    </xf>
    <xf numFmtId="177" fontId="13" fillId="0" borderId="1" xfId="15" applyNumberFormat="1" applyFont="1" applyFill="1" applyBorder="1" applyAlignment="1">
      <alignment horizontal="center" vertical="center"/>
    </xf>
    <xf numFmtId="5" fontId="12" fillId="19" borderId="0" xfId="22" applyNumberFormat="1" applyFont="1" applyFill="1" applyAlignment="1">
      <alignment horizontal="left" vertical="center" wrapText="1"/>
    </xf>
    <xf numFmtId="0" fontId="12" fillId="9" borderId="10" xfId="0" applyFont="1" applyFill="1" applyBorder="1" applyAlignment="1">
      <alignment horizontal="center" vertical="center" wrapText="1"/>
    </xf>
    <xf numFmtId="0" fontId="12" fillId="9" borderId="1" xfId="0" applyFont="1" applyFill="1" applyBorder="1" applyAlignment="1">
      <alignment horizontal="left" vertical="center" wrapText="1"/>
    </xf>
    <xf numFmtId="3" fontId="17" fillId="0" borderId="1" xfId="0" applyNumberFormat="1" applyFont="1" applyBorder="1" applyAlignment="1">
      <alignment horizontal="center" vertical="center"/>
    </xf>
    <xf numFmtId="5" fontId="12" fillId="0" borderId="10" xfId="22" applyNumberFormat="1" applyFont="1" applyBorder="1" applyAlignment="1">
      <alignment horizontal="center" vertical="center" wrapText="1"/>
    </xf>
    <xf numFmtId="5" fontId="31" fillId="19" borderId="1" xfId="10" applyNumberFormat="1" applyFont="1" applyFill="1" applyBorder="1" applyAlignment="1">
      <alignment horizontal="right" vertical="center"/>
    </xf>
    <xf numFmtId="5" fontId="31" fillId="19" borderId="4" xfId="10" applyNumberFormat="1" applyFont="1" applyFill="1" applyBorder="1" applyAlignment="1">
      <alignment horizontal="right" vertical="center"/>
    </xf>
    <xf numFmtId="9" fontId="12" fillId="0" borderId="10" xfId="22" applyNumberFormat="1" applyFont="1" applyBorder="1" applyAlignment="1">
      <alignment horizontal="center" vertical="center" wrapText="1"/>
    </xf>
    <xf numFmtId="9" fontId="12" fillId="9" borderId="1" xfId="22" applyNumberFormat="1" applyFont="1" applyFill="1" applyBorder="1" applyAlignment="1">
      <alignment horizontal="left" vertical="center" wrapText="1"/>
    </xf>
    <xf numFmtId="9" fontId="12" fillId="0" borderId="1" xfId="22" applyNumberFormat="1" applyFont="1" applyBorder="1" applyAlignment="1">
      <alignment horizontal="left" vertical="center" wrapText="1"/>
    </xf>
    <xf numFmtId="9" fontId="12" fillId="0" borderId="61" xfId="22" applyNumberFormat="1" applyFont="1" applyBorder="1" applyAlignment="1">
      <alignment horizontal="center" vertical="center" wrapText="1"/>
    </xf>
    <xf numFmtId="5" fontId="31" fillId="19" borderId="57" xfId="10" applyNumberFormat="1" applyFont="1" applyFill="1" applyBorder="1" applyAlignment="1">
      <alignment horizontal="right" vertical="center"/>
    </xf>
    <xf numFmtId="173" fontId="31" fillId="19" borderId="9" xfId="10" applyNumberFormat="1" applyFont="1" applyFill="1" applyBorder="1" applyAlignment="1">
      <alignment vertical="center"/>
    </xf>
    <xf numFmtId="5" fontId="31" fillId="19" borderId="32" xfId="10" applyNumberFormat="1" applyFont="1" applyFill="1" applyBorder="1" applyAlignment="1">
      <alignment horizontal="right" vertical="center"/>
    </xf>
    <xf numFmtId="5" fontId="31" fillId="19" borderId="56" xfId="10" applyNumberFormat="1" applyFont="1" applyFill="1" applyBorder="1" applyAlignment="1">
      <alignment horizontal="right" vertical="center"/>
    </xf>
    <xf numFmtId="5" fontId="31" fillId="19" borderId="19" xfId="10" applyNumberFormat="1" applyFont="1" applyFill="1" applyBorder="1" applyAlignment="1">
      <alignment horizontal="right" vertical="center"/>
    </xf>
    <xf numFmtId="5" fontId="31" fillId="19" borderId="46" xfId="10" applyNumberFormat="1" applyFont="1" applyFill="1" applyBorder="1" applyAlignment="1">
      <alignment horizontal="right" vertical="center"/>
    </xf>
    <xf numFmtId="9" fontId="31" fillId="19" borderId="33" xfId="28" applyFont="1" applyFill="1" applyBorder="1" applyAlignment="1">
      <alignment vertical="center"/>
    </xf>
    <xf numFmtId="9" fontId="31" fillId="19" borderId="9" xfId="28" applyFont="1" applyFill="1" applyBorder="1" applyAlignment="1">
      <alignment vertical="center"/>
    </xf>
    <xf numFmtId="9" fontId="31" fillId="19" borderId="34" xfId="28" applyFont="1" applyFill="1" applyBorder="1" applyAlignment="1">
      <alignment vertical="center"/>
    </xf>
    <xf numFmtId="176" fontId="31" fillId="19" borderId="0" xfId="14" applyNumberFormat="1" applyFont="1" applyFill="1" applyBorder="1" applyAlignment="1">
      <alignment vertical="center"/>
    </xf>
    <xf numFmtId="174" fontId="31" fillId="19" borderId="9" xfId="28" applyNumberFormat="1" applyFont="1" applyFill="1" applyBorder="1" applyAlignment="1">
      <alignment vertical="center"/>
    </xf>
    <xf numFmtId="174" fontId="31" fillId="19" borderId="33" xfId="28" applyNumberFormat="1" applyFont="1" applyFill="1" applyBorder="1" applyAlignment="1">
      <alignment vertical="center"/>
    </xf>
    <xf numFmtId="9" fontId="11" fillId="19" borderId="1" xfId="29" applyFont="1" applyFill="1" applyBorder="1" applyAlignment="1" applyProtection="1">
      <alignment horizontal="center" vertical="center" wrapText="1"/>
      <protection locked="0"/>
    </xf>
    <xf numFmtId="3" fontId="31" fillId="0" borderId="0" xfId="0" applyNumberFormat="1" applyFont="1" applyAlignment="1">
      <alignment vertical="center"/>
    </xf>
    <xf numFmtId="3" fontId="31" fillId="19" borderId="1" xfId="0" applyNumberFormat="1" applyFont="1" applyFill="1" applyBorder="1" applyAlignment="1">
      <alignment horizontal="center" vertical="center"/>
    </xf>
    <xf numFmtId="9" fontId="31" fillId="19" borderId="1" xfId="28" applyFont="1" applyFill="1" applyBorder="1" applyAlignment="1">
      <alignment vertical="center"/>
    </xf>
    <xf numFmtId="4" fontId="12" fillId="19" borderId="19" xfId="28" applyNumberFormat="1" applyFont="1" applyFill="1" applyBorder="1" applyAlignment="1" applyProtection="1">
      <alignment horizontal="center" vertical="center" wrapText="1"/>
    </xf>
    <xf numFmtId="0" fontId="31" fillId="19" borderId="0" xfId="0" applyFont="1" applyFill="1" applyAlignment="1">
      <alignment vertical="center" wrapText="1"/>
    </xf>
    <xf numFmtId="0" fontId="31" fillId="19" borderId="1" xfId="28" applyNumberFormat="1" applyFont="1" applyFill="1" applyBorder="1" applyAlignment="1">
      <alignment vertical="center" wrapText="1"/>
    </xf>
    <xf numFmtId="0" fontId="31" fillId="19" borderId="1" xfId="0" applyFont="1" applyFill="1" applyBorder="1" applyAlignment="1">
      <alignment vertical="center" wrapText="1"/>
    </xf>
    <xf numFmtId="0" fontId="31" fillId="19" borderId="1" xfId="0" applyFont="1" applyFill="1" applyBorder="1" applyAlignment="1">
      <alignment vertical="center"/>
    </xf>
    <xf numFmtId="9" fontId="53" fillId="0" borderId="1" xfId="29" applyFont="1" applyFill="1" applyBorder="1" applyAlignment="1" applyProtection="1">
      <alignment horizontal="center" vertical="center" wrapText="1"/>
      <protection locked="0"/>
    </xf>
    <xf numFmtId="4" fontId="31" fillId="9" borderId="19" xfId="30" applyNumberFormat="1" applyFont="1" applyFill="1" applyBorder="1" applyAlignment="1" applyProtection="1">
      <alignment horizontal="center" vertical="center" wrapText="1"/>
    </xf>
    <xf numFmtId="9" fontId="31" fillId="19" borderId="1" xfId="28" applyFont="1" applyFill="1" applyBorder="1" applyAlignment="1">
      <alignment vertical="center" wrapText="1"/>
    </xf>
    <xf numFmtId="0" fontId="31" fillId="0" borderId="0" xfId="0" applyFont="1" applyAlignment="1">
      <alignment horizontal="justify" vertical="top"/>
    </xf>
    <xf numFmtId="9" fontId="31" fillId="0" borderId="1" xfId="28" applyFont="1" applyFill="1" applyBorder="1" applyAlignment="1">
      <alignment vertical="top" wrapText="1"/>
    </xf>
    <xf numFmtId="3" fontId="31" fillId="0" borderId="1" xfId="0" applyNumberFormat="1" applyFont="1" applyFill="1" applyBorder="1" applyAlignment="1">
      <alignment horizontal="center" vertical="center"/>
    </xf>
    <xf numFmtId="0" fontId="11" fillId="0" borderId="40" xfId="22" applyFont="1" applyBorder="1" applyAlignment="1">
      <alignment horizontal="center" vertical="center" wrapText="1"/>
    </xf>
    <xf numFmtId="0" fontId="11" fillId="0" borderId="41" xfId="22" applyFont="1" applyBorder="1" applyAlignment="1">
      <alignment horizontal="center" vertical="center" wrapText="1"/>
    </xf>
    <xf numFmtId="0" fontId="11" fillId="0" borderId="42" xfId="22" applyFont="1" applyBorder="1" applyAlignment="1">
      <alignment horizontal="center" vertical="center" wrapText="1"/>
    </xf>
    <xf numFmtId="0" fontId="12" fillId="0" borderId="39"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8" fillId="0" borderId="43" xfId="0" applyFont="1" applyBorder="1" applyAlignment="1">
      <alignment horizontal="left" vertical="center" wrapText="1"/>
    </xf>
    <xf numFmtId="0" fontId="48" fillId="0" borderId="44" xfId="0" applyFont="1" applyBorder="1" applyAlignment="1">
      <alignment horizontal="left" vertical="center" wrapText="1"/>
    </xf>
    <xf numFmtId="0" fontId="48" fillId="0" borderId="45"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48" fillId="0" borderId="5" xfId="0" applyFont="1" applyBorder="1" applyAlignment="1">
      <alignment horizontal="left" vertical="center" wrapText="1"/>
    </xf>
    <xf numFmtId="0" fontId="48" fillId="0" borderId="1" xfId="0" applyFont="1" applyBorder="1" applyAlignment="1">
      <alignment horizontal="left" vertical="center" wrapText="1"/>
    </xf>
    <xf numFmtId="0" fontId="48"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9" fillId="0" borderId="46" xfId="0" applyFont="1" applyBorder="1" applyAlignment="1">
      <alignment horizontal="left" vertical="center" wrapText="1"/>
    </xf>
    <xf numFmtId="0" fontId="49" fillId="0" borderId="19" xfId="0" applyFont="1" applyBorder="1" applyAlignment="1">
      <alignment horizontal="left" vertical="center" wrapText="1"/>
    </xf>
    <xf numFmtId="0" fontId="49" fillId="0" borderId="33" xfId="0" applyFont="1" applyBorder="1" applyAlignment="1">
      <alignment horizontal="left" vertical="center" wrapText="1"/>
    </xf>
    <xf numFmtId="0" fontId="12" fillId="0" borderId="39" xfId="22" applyFont="1" applyBorder="1" applyAlignment="1">
      <alignment horizontal="center" vertical="center" wrapText="1"/>
    </xf>
    <xf numFmtId="0" fontId="12" fillId="0" borderId="11" xfId="22" applyFont="1" applyBorder="1" applyAlignment="1">
      <alignment horizontal="center" vertical="center" wrapText="1"/>
    </xf>
    <xf numFmtId="0" fontId="12" fillId="20" borderId="39"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5" fontId="37" fillId="0" borderId="39"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8" xfId="0" applyFont="1" applyBorder="1" applyAlignment="1">
      <alignment horizontal="center" vertical="center"/>
    </xf>
    <xf numFmtId="0" fontId="37" fillId="0" borderId="16"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center" vertical="center" wrapText="1"/>
    </xf>
    <xf numFmtId="0" fontId="33" fillId="0" borderId="26" xfId="0" applyFont="1" applyBorder="1" applyAlignment="1">
      <alignment horizontal="center" vertical="center" wrapText="1"/>
    </xf>
    <xf numFmtId="0" fontId="31" fillId="0" borderId="49" xfId="0" applyFont="1" applyBorder="1" applyAlignment="1">
      <alignment horizontal="center" vertical="center"/>
    </xf>
    <xf numFmtId="0" fontId="31" fillId="0" borderId="26" xfId="0" applyFont="1" applyBorder="1" applyAlignment="1">
      <alignment horizontal="center" vertical="center"/>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31" fillId="0" borderId="50" xfId="0" applyFont="1" applyBorder="1" applyAlignment="1">
      <alignment horizontal="center" vertical="center"/>
    </xf>
    <xf numFmtId="0" fontId="31" fillId="0" borderId="51" xfId="0" applyFont="1" applyBorder="1" applyAlignment="1">
      <alignment horizontal="center"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0" borderId="35"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35"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1" fillId="0" borderId="35" xfId="22" applyFont="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9" fontId="12" fillId="0" borderId="35" xfId="22" applyNumberFormat="1" applyFont="1" applyBorder="1" applyAlignment="1">
      <alignment horizontal="center" vertical="center" wrapText="1"/>
    </xf>
    <xf numFmtId="9" fontId="12" fillId="0" borderId="37" xfId="22" applyNumberFormat="1" applyFont="1" applyBorder="1" applyAlignment="1">
      <alignment horizontal="center" vertical="center" wrapText="1"/>
    </xf>
    <xf numFmtId="0" fontId="15" fillId="0" borderId="35" xfId="22" applyFont="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2" fontId="12" fillId="0" borderId="35" xfId="28" applyNumberFormat="1" applyFont="1" applyFill="1" applyBorder="1" applyAlignment="1" applyProtection="1">
      <alignment horizontal="center" vertical="center" wrapText="1"/>
    </xf>
    <xf numFmtId="2" fontId="12" fillId="0" borderId="37" xfId="28" applyNumberFormat="1" applyFont="1" applyFill="1" applyBorder="1" applyAlignment="1" applyProtection="1">
      <alignment horizontal="center" vertical="center" wrapText="1"/>
    </xf>
    <xf numFmtId="0" fontId="12" fillId="20" borderId="36" xfId="22" applyFont="1" applyFill="1" applyBorder="1" applyAlignment="1">
      <alignment horizontal="center" vertical="center" wrapText="1"/>
    </xf>
    <xf numFmtId="4" fontId="12" fillId="0" borderId="54" xfId="22" applyNumberFormat="1" applyFont="1" applyBorder="1" applyAlignment="1">
      <alignment horizontal="center" vertical="center" wrapText="1"/>
    </xf>
    <xf numFmtId="4" fontId="12" fillId="0" borderId="23" xfId="22" applyNumberFormat="1" applyFont="1" applyBorder="1" applyAlignment="1">
      <alignment horizontal="center" vertical="center" wrapText="1"/>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0" borderId="52"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justify" vertical="center" wrapText="1"/>
    </xf>
    <xf numFmtId="0" fontId="12" fillId="0" borderId="56" xfId="22" applyFont="1" applyBorder="1" applyAlignment="1">
      <alignment horizontal="justify" vertical="center" wrapText="1"/>
    </xf>
    <xf numFmtId="9" fontId="12" fillId="0" borderId="10" xfId="22" applyNumberFormat="1" applyFont="1" applyBorder="1" applyAlignment="1">
      <alignment horizontal="center" vertical="center" wrapText="1"/>
    </xf>
    <xf numFmtId="9" fontId="12" fillId="0" borderId="57" xfId="22" applyNumberFormat="1" applyFont="1" applyBorder="1" applyAlignment="1">
      <alignment horizontal="center" vertical="center" wrapText="1"/>
    </xf>
    <xf numFmtId="9" fontId="11" fillId="19" borderId="54" xfId="30" applyFont="1" applyFill="1" applyBorder="1" applyAlignment="1" applyProtection="1">
      <alignment horizontal="justify" vertical="center" wrapText="1"/>
    </xf>
    <xf numFmtId="9" fontId="11" fillId="19" borderId="22" xfId="30" applyFont="1" applyFill="1" applyBorder="1" applyAlignment="1" applyProtection="1">
      <alignment horizontal="justify" vertical="center" wrapText="1"/>
    </xf>
    <xf numFmtId="9" fontId="11" fillId="19" borderId="23" xfId="30" applyFont="1" applyFill="1" applyBorder="1" applyAlignment="1" applyProtection="1">
      <alignment horizontal="justify" vertical="center" wrapText="1"/>
    </xf>
    <xf numFmtId="9" fontId="11" fillId="19" borderId="58" xfId="30" applyFont="1" applyFill="1" applyBorder="1" applyAlignment="1" applyProtection="1">
      <alignment horizontal="justify" vertical="center" wrapText="1"/>
    </xf>
    <xf numFmtId="9" fontId="11" fillId="19" borderId="15" xfId="30" applyFont="1" applyFill="1" applyBorder="1" applyAlignment="1" applyProtection="1">
      <alignment horizontal="justify" vertical="center" wrapText="1"/>
    </xf>
    <xf numFmtId="9" fontId="11" fillId="19" borderId="59" xfId="30" applyFont="1" applyFill="1" applyBorder="1" applyAlignment="1" applyProtection="1">
      <alignment horizontal="justify" vertical="center" wrapText="1"/>
    </xf>
    <xf numFmtId="9" fontId="11" fillId="19" borderId="54" xfId="30" applyFont="1" applyFill="1" applyBorder="1" applyAlignment="1" applyProtection="1">
      <alignment horizontal="center" vertical="center" wrapText="1"/>
    </xf>
    <xf numFmtId="9" fontId="11" fillId="19" borderId="22" xfId="30" applyFont="1" applyFill="1" applyBorder="1" applyAlignment="1" applyProtection="1">
      <alignment horizontal="center" vertical="center" wrapText="1"/>
    </xf>
    <xf numFmtId="9" fontId="11" fillId="19" borderId="23" xfId="30" applyFont="1" applyFill="1" applyBorder="1" applyAlignment="1" applyProtection="1">
      <alignment horizontal="center" vertical="center" wrapText="1"/>
    </xf>
    <xf numFmtId="9" fontId="11" fillId="19" borderId="58" xfId="30" applyFont="1" applyFill="1" applyBorder="1" applyAlignment="1" applyProtection="1">
      <alignment horizontal="center" vertical="center" wrapText="1"/>
    </xf>
    <xf numFmtId="9" fontId="11" fillId="19" borderId="15" xfId="30" applyFont="1" applyFill="1" applyBorder="1" applyAlignment="1" applyProtection="1">
      <alignment horizontal="center" vertical="center" wrapText="1"/>
    </xf>
    <xf numFmtId="9" fontId="11" fillId="19" borderId="59" xfId="30" applyFont="1" applyFill="1" applyBorder="1" applyAlignment="1" applyProtection="1">
      <alignment horizontal="center" vertical="center" wrapText="1"/>
    </xf>
    <xf numFmtId="9" fontId="11" fillId="19" borderId="60" xfId="30" applyFont="1" applyFill="1" applyBorder="1" applyAlignment="1" applyProtection="1">
      <alignment horizontal="justify" vertical="center" wrapText="1"/>
    </xf>
    <xf numFmtId="9" fontId="11" fillId="19" borderId="16" xfId="30" applyFont="1" applyFill="1" applyBorder="1" applyAlignment="1" applyProtection="1">
      <alignment horizontal="justify" vertical="center" wrapText="1"/>
    </xf>
    <xf numFmtId="9" fontId="54" fillId="0" borderId="54"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60" xfId="22" applyNumberFormat="1" applyFont="1" applyBorder="1" applyAlignment="1">
      <alignment horizontal="left" vertical="center" wrapText="1"/>
    </xf>
    <xf numFmtId="9" fontId="11" fillId="0" borderId="64"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8" xfId="22" applyNumberFormat="1" applyFont="1" applyBorder="1" applyAlignment="1">
      <alignment horizontal="justify" vertical="center" wrapText="1"/>
    </xf>
    <xf numFmtId="174" fontId="11" fillId="0" borderId="1" xfId="22" applyNumberFormat="1" applyFont="1" applyBorder="1" applyAlignment="1">
      <alignment horizontal="center" vertical="center" wrapText="1"/>
    </xf>
    <xf numFmtId="9" fontId="11" fillId="0" borderId="54" xfId="22" applyNumberFormat="1" applyFont="1" applyBorder="1" applyAlignment="1">
      <alignment horizontal="left" vertical="center" wrapText="1"/>
    </xf>
    <xf numFmtId="2" fontId="11" fillId="0" borderId="32" xfId="22" applyNumberFormat="1" applyFont="1" applyBorder="1" applyAlignment="1">
      <alignment horizontal="justify" vertical="center" wrapText="1"/>
    </xf>
    <xf numFmtId="9" fontId="11" fillId="0" borderId="44" xfId="22" applyNumberFormat="1" applyFont="1" applyBorder="1" applyAlignment="1">
      <alignment horizontal="center" vertical="center" wrapText="1"/>
    </xf>
    <xf numFmtId="9" fontId="11" fillId="0" borderId="1" xfId="22" applyNumberFormat="1" applyFont="1" applyBorder="1" applyAlignment="1">
      <alignment horizontal="center" vertical="center" wrapText="1"/>
    </xf>
    <xf numFmtId="9" fontId="54" fillId="19" borderId="54" xfId="22" applyNumberFormat="1" applyFont="1" applyFill="1" applyBorder="1" applyAlignment="1">
      <alignment horizontal="left" vertical="center" wrapText="1"/>
    </xf>
    <xf numFmtId="9" fontId="11" fillId="19" borderId="22" xfId="22" applyNumberFormat="1" applyFont="1" applyFill="1" applyBorder="1" applyAlignment="1">
      <alignment horizontal="left" vertical="center" wrapText="1"/>
    </xf>
    <xf numFmtId="9" fontId="11" fillId="19" borderId="60" xfId="22" applyNumberFormat="1" applyFont="1" applyFill="1" applyBorder="1" applyAlignment="1">
      <alignment horizontal="left" vertical="center" wrapText="1"/>
    </xf>
    <xf numFmtId="9" fontId="11" fillId="19" borderId="64" xfId="22" applyNumberFormat="1" applyFont="1" applyFill="1" applyBorder="1" applyAlignment="1">
      <alignment horizontal="left" vertical="center" wrapText="1"/>
    </xf>
    <xf numFmtId="9" fontId="11" fillId="19" borderId="0" xfId="22" applyNumberFormat="1" applyFont="1" applyFill="1" applyAlignment="1">
      <alignment horizontal="left" vertical="center" wrapText="1"/>
    </xf>
    <xf numFmtId="9" fontId="11" fillId="19" borderId="14" xfId="22" applyNumberFormat="1" applyFont="1" applyFill="1" applyBorder="1" applyAlignment="1">
      <alignment horizontal="left" vertical="center" wrapText="1"/>
    </xf>
    <xf numFmtId="9" fontId="11" fillId="19" borderId="54" xfId="22" applyNumberFormat="1" applyFont="1" applyFill="1" applyBorder="1" applyAlignment="1">
      <alignment horizontal="left" vertical="center" wrapText="1"/>
    </xf>
    <xf numFmtId="9" fontId="11" fillId="19" borderId="20" xfId="22" applyNumberFormat="1" applyFont="1" applyFill="1" applyBorder="1" applyAlignment="1">
      <alignment horizontal="left" vertical="center" wrapText="1"/>
    </xf>
    <xf numFmtId="9" fontId="11" fillId="19" borderId="3" xfId="22" applyNumberFormat="1" applyFont="1" applyFill="1" applyBorder="1" applyAlignment="1">
      <alignment horizontal="left" vertical="center" wrapText="1"/>
    </xf>
    <xf numFmtId="9" fontId="11" fillId="19" borderId="7" xfId="22" applyNumberFormat="1" applyFont="1" applyFill="1" applyBorder="1" applyAlignment="1">
      <alignment horizontal="left" vertical="center" wrapText="1"/>
    </xf>
    <xf numFmtId="9" fontId="44" fillId="0" borderId="85" xfId="0" applyNumberFormat="1" applyFont="1" applyBorder="1" applyAlignment="1">
      <alignment horizontal="justify" vertical="center" wrapText="1"/>
    </xf>
    <xf numFmtId="0" fontId="44" fillId="0" borderId="77" xfId="0" applyFont="1" applyBorder="1" applyAlignment="1">
      <alignment horizontal="justify" vertical="center" wrapText="1"/>
    </xf>
    <xf numFmtId="174" fontId="42" fillId="0" borderId="85" xfId="0" applyNumberFormat="1" applyFont="1" applyBorder="1" applyAlignment="1">
      <alignment horizontal="center" vertical="center" wrapText="1"/>
    </xf>
    <xf numFmtId="174" fontId="11" fillId="0" borderId="77" xfId="0" applyNumberFormat="1" applyFont="1" applyBorder="1" applyAlignment="1">
      <alignment vertical="center"/>
    </xf>
    <xf numFmtId="0" fontId="40" fillId="27" borderId="85" xfId="0" applyFont="1" applyFill="1" applyBorder="1" applyAlignment="1">
      <alignment horizontal="center" vertical="center" wrapText="1"/>
    </xf>
    <xf numFmtId="0" fontId="11" fillId="0" borderId="77" xfId="0" applyFont="1" applyBorder="1" applyAlignment="1">
      <alignment vertical="center"/>
    </xf>
    <xf numFmtId="0" fontId="40" fillId="27" borderId="81" xfId="0" applyFont="1" applyFill="1" applyBorder="1" applyAlignment="1">
      <alignment horizontal="center" vertical="center" wrapText="1"/>
    </xf>
    <xf numFmtId="0" fontId="11" fillId="0" borderId="86" xfId="0" applyFont="1" applyBorder="1" applyAlignment="1">
      <alignment vertical="center"/>
    </xf>
    <xf numFmtId="0" fontId="11" fillId="0" borderId="79" xfId="0" applyFont="1" applyBorder="1" applyAlignment="1">
      <alignment vertical="center"/>
    </xf>
    <xf numFmtId="9" fontId="44" fillId="0" borderId="77" xfId="0" applyNumberFormat="1" applyFont="1" applyBorder="1" applyAlignment="1">
      <alignment horizontal="justify" vertical="center" wrapText="1"/>
    </xf>
    <xf numFmtId="9" fontId="42" fillId="0" borderId="85" xfId="0" applyNumberFormat="1" applyFont="1" applyBorder="1" applyAlignment="1">
      <alignment horizontal="center" vertical="center" wrapText="1"/>
    </xf>
    <xf numFmtId="9" fontId="11" fillId="0" borderId="77" xfId="0" applyNumberFormat="1" applyFont="1" applyBorder="1" applyAlignment="1">
      <alignment vertical="center"/>
    </xf>
    <xf numFmtId="0" fontId="12" fillId="0" borderId="39"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38"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1" fillId="0" borderId="48" xfId="0" applyFont="1" applyBorder="1" applyAlignment="1">
      <alignment horizontal="center" vertical="center"/>
    </xf>
    <xf numFmtId="0" fontId="11" fillId="0" borderId="35" xfId="22" applyFont="1" applyBorder="1" applyAlignment="1">
      <alignment horizontal="left" vertical="center" wrapText="1"/>
    </xf>
    <xf numFmtId="0" fontId="11" fillId="0" borderId="36" xfId="22" applyFont="1" applyBorder="1" applyAlignment="1">
      <alignment horizontal="left" vertical="center" wrapText="1"/>
    </xf>
    <xf numFmtId="0" fontId="11" fillId="0" borderId="37" xfId="22" applyFont="1" applyBorder="1" applyAlignment="1">
      <alignment horizontal="left" vertical="center" wrapText="1"/>
    </xf>
    <xf numFmtId="0" fontId="15" fillId="0" borderId="35" xfId="22" applyFont="1" applyBorder="1" applyAlignment="1">
      <alignment horizontal="left" vertical="center" wrapText="1"/>
    </xf>
    <xf numFmtId="0" fontId="15" fillId="0" borderId="36" xfId="22" applyFont="1" applyBorder="1" applyAlignment="1">
      <alignment horizontal="left" vertical="center" wrapText="1"/>
    </xf>
    <xf numFmtId="0" fontId="15" fillId="0" borderId="37" xfId="22" applyFont="1" applyBorder="1" applyAlignment="1">
      <alignment horizontal="left" vertical="center" wrapText="1"/>
    </xf>
    <xf numFmtId="3" fontId="12" fillId="0" borderId="54"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0" borderId="8" xfId="22" applyFont="1" applyBorder="1" applyAlignment="1">
      <alignment horizontal="center" vertical="center" wrapText="1"/>
    </xf>
    <xf numFmtId="9" fontId="35" fillId="19" borderId="54" xfId="30" applyFont="1" applyFill="1" applyBorder="1" applyAlignment="1" applyProtection="1">
      <alignment horizontal="left" vertical="top" wrapText="1"/>
    </xf>
    <xf numFmtId="9" fontId="11" fillId="19" borderId="22" xfId="30" applyFont="1" applyFill="1" applyBorder="1" applyAlignment="1" applyProtection="1">
      <alignment horizontal="left" vertical="top" wrapText="1"/>
    </xf>
    <xf numFmtId="9" fontId="11" fillId="19" borderId="23" xfId="30" applyFont="1" applyFill="1" applyBorder="1" applyAlignment="1" applyProtection="1">
      <alignment horizontal="left" vertical="top" wrapText="1"/>
    </xf>
    <xf numFmtId="9" fontId="11" fillId="19" borderId="58" xfId="30" applyFont="1" applyFill="1" applyBorder="1" applyAlignment="1" applyProtection="1">
      <alignment horizontal="left" vertical="top" wrapText="1"/>
    </xf>
    <xf numFmtId="9" fontId="11" fillId="19" borderId="15" xfId="30" applyFont="1" applyFill="1" applyBorder="1" applyAlignment="1" applyProtection="1">
      <alignment horizontal="left" vertical="top" wrapText="1"/>
    </xf>
    <xf numFmtId="9" fontId="11" fillId="19" borderId="59" xfId="30" applyFont="1" applyFill="1" applyBorder="1" applyAlignment="1" applyProtection="1">
      <alignment horizontal="left" vertical="top" wrapText="1"/>
    </xf>
    <xf numFmtId="9" fontId="54" fillId="19" borderId="54" xfId="30" applyFont="1" applyFill="1" applyBorder="1" applyAlignment="1" applyProtection="1">
      <alignment horizontal="left" vertical="top" wrapText="1"/>
    </xf>
    <xf numFmtId="9" fontId="11" fillId="19" borderId="60" xfId="30" applyFont="1" applyFill="1" applyBorder="1" applyAlignment="1" applyProtection="1">
      <alignment horizontal="left" vertical="top" wrapText="1"/>
    </xf>
    <xf numFmtId="9" fontId="11" fillId="19" borderId="16" xfId="30" applyFont="1" applyFill="1" applyBorder="1" applyAlignment="1" applyProtection="1">
      <alignment horizontal="left" vertical="top" wrapText="1"/>
    </xf>
    <xf numFmtId="9" fontId="11" fillId="0" borderId="4" xfId="22" applyNumberFormat="1" applyFont="1" applyBorder="1" applyAlignment="1">
      <alignment horizontal="center" vertical="center" wrapText="1"/>
    </xf>
    <xf numFmtId="2" fontId="11" fillId="0" borderId="18" xfId="22" applyNumberFormat="1" applyFont="1" applyBorder="1" applyAlignment="1">
      <alignment horizontal="justify" vertical="center" wrapText="1"/>
    </xf>
    <xf numFmtId="9" fontId="35" fillId="19" borderId="54" xfId="22" applyNumberFormat="1" applyFont="1" applyFill="1" applyBorder="1" applyAlignment="1">
      <alignment horizontal="left" vertical="center" wrapText="1"/>
    </xf>
    <xf numFmtId="9" fontId="4" fillId="0" borderId="1"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9" fontId="44" fillId="0" borderId="85" xfId="0" applyNumberFormat="1" applyFont="1" applyBorder="1" applyAlignment="1">
      <alignment horizontal="center" vertical="center" wrapText="1"/>
    </xf>
    <xf numFmtId="9" fontId="44" fillId="0" borderId="77" xfId="0" applyNumberFormat="1" applyFont="1" applyBorder="1" applyAlignment="1">
      <alignment horizontal="center" vertical="center" wrapText="1"/>
    </xf>
    <xf numFmtId="2" fontId="35" fillId="0" borderId="18" xfId="22" applyNumberFormat="1" applyFont="1" applyBorder="1" applyAlignment="1">
      <alignment horizontal="justify" vertical="center" wrapText="1"/>
    </xf>
    <xf numFmtId="0" fontId="35" fillId="0" borderId="56" xfId="0" applyFont="1" applyBorder="1" applyAlignment="1">
      <alignment horizontal="justify" vertical="center" wrapText="1"/>
    </xf>
    <xf numFmtId="9" fontId="54" fillId="19" borderId="54" xfId="22" applyNumberFormat="1" applyFont="1" applyFill="1" applyBorder="1" applyAlignment="1">
      <alignment horizontal="left" vertical="top" wrapText="1"/>
    </xf>
    <xf numFmtId="9" fontId="35" fillId="19" borderId="22" xfId="22" applyNumberFormat="1" applyFont="1" applyFill="1" applyBorder="1" applyAlignment="1">
      <alignment horizontal="left" vertical="top" wrapText="1"/>
    </xf>
    <xf numFmtId="9" fontId="35" fillId="19" borderId="60" xfId="22" applyNumberFormat="1" applyFont="1" applyFill="1" applyBorder="1" applyAlignment="1">
      <alignment horizontal="left" vertical="top" wrapText="1"/>
    </xf>
    <xf numFmtId="9" fontId="35" fillId="19" borderId="64" xfId="22" applyNumberFormat="1" applyFont="1" applyFill="1" applyBorder="1" applyAlignment="1">
      <alignment horizontal="left" vertical="top" wrapText="1"/>
    </xf>
    <xf numFmtId="9" fontId="35" fillId="19" borderId="0" xfId="22" applyNumberFormat="1" applyFont="1" applyFill="1" applyAlignment="1">
      <alignment horizontal="left" vertical="top" wrapText="1"/>
    </xf>
    <xf numFmtId="9" fontId="35" fillId="19" borderId="14" xfId="22" applyNumberFormat="1" applyFont="1" applyFill="1" applyBorder="1" applyAlignment="1">
      <alignment horizontal="left" vertical="top" wrapText="1"/>
    </xf>
    <xf numFmtId="0" fontId="12" fillId="0" borderId="35" xfId="22" applyFont="1" applyBorder="1" applyAlignment="1">
      <alignment horizontal="left" vertical="center" wrapText="1"/>
    </xf>
    <xf numFmtId="0" fontId="12" fillId="0" borderId="36" xfId="22" applyFont="1" applyBorder="1" applyAlignment="1">
      <alignment horizontal="left" vertical="center" wrapText="1"/>
    </xf>
    <xf numFmtId="0" fontId="12" fillId="0" borderId="37" xfId="22" applyFont="1" applyBorder="1" applyAlignment="1">
      <alignment horizontal="left" vertical="center" wrapText="1"/>
    </xf>
    <xf numFmtId="173" fontId="12" fillId="0" borderId="35" xfId="28" applyNumberFormat="1" applyFont="1" applyFill="1" applyBorder="1" applyAlignment="1" applyProtection="1">
      <alignment horizontal="center" vertical="center" wrapText="1"/>
    </xf>
    <xf numFmtId="173" fontId="12" fillId="0" borderId="37" xfId="28" applyNumberFormat="1" applyFont="1" applyFill="1" applyBorder="1" applyAlignment="1" applyProtection="1">
      <alignment horizontal="center" vertical="center" wrapText="1"/>
    </xf>
    <xf numFmtId="0" fontId="12" fillId="0" borderId="27" xfId="22" applyFont="1" applyBorder="1" applyAlignment="1">
      <alignment horizontal="left" vertical="center" wrapText="1"/>
    </xf>
    <xf numFmtId="0" fontId="12" fillId="0" borderId="28" xfId="22" applyFont="1" applyBorder="1" applyAlignment="1">
      <alignment horizontal="left" vertical="center" wrapText="1"/>
    </xf>
    <xf numFmtId="0" fontId="12" fillId="0" borderId="29" xfId="22" applyFont="1" applyBorder="1" applyAlignment="1">
      <alignment horizontal="left" vertical="center" wrapText="1"/>
    </xf>
    <xf numFmtId="0" fontId="11" fillId="19" borderId="54" xfId="0" applyFont="1" applyFill="1" applyBorder="1" applyAlignment="1">
      <alignment horizontal="justify" vertical="top" wrapText="1"/>
    </xf>
    <xf numFmtId="0" fontId="11" fillId="19" borderId="22" xfId="0" applyFont="1" applyFill="1" applyBorder="1" applyAlignment="1">
      <alignment horizontal="justify" vertical="top" wrapText="1"/>
    </xf>
    <xf numFmtId="0" fontId="11" fillId="19" borderId="23" xfId="0" applyFont="1" applyFill="1" applyBorder="1" applyAlignment="1">
      <alignment horizontal="justify" vertical="top" wrapText="1"/>
    </xf>
    <xf numFmtId="0" fontId="11" fillId="19" borderId="58" xfId="0" applyFont="1" applyFill="1" applyBorder="1" applyAlignment="1">
      <alignment horizontal="justify" vertical="top" wrapText="1"/>
    </xf>
    <xf numFmtId="0" fontId="11" fillId="19" borderId="15" xfId="0" applyFont="1" applyFill="1" applyBorder="1" applyAlignment="1">
      <alignment horizontal="justify" vertical="top" wrapText="1"/>
    </xf>
    <xf numFmtId="0" fontId="11" fillId="19" borderId="59" xfId="0" applyFont="1" applyFill="1" applyBorder="1" applyAlignment="1">
      <alignment horizontal="justify" vertical="top" wrapText="1"/>
    </xf>
    <xf numFmtId="0" fontId="12" fillId="20" borderId="63"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2" fontId="11" fillId="0" borderId="52" xfId="22" applyNumberFormat="1" applyFont="1" applyBorder="1" applyAlignment="1">
      <alignment vertical="center" wrapText="1"/>
    </xf>
    <xf numFmtId="2" fontId="11" fillId="0" borderId="8" xfId="22" applyNumberFormat="1" applyFont="1" applyBorder="1" applyAlignment="1">
      <alignment vertical="center" wrapText="1"/>
    </xf>
    <xf numFmtId="9" fontId="11" fillId="0" borderId="61" xfId="22" applyNumberFormat="1" applyFont="1" applyBorder="1" applyAlignment="1">
      <alignment horizontal="center" vertical="center" wrapText="1"/>
    </xf>
    <xf numFmtId="2" fontId="11" fillId="0" borderId="18" xfId="22" applyNumberFormat="1" applyFont="1" applyBorder="1" applyAlignment="1">
      <alignment vertical="center" wrapText="1"/>
    </xf>
    <xf numFmtId="0" fontId="31" fillId="0" borderId="56" xfId="0" applyFont="1" applyBorder="1" applyAlignment="1">
      <alignment vertical="center" wrapText="1"/>
    </xf>
    <xf numFmtId="9" fontId="11" fillId="0" borderId="63" xfId="22" applyNumberFormat="1" applyFont="1" applyBorder="1" applyAlignment="1">
      <alignment horizontal="center" vertical="center" wrapText="1"/>
    </xf>
    <xf numFmtId="9" fontId="11" fillId="0" borderId="57" xfId="22" applyNumberFormat="1" applyFont="1" applyBorder="1" applyAlignment="1">
      <alignment horizontal="center" vertical="center" wrapText="1"/>
    </xf>
    <xf numFmtId="9" fontId="11" fillId="19" borderId="58" xfId="22" applyNumberFormat="1" applyFont="1" applyFill="1" applyBorder="1" applyAlignment="1">
      <alignment horizontal="left" vertical="center" wrapText="1"/>
    </xf>
    <xf numFmtId="9" fontId="11" fillId="19" borderId="15" xfId="22" applyNumberFormat="1" applyFont="1" applyFill="1" applyBorder="1" applyAlignment="1">
      <alignment horizontal="left" vertical="center" wrapText="1"/>
    </xf>
    <xf numFmtId="9" fontId="11" fillId="19" borderId="16" xfId="22" applyNumberFormat="1" applyFont="1" applyFill="1" applyBorder="1" applyAlignment="1">
      <alignment horizontal="left" vertical="center" wrapText="1"/>
    </xf>
    <xf numFmtId="0" fontId="54" fillId="19" borderId="89" xfId="0" applyFont="1" applyFill="1" applyBorder="1" applyAlignment="1">
      <alignment horizontal="left" vertical="center" wrapText="1"/>
    </xf>
    <xf numFmtId="0" fontId="11" fillId="19" borderId="11" xfId="0" applyFont="1" applyFill="1" applyBorder="1" applyAlignment="1">
      <alignment horizontal="left" vertical="center" wrapText="1"/>
    </xf>
    <xf numFmtId="0" fontId="11" fillId="19" borderId="20" xfId="0" applyFont="1" applyFill="1" applyBorder="1" applyAlignment="1">
      <alignment horizontal="left" vertical="center" wrapText="1"/>
    </xf>
    <xf numFmtId="0" fontId="11" fillId="19" borderId="3" xfId="0" applyFont="1" applyFill="1" applyBorder="1" applyAlignment="1">
      <alignment horizontal="left" vertical="center" wrapText="1"/>
    </xf>
    <xf numFmtId="9" fontId="11" fillId="19" borderId="54" xfId="30" applyFont="1" applyFill="1" applyBorder="1" applyAlignment="1" applyProtection="1">
      <alignment horizontal="left" vertical="center" wrapText="1"/>
    </xf>
    <xf numFmtId="9" fontId="11" fillId="19" borderId="22" xfId="30" applyFont="1" applyFill="1" applyBorder="1" applyAlignment="1" applyProtection="1">
      <alignment horizontal="left" vertical="center" wrapText="1"/>
    </xf>
    <xf numFmtId="9" fontId="11" fillId="19" borderId="23" xfId="30" applyFont="1" applyFill="1" applyBorder="1" applyAlignment="1" applyProtection="1">
      <alignment horizontal="left" vertical="center" wrapText="1"/>
    </xf>
    <xf numFmtId="9" fontId="11" fillId="19" borderId="58"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59" xfId="30" applyFont="1" applyFill="1" applyBorder="1" applyAlignment="1" applyProtection="1">
      <alignment horizontal="left" vertical="center" wrapText="1"/>
    </xf>
    <xf numFmtId="9" fontId="11" fillId="19" borderId="54" xfId="30" applyFont="1" applyFill="1" applyBorder="1" applyAlignment="1" applyProtection="1">
      <alignment horizontal="left" vertical="top" wrapText="1"/>
    </xf>
    <xf numFmtId="9" fontId="31" fillId="19" borderId="54" xfId="22" applyNumberFormat="1" applyFont="1" applyFill="1" applyBorder="1" applyAlignment="1">
      <alignment vertical="center" wrapText="1"/>
    </xf>
    <xf numFmtId="9" fontId="31" fillId="19" borderId="22" xfId="22" applyNumberFormat="1" applyFont="1" applyFill="1" applyBorder="1" applyAlignment="1">
      <alignment vertical="center" wrapText="1"/>
    </xf>
    <xf numFmtId="9" fontId="31" fillId="19" borderId="60" xfId="22" applyNumberFormat="1" applyFont="1" applyFill="1" applyBorder="1" applyAlignment="1">
      <alignment vertical="center" wrapText="1"/>
    </xf>
    <xf numFmtId="9" fontId="31" fillId="19" borderId="64" xfId="22" applyNumberFormat="1" applyFont="1" applyFill="1" applyBorder="1" applyAlignment="1">
      <alignment vertical="center" wrapText="1"/>
    </xf>
    <xf numFmtId="9" fontId="31" fillId="19" borderId="0" xfId="22" applyNumberFormat="1" applyFont="1" applyFill="1" applyAlignment="1">
      <alignment vertical="center" wrapText="1"/>
    </xf>
    <xf numFmtId="9" fontId="31" fillId="19" borderId="14" xfId="22" applyNumberFormat="1" applyFont="1" applyFill="1" applyBorder="1" applyAlignment="1">
      <alignment vertical="center" wrapText="1"/>
    </xf>
    <xf numFmtId="0" fontId="31" fillId="0" borderId="56" xfId="0" applyFont="1" applyBorder="1" applyAlignment="1">
      <alignment horizontal="justify" vertical="center" wrapText="1"/>
    </xf>
    <xf numFmtId="9" fontId="11" fillId="0" borderId="19" xfId="22" applyNumberFormat="1" applyFont="1" applyBorder="1" applyAlignment="1">
      <alignment horizontal="center" vertical="center" wrapText="1"/>
    </xf>
    <xf numFmtId="9" fontId="35" fillId="19" borderId="54" xfId="22" applyNumberFormat="1" applyFont="1" applyFill="1" applyBorder="1" applyAlignment="1">
      <alignment vertical="center" wrapText="1"/>
    </xf>
    <xf numFmtId="9" fontId="31" fillId="19" borderId="58" xfId="22" applyNumberFormat="1" applyFont="1" applyFill="1" applyBorder="1" applyAlignment="1">
      <alignment vertical="center" wrapText="1"/>
    </xf>
    <xf numFmtId="9" fontId="31" fillId="19" borderId="15" xfId="22" applyNumberFormat="1" applyFont="1" applyFill="1" applyBorder="1" applyAlignment="1">
      <alignment vertical="center" wrapText="1"/>
    </xf>
    <xf numFmtId="9" fontId="31" fillId="19" borderId="16" xfId="22" applyNumberFormat="1" applyFont="1" applyFill="1" applyBorder="1" applyAlignment="1">
      <alignment vertical="center" wrapText="1"/>
    </xf>
    <xf numFmtId="9" fontId="54" fillId="19" borderId="54" xfId="22" applyNumberFormat="1" applyFont="1" applyFill="1" applyBorder="1" applyAlignment="1">
      <alignment vertical="center" wrapText="1"/>
    </xf>
    <xf numFmtId="2" fontId="31" fillId="0" borderId="18" xfId="22" applyNumberFormat="1" applyFont="1" applyBorder="1" applyAlignment="1">
      <alignment horizontal="justify" vertical="center" wrapText="1"/>
    </xf>
    <xf numFmtId="2" fontId="31" fillId="0" borderId="32" xfId="22" applyNumberFormat="1" applyFont="1" applyBorder="1" applyAlignment="1">
      <alignment horizontal="justify" vertical="center" wrapText="1"/>
    </xf>
    <xf numFmtId="0" fontId="11" fillId="19" borderId="35" xfId="22" applyFont="1" applyFill="1" applyBorder="1" applyAlignment="1">
      <alignment horizontal="left" vertical="center" wrapText="1"/>
    </xf>
    <xf numFmtId="0" fontId="11" fillId="19" borderId="36" xfId="22" applyFont="1" applyFill="1" applyBorder="1" applyAlignment="1">
      <alignment horizontal="left" vertical="center" wrapText="1"/>
    </xf>
    <xf numFmtId="0" fontId="11" fillId="19" borderId="37" xfId="22" applyFont="1" applyFill="1" applyBorder="1" applyAlignment="1">
      <alignment horizontal="left" vertical="center" wrapText="1"/>
    </xf>
    <xf numFmtId="0" fontId="11" fillId="0" borderId="18" xfId="22" applyFont="1" applyBorder="1" applyAlignment="1">
      <alignment horizontal="justify" vertical="center" wrapText="1"/>
    </xf>
    <xf numFmtId="0" fontId="11" fillId="0" borderId="56" xfId="22" applyFont="1" applyBorder="1" applyAlignment="1">
      <alignment horizontal="justify" vertical="center" wrapText="1"/>
    </xf>
    <xf numFmtId="9" fontId="31" fillId="0" borderId="54" xfId="22" applyNumberFormat="1" applyFont="1" applyBorder="1" applyAlignment="1">
      <alignment horizontal="justify" vertical="center" wrapText="1"/>
    </xf>
    <xf numFmtId="9" fontId="31" fillId="0" borderId="22" xfId="22" applyNumberFormat="1" applyFont="1" applyBorder="1" applyAlignment="1">
      <alignment horizontal="justify" vertical="center" wrapText="1"/>
    </xf>
    <xf numFmtId="9" fontId="31" fillId="0" borderId="23" xfId="22" applyNumberFormat="1" applyFont="1" applyBorder="1" applyAlignment="1">
      <alignment horizontal="justify" vertical="center" wrapText="1"/>
    </xf>
    <xf numFmtId="9" fontId="31" fillId="0" borderId="58" xfId="22" applyNumberFormat="1" applyFont="1" applyBorder="1" applyAlignment="1">
      <alignment horizontal="justify" vertical="center" wrapText="1"/>
    </xf>
    <xf numFmtId="9" fontId="31" fillId="0" borderId="15" xfId="22" applyNumberFormat="1" applyFont="1" applyBorder="1" applyAlignment="1">
      <alignment horizontal="justify" vertical="center" wrapText="1"/>
    </xf>
    <xf numFmtId="9" fontId="31" fillId="0" borderId="59" xfId="22" applyNumberFormat="1" applyFont="1" applyBorder="1" applyAlignment="1">
      <alignment horizontal="justify" vertical="center" wrapText="1"/>
    </xf>
    <xf numFmtId="9" fontId="31" fillId="0" borderId="1" xfId="22" applyNumberFormat="1" applyFont="1" applyBorder="1" applyAlignment="1">
      <alignment horizontal="justify" vertical="center" wrapText="1"/>
    </xf>
    <xf numFmtId="9" fontId="32" fillId="0" borderId="1" xfId="22" applyNumberFormat="1" applyFont="1" applyBorder="1" applyAlignment="1">
      <alignment horizontal="justify" vertical="center" wrapText="1"/>
    </xf>
    <xf numFmtId="9" fontId="32" fillId="0" borderId="19" xfId="22" applyNumberFormat="1" applyFont="1" applyBorder="1" applyAlignment="1">
      <alignment horizontal="justify" vertical="center" wrapText="1"/>
    </xf>
    <xf numFmtId="9" fontId="11" fillId="0" borderId="54" xfId="22" applyNumberFormat="1" applyFont="1" applyBorder="1" applyAlignment="1">
      <alignment horizontal="justify" vertical="center" wrapText="1"/>
    </xf>
    <xf numFmtId="9" fontId="11" fillId="0" borderId="22" xfId="22" applyNumberFormat="1" applyFont="1" applyBorder="1" applyAlignment="1">
      <alignment horizontal="justify" vertical="center" wrapText="1"/>
    </xf>
    <xf numFmtId="9" fontId="11" fillId="0" borderId="60" xfId="22" applyNumberFormat="1" applyFont="1" applyBorder="1" applyAlignment="1">
      <alignment horizontal="justify" vertical="center" wrapText="1"/>
    </xf>
    <xf numFmtId="9" fontId="11" fillId="0" borderId="64" xfId="22" applyNumberFormat="1" applyFont="1" applyBorder="1" applyAlignment="1">
      <alignment horizontal="justify"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0" xfId="22" applyNumberFormat="1" applyFont="1" applyBorder="1" applyAlignment="1">
      <alignment horizontal="center" vertical="center" wrapText="1"/>
    </xf>
    <xf numFmtId="9" fontId="32" fillId="0" borderId="9" xfId="22" applyNumberFormat="1" applyFont="1" applyBorder="1" applyAlignment="1">
      <alignment horizontal="justify" vertical="center" wrapText="1"/>
    </xf>
    <xf numFmtId="9" fontId="32" fillId="0" borderId="33" xfId="22" applyNumberFormat="1" applyFont="1" applyBorder="1" applyAlignment="1">
      <alignment horizontal="justify" vertical="center" wrapText="1"/>
    </xf>
    <xf numFmtId="10" fontId="11" fillId="0" borderId="1" xfId="22" applyNumberFormat="1" applyFont="1" applyBorder="1" applyAlignment="1">
      <alignment horizontal="center" vertical="center" wrapText="1"/>
    </xf>
    <xf numFmtId="9" fontId="11" fillId="0" borderId="1" xfId="22" applyNumberFormat="1" applyFont="1" applyBorder="1" applyAlignment="1">
      <alignment vertical="center" wrapText="1"/>
    </xf>
    <xf numFmtId="9" fontId="11" fillId="0" borderId="9" xfId="22" applyNumberFormat="1" applyFont="1" applyBorder="1" applyAlignment="1">
      <alignment vertical="center" wrapText="1"/>
    </xf>
    <xf numFmtId="0" fontId="11" fillId="0" borderId="88" xfId="22" applyFont="1" applyBorder="1" applyAlignment="1">
      <alignment horizontal="justify" vertical="center" wrapText="1"/>
    </xf>
    <xf numFmtId="9" fontId="12" fillId="0" borderId="63" xfId="22" applyNumberFormat="1" applyFont="1" applyBorder="1" applyAlignment="1">
      <alignment horizontal="center" vertical="center" wrapText="1"/>
    </xf>
    <xf numFmtId="9" fontId="11" fillId="0" borderId="54"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64"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4" xfId="30" applyFont="1" applyFill="1" applyBorder="1" applyAlignment="1" applyProtection="1">
      <alignment horizontal="justify" vertical="top" wrapText="1"/>
    </xf>
    <xf numFmtId="9" fontId="11" fillId="0" borderId="22" xfId="30" applyFont="1" applyFill="1" applyBorder="1" applyAlignment="1" applyProtection="1">
      <alignment horizontal="justify" vertical="top" wrapText="1"/>
    </xf>
    <xf numFmtId="9" fontId="11" fillId="0" borderId="23" xfId="30" applyFont="1" applyFill="1" applyBorder="1" applyAlignment="1" applyProtection="1">
      <alignment horizontal="justify" vertical="top" wrapText="1"/>
    </xf>
    <xf numFmtId="9" fontId="11" fillId="0" borderId="64" xfId="30" applyFont="1" applyFill="1" applyBorder="1" applyAlignment="1" applyProtection="1">
      <alignment horizontal="justify" vertical="top" wrapText="1"/>
    </xf>
    <xf numFmtId="9" fontId="11" fillId="0" borderId="0" xfId="30" applyFont="1" applyFill="1" applyBorder="1" applyAlignment="1" applyProtection="1">
      <alignment horizontal="justify" vertical="top" wrapText="1"/>
    </xf>
    <xf numFmtId="9" fontId="11" fillId="0" borderId="24" xfId="30" applyFont="1" applyFill="1" applyBorder="1" applyAlignment="1" applyProtection="1">
      <alignment horizontal="justify" vertical="top" wrapText="1"/>
    </xf>
    <xf numFmtId="0" fontId="12" fillId="20" borderId="45" xfId="22" applyFont="1" applyFill="1" applyBorder="1" applyAlignment="1">
      <alignment horizontal="center" vertical="center" wrapText="1"/>
    </xf>
    <xf numFmtId="0" fontId="31" fillId="0" borderId="8" xfId="0" applyFont="1" applyBorder="1" applyAlignment="1">
      <alignment horizontal="justify" vertical="center" wrapText="1"/>
    </xf>
    <xf numFmtId="9" fontId="11" fillId="0" borderId="1" xfId="22" applyNumberFormat="1" applyFont="1" applyBorder="1" applyAlignment="1">
      <alignment horizontal="justify" vertical="center" wrapText="1"/>
    </xf>
    <xf numFmtId="9" fontId="11" fillId="0" borderId="9" xfId="22" applyNumberFormat="1" applyFont="1" applyBorder="1" applyAlignment="1">
      <alignment horizontal="justify" vertical="center" wrapText="1"/>
    </xf>
    <xf numFmtId="2" fontId="11" fillId="19" borderId="8" xfId="22" applyNumberFormat="1" applyFont="1" applyFill="1" applyBorder="1" applyAlignment="1">
      <alignment horizontal="justify" vertical="center" wrapText="1"/>
    </xf>
    <xf numFmtId="2" fontId="11" fillId="19" borderId="31" xfId="22" applyNumberFormat="1" applyFont="1" applyFill="1" applyBorder="1" applyAlignment="1">
      <alignment horizontal="justify" vertical="center" wrapText="1"/>
    </xf>
    <xf numFmtId="10" fontId="11" fillId="0" borderId="19" xfId="22" applyNumberFormat="1" applyFont="1" applyBorder="1" applyAlignment="1">
      <alignment horizontal="center" vertical="center" wrapText="1"/>
    </xf>
    <xf numFmtId="9" fontId="11" fillId="0" borderId="19" xfId="22" applyNumberFormat="1" applyFont="1" applyBorder="1" applyAlignment="1">
      <alignment vertical="center" wrapText="1"/>
    </xf>
    <xf numFmtId="9" fontId="11" fillId="0" borderId="33" xfId="22" applyNumberFormat="1" applyFont="1" applyBorder="1" applyAlignment="1">
      <alignment vertical="center" wrapText="1"/>
    </xf>
    <xf numFmtId="0" fontId="11" fillId="0" borderId="39" xfId="22" applyFont="1" applyBorder="1" applyAlignment="1">
      <alignment horizontal="left" vertical="center" wrapText="1"/>
    </xf>
    <xf numFmtId="0" fontId="11" fillId="0" borderId="11" xfId="22" applyFont="1" applyBorder="1" applyAlignment="1">
      <alignment horizontal="left" vertical="center" wrapText="1"/>
    </xf>
    <xf numFmtId="0" fontId="11" fillId="0" borderId="12" xfId="22" applyFont="1" applyBorder="1" applyAlignment="1">
      <alignment horizontal="left" vertical="center" wrapText="1"/>
    </xf>
    <xf numFmtId="0" fontId="11" fillId="0" borderId="13" xfId="22" applyFont="1" applyBorder="1" applyAlignment="1">
      <alignment horizontal="left" vertical="center" wrapText="1"/>
    </xf>
    <xf numFmtId="0" fontId="11" fillId="0" borderId="0" xfId="22" applyFont="1" applyAlignment="1">
      <alignment horizontal="left" vertical="center" wrapText="1"/>
    </xf>
    <xf numFmtId="0" fontId="11" fillId="0" borderId="14" xfId="22" applyFont="1" applyBorder="1" applyAlignment="1">
      <alignment horizontal="left" vertical="center" wrapText="1"/>
    </xf>
    <xf numFmtId="0" fontId="11" fillId="0" borderId="38" xfId="22" applyFont="1" applyBorder="1" applyAlignment="1">
      <alignment horizontal="left" vertical="center" wrapText="1"/>
    </xf>
    <xf numFmtId="0" fontId="11" fillId="0" borderId="15" xfId="22" applyFont="1" applyBorder="1" applyAlignment="1">
      <alignment horizontal="left" vertical="center" wrapText="1"/>
    </xf>
    <xf numFmtId="0" fontId="11" fillId="0" borderId="16" xfId="22" applyFont="1" applyBorder="1" applyAlignment="1">
      <alignment horizontal="left" vertical="center" wrapText="1"/>
    </xf>
    <xf numFmtId="172" fontId="12" fillId="0" borderId="54" xfId="15" applyNumberFormat="1" applyFont="1" applyBorder="1" applyAlignment="1">
      <alignment horizontal="center" vertical="center" wrapText="1"/>
    </xf>
    <xf numFmtId="172" fontId="12" fillId="0" borderId="23" xfId="15" applyNumberFormat="1" applyFont="1" applyBorder="1" applyAlignment="1">
      <alignment horizontal="center" vertical="center" wrapText="1"/>
    </xf>
    <xf numFmtId="9" fontId="54" fillId="19" borderId="54" xfId="22" applyNumberFormat="1" applyFont="1" applyFill="1" applyBorder="1" applyAlignment="1">
      <alignment horizontal="justify" vertical="top" wrapText="1"/>
    </xf>
    <xf numFmtId="9" fontId="11" fillId="19" borderId="22" xfId="22" applyNumberFormat="1" applyFont="1" applyFill="1" applyBorder="1" applyAlignment="1">
      <alignment horizontal="justify" vertical="top" wrapText="1"/>
    </xf>
    <xf numFmtId="9" fontId="11" fillId="19" borderId="60" xfId="22" applyNumberFormat="1" applyFont="1" applyFill="1" applyBorder="1" applyAlignment="1">
      <alignment horizontal="justify" vertical="top" wrapText="1"/>
    </xf>
    <xf numFmtId="9" fontId="11" fillId="19" borderId="64" xfId="22" applyNumberFormat="1" applyFont="1" applyFill="1" applyBorder="1" applyAlignment="1">
      <alignment horizontal="justify" vertical="top" wrapText="1"/>
    </xf>
    <xf numFmtId="9" fontId="11" fillId="19" borderId="0" xfId="22" applyNumberFormat="1" applyFont="1" applyFill="1" applyAlignment="1">
      <alignment horizontal="justify" vertical="top" wrapText="1"/>
    </xf>
    <xf numFmtId="9" fontId="11" fillId="19" borderId="14" xfId="22" applyNumberFormat="1" applyFont="1" applyFill="1" applyBorder="1" applyAlignment="1">
      <alignment horizontal="justify" vertical="top" wrapText="1"/>
    </xf>
    <xf numFmtId="2" fontId="11" fillId="0" borderId="56" xfId="22" applyNumberFormat="1" applyFont="1" applyBorder="1" applyAlignment="1">
      <alignment horizontal="justify" vertical="center" wrapText="1"/>
    </xf>
    <xf numFmtId="9" fontId="11" fillId="19" borderId="54" xfId="30" applyFont="1" applyFill="1" applyBorder="1" applyAlignment="1" applyProtection="1">
      <alignment horizontal="justify" vertical="top" wrapText="1"/>
    </xf>
    <xf numFmtId="9" fontId="11" fillId="19" borderId="22" xfId="30" applyFont="1" applyFill="1" applyBorder="1" applyAlignment="1" applyProtection="1">
      <alignment horizontal="justify" vertical="top" wrapText="1"/>
    </xf>
    <xf numFmtId="9" fontId="11" fillId="19" borderId="23" xfId="30" applyFont="1" applyFill="1" applyBorder="1" applyAlignment="1" applyProtection="1">
      <alignment horizontal="justify" vertical="top" wrapText="1"/>
    </xf>
    <xf numFmtId="9" fontId="11" fillId="19" borderId="58" xfId="30" applyFont="1" applyFill="1" applyBorder="1" applyAlignment="1" applyProtection="1">
      <alignment horizontal="justify" vertical="top" wrapText="1"/>
    </xf>
    <xf numFmtId="9" fontId="11" fillId="19" borderId="15" xfId="30" applyFont="1" applyFill="1" applyBorder="1" applyAlignment="1" applyProtection="1">
      <alignment horizontal="justify" vertical="top" wrapText="1"/>
    </xf>
    <xf numFmtId="9" fontId="11" fillId="19" borderId="59" xfId="30" applyFont="1" applyFill="1" applyBorder="1" applyAlignment="1" applyProtection="1">
      <alignment horizontal="justify" vertical="top" wrapText="1"/>
    </xf>
    <xf numFmtId="9" fontId="11" fillId="19" borderId="60" xfId="30" applyFont="1" applyFill="1" applyBorder="1" applyAlignment="1" applyProtection="1">
      <alignment horizontal="justify" vertical="top" wrapText="1"/>
    </xf>
    <xf numFmtId="9" fontId="11" fillId="19" borderId="16" xfId="30" applyFont="1" applyFill="1" applyBorder="1" applyAlignment="1" applyProtection="1">
      <alignment horizontal="justify" vertical="top" wrapText="1"/>
    </xf>
    <xf numFmtId="2" fontId="12" fillId="0" borderId="52" xfId="22" applyNumberFormat="1" applyFont="1" applyBorder="1" applyAlignment="1">
      <alignment horizontal="center" vertical="center" wrapText="1"/>
    </xf>
    <xf numFmtId="2" fontId="12" fillId="0" borderId="8" xfId="22" applyNumberFormat="1" applyFont="1" applyBorder="1" applyAlignment="1">
      <alignment horizontal="center" vertical="center" wrapText="1"/>
    </xf>
    <xf numFmtId="0" fontId="12" fillId="19" borderId="53"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26" xfId="22" applyFont="1" applyFill="1" applyBorder="1" applyAlignment="1">
      <alignment horizontal="center" vertical="center" wrapText="1"/>
    </xf>
    <xf numFmtId="174" fontId="11" fillId="0" borderId="10" xfId="22" applyNumberFormat="1" applyFont="1" applyBorder="1" applyAlignment="1">
      <alignment horizontal="center" vertical="center" wrapText="1"/>
    </xf>
    <xf numFmtId="174" fontId="11" fillId="0" borderId="4" xfId="22" applyNumberFormat="1" applyFont="1" applyBorder="1" applyAlignment="1">
      <alignment horizontal="center" vertical="center" wrapText="1"/>
    </xf>
    <xf numFmtId="174" fontId="11" fillId="0" borderId="57" xfId="22" applyNumberFormat="1" applyFont="1" applyBorder="1" applyAlignment="1">
      <alignment horizontal="center" vertical="center" wrapText="1"/>
    </xf>
    <xf numFmtId="9" fontId="11" fillId="19" borderId="54" xfId="22" applyNumberFormat="1" applyFont="1" applyFill="1" applyBorder="1" applyAlignment="1">
      <alignment horizontal="justify" vertical="top" wrapText="1"/>
    </xf>
    <xf numFmtId="9" fontId="11" fillId="19" borderId="58" xfId="22" applyNumberFormat="1" applyFont="1" applyFill="1" applyBorder="1" applyAlignment="1">
      <alignment horizontal="justify" vertical="top" wrapText="1"/>
    </xf>
    <xf numFmtId="9" fontId="11" fillId="19" borderId="15" xfId="22" applyNumberFormat="1" applyFont="1" applyFill="1" applyBorder="1" applyAlignment="1">
      <alignment horizontal="justify" vertical="top" wrapText="1"/>
    </xf>
    <xf numFmtId="9" fontId="11" fillId="19" borderId="16" xfId="22" applyNumberFormat="1" applyFont="1" applyFill="1" applyBorder="1" applyAlignment="1">
      <alignment horizontal="justify" vertical="top" wrapText="1"/>
    </xf>
    <xf numFmtId="0" fontId="46" fillId="0" borderId="77" xfId="0" applyFont="1" applyBorder="1" applyAlignment="1">
      <alignment horizontal="justify" vertical="center" wrapText="1"/>
    </xf>
    <xf numFmtId="174" fontId="41" fillId="0" borderId="77" xfId="0" applyNumberFormat="1" applyFont="1" applyBorder="1" applyAlignment="1">
      <alignment vertical="center"/>
    </xf>
    <xf numFmtId="0" fontId="41" fillId="0" borderId="77" xfId="0" applyFont="1" applyBorder="1" applyAlignment="1">
      <alignment vertical="center"/>
    </xf>
    <xf numFmtId="0" fontId="41" fillId="0" borderId="86" xfId="0" applyFont="1" applyBorder="1" applyAlignment="1">
      <alignment vertical="center"/>
    </xf>
    <xf numFmtId="0" fontId="41" fillId="0" borderId="79" xfId="0" applyFont="1" applyBorder="1" applyAlignment="1">
      <alignment vertical="center"/>
    </xf>
    <xf numFmtId="9" fontId="46" fillId="0" borderId="77" xfId="0" applyNumberFormat="1" applyFont="1" applyBorder="1" applyAlignment="1">
      <alignment horizontal="justify" vertical="center" wrapText="1"/>
    </xf>
    <xf numFmtId="9" fontId="41" fillId="0" borderId="77" xfId="0" applyNumberFormat="1" applyFont="1" applyBorder="1" applyAlignment="1">
      <alignment vertical="center"/>
    </xf>
    <xf numFmtId="0" fontId="12" fillId="19" borderId="1" xfId="22" applyFont="1" applyFill="1" applyBorder="1" applyAlignment="1">
      <alignment horizontal="left" vertical="center" wrapText="1"/>
    </xf>
    <xf numFmtId="0" fontId="33" fillId="9" borderId="20" xfId="0" applyFont="1" applyFill="1" applyBorder="1" applyAlignment="1">
      <alignment horizontal="left" vertical="center"/>
    </xf>
    <xf numFmtId="0" fontId="33" fillId="9" borderId="3" xfId="0" applyFont="1" applyFill="1" applyBorder="1" applyAlignment="1">
      <alignment horizontal="left" vertical="center"/>
    </xf>
    <xf numFmtId="0" fontId="33" fillId="9" borderId="25" xfId="0" applyFont="1" applyFill="1" applyBorder="1" applyAlignment="1">
      <alignment horizontal="left" vertical="center"/>
    </xf>
    <xf numFmtId="0" fontId="33" fillId="9" borderId="2" xfId="0" applyFont="1" applyFill="1" applyBorder="1" applyAlignment="1">
      <alignment horizontal="center" vertical="center"/>
    </xf>
    <xf numFmtId="0" fontId="33" fillId="9" borderId="55" xfId="0" applyFont="1" applyFill="1" applyBorder="1" applyAlignment="1">
      <alignment horizontal="center" vertical="center"/>
    </xf>
    <xf numFmtId="0" fontId="33" fillId="9" borderId="5" xfId="0" applyFont="1" applyFill="1" applyBorder="1" applyAlignment="1">
      <alignment horizontal="center" vertical="center"/>
    </xf>
    <xf numFmtId="0" fontId="33" fillId="9" borderId="1" xfId="0" applyFont="1" applyFill="1" applyBorder="1" applyAlignment="1">
      <alignment horizontal="center" vertical="center"/>
    </xf>
    <xf numFmtId="14" fontId="37"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3" fillId="0" borderId="1" xfId="0" applyFont="1" applyBorder="1" applyAlignment="1">
      <alignment horizontal="center" vertical="center" wrapText="1"/>
    </xf>
    <xf numFmtId="41" fontId="31" fillId="0" borderId="10" xfId="12" applyFont="1" applyFill="1" applyBorder="1" applyAlignment="1">
      <alignment horizontal="justify" vertical="center" wrapText="1"/>
    </xf>
    <xf numFmtId="0" fontId="31" fillId="0" borderId="4" xfId="0" applyFont="1" applyBorder="1" applyAlignment="1">
      <alignment horizontal="justify" vertical="center"/>
    </xf>
    <xf numFmtId="41" fontId="31" fillId="0" borderId="10" xfId="12" applyFont="1" applyFill="1" applyBorder="1" applyAlignment="1">
      <alignment vertical="center" wrapText="1"/>
    </xf>
    <xf numFmtId="0" fontId="31" fillId="0" borderId="4" xfId="0" applyFont="1" applyBorder="1" applyAlignment="1">
      <alignment vertical="center"/>
    </xf>
    <xf numFmtId="0" fontId="33" fillId="9" borderId="2" xfId="0" applyFont="1" applyFill="1" applyBorder="1" applyAlignment="1">
      <alignment horizontal="left" vertical="center"/>
    </xf>
    <xf numFmtId="0" fontId="33" fillId="9" borderId="55" xfId="0" applyFont="1" applyFill="1" applyBorder="1" applyAlignment="1">
      <alignment horizontal="left" vertical="center"/>
    </xf>
    <xf numFmtId="0" fontId="33" fillId="9" borderId="5" xfId="0" applyFont="1" applyFill="1" applyBorder="1" applyAlignment="1">
      <alignment horizontal="left" vertical="center"/>
    </xf>
    <xf numFmtId="0" fontId="31" fillId="0" borderId="2" xfId="0" applyFont="1" applyBorder="1" applyAlignment="1">
      <alignment horizontal="left" vertical="center"/>
    </xf>
    <xf numFmtId="0" fontId="31" fillId="0" borderId="55" xfId="0" applyFont="1" applyBorder="1" applyAlignment="1">
      <alignment horizontal="left" vertical="center"/>
    </xf>
    <xf numFmtId="0" fontId="31" fillId="0" borderId="5" xfId="0" applyFont="1" applyBorder="1" applyAlignment="1">
      <alignment horizontal="left" vertical="center"/>
    </xf>
    <xf numFmtId="3" fontId="12" fillId="24" borderId="1" xfId="22" applyNumberFormat="1" applyFont="1" applyFill="1" applyBorder="1" applyAlignment="1">
      <alignment horizontal="center" vertical="center" wrapText="1"/>
    </xf>
    <xf numFmtId="0" fontId="33" fillId="9" borderId="10" xfId="0" applyFont="1" applyFill="1" applyBorder="1" applyAlignment="1">
      <alignment horizontal="center" vertical="center" wrapText="1"/>
    </xf>
    <xf numFmtId="0" fontId="33" fillId="9" borderId="6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24" borderId="1" xfId="22" applyFont="1" applyFill="1" applyBorder="1" applyAlignment="1">
      <alignment horizontal="center" vertical="center" wrapText="1"/>
    </xf>
    <xf numFmtId="0" fontId="12" fillId="32" borderId="1" xfId="22" applyFont="1" applyFill="1" applyBorder="1" applyAlignment="1">
      <alignment horizontal="left" vertical="center" wrapText="1"/>
    </xf>
    <xf numFmtId="3" fontId="33" fillId="9" borderId="2" xfId="0" applyNumberFormat="1" applyFont="1" applyFill="1" applyBorder="1" applyAlignment="1">
      <alignment horizontal="center" vertical="center" wrapText="1"/>
    </xf>
    <xf numFmtId="3" fontId="33" fillId="9" borderId="55" xfId="0" applyNumberFormat="1" applyFont="1" applyFill="1" applyBorder="1" applyAlignment="1">
      <alignment horizontal="center" vertical="center" wrapText="1"/>
    </xf>
    <xf numFmtId="3" fontId="33" fillId="9" borderId="5" xfId="0" applyNumberFormat="1"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55" xfId="0" applyFont="1" applyFill="1" applyBorder="1" applyAlignment="1">
      <alignment horizontal="center" vertical="center" wrapText="1"/>
    </xf>
    <xf numFmtId="0" fontId="33" fillId="9" borderId="5" xfId="0" applyFont="1" applyFill="1" applyBorder="1" applyAlignment="1">
      <alignment horizontal="center" vertical="center" wrapText="1"/>
    </xf>
    <xf numFmtId="3" fontId="12" fillId="32" borderId="1" xfId="22" applyNumberFormat="1" applyFont="1" applyFill="1" applyBorder="1" applyAlignment="1">
      <alignment horizontal="center" vertical="center" wrapText="1"/>
    </xf>
    <xf numFmtId="3" fontId="33" fillId="9" borderId="2" xfId="0" applyNumberFormat="1" applyFont="1" applyFill="1" applyBorder="1" applyAlignment="1">
      <alignment horizontal="center" vertical="center"/>
    </xf>
    <xf numFmtId="3" fontId="33" fillId="9" borderId="55" xfId="0" applyNumberFormat="1" applyFont="1" applyFill="1" applyBorder="1" applyAlignment="1">
      <alignment horizontal="center" vertical="center"/>
    </xf>
    <xf numFmtId="3" fontId="33" fillId="9" borderId="5" xfId="0" applyNumberFormat="1" applyFont="1" applyFill="1" applyBorder="1" applyAlignment="1">
      <alignment horizontal="center" vertical="center"/>
    </xf>
    <xf numFmtId="0" fontId="12" fillId="24" borderId="1" xfId="22" applyFont="1" applyFill="1" applyBorder="1" applyAlignment="1">
      <alignment horizontal="center" vertical="center" wrapText="1"/>
    </xf>
    <xf numFmtId="0" fontId="33" fillId="0" borderId="2" xfId="0" applyFont="1" applyBorder="1" applyAlignment="1">
      <alignment horizontal="center" vertical="center"/>
    </xf>
    <xf numFmtId="0" fontId="33" fillId="0" borderId="55" xfId="0" applyFont="1" applyBorder="1" applyAlignment="1">
      <alignment horizontal="center" vertical="center"/>
    </xf>
    <xf numFmtId="0" fontId="33" fillId="0" borderId="5" xfId="0" applyFont="1" applyBorder="1" applyAlignment="1">
      <alignment horizontal="center" vertical="center"/>
    </xf>
    <xf numFmtId="0" fontId="33" fillId="0" borderId="54"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33" fillId="0" borderId="25" xfId="0" applyFont="1" applyBorder="1" applyAlignment="1">
      <alignment horizontal="center" vertical="center"/>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5" xfId="0" applyFont="1" applyBorder="1" applyAlignment="1">
      <alignment horizontal="left" vertical="center" wrapText="1"/>
    </xf>
    <xf numFmtId="0" fontId="33" fillId="9" borderId="54" xfId="0" applyFont="1" applyFill="1" applyBorder="1" applyAlignment="1">
      <alignment horizontal="center" vertical="center"/>
    </xf>
    <xf numFmtId="0" fontId="33" fillId="9" borderId="22" xfId="0" applyFont="1" applyFill="1" applyBorder="1" applyAlignment="1">
      <alignment horizontal="center" vertical="center"/>
    </xf>
    <xf numFmtId="0" fontId="33" fillId="9" borderId="23" xfId="0" applyFont="1" applyFill="1" applyBorder="1" applyAlignment="1">
      <alignment horizontal="center" vertical="center"/>
    </xf>
    <xf numFmtId="0" fontId="33" fillId="9" borderId="64" xfId="0" applyFont="1" applyFill="1" applyBorder="1" applyAlignment="1">
      <alignment horizontal="center" vertical="center"/>
    </xf>
    <xf numFmtId="0" fontId="33" fillId="9" borderId="0" xfId="0" applyFont="1" applyFill="1" applyAlignment="1">
      <alignment horizontal="center" vertical="center"/>
    </xf>
    <xf numFmtId="0" fontId="33" fillId="9" borderId="24" xfId="0" applyFont="1" applyFill="1" applyBorder="1" applyAlignment="1">
      <alignment horizontal="center" vertical="center"/>
    </xf>
    <xf numFmtId="0" fontId="33" fillId="9" borderId="20" xfId="0" applyFont="1" applyFill="1" applyBorder="1" applyAlignment="1">
      <alignment horizontal="center" vertical="center"/>
    </xf>
    <xf numFmtId="0" fontId="33" fillId="9" borderId="3" xfId="0" applyFont="1" applyFill="1" applyBorder="1" applyAlignment="1">
      <alignment horizontal="center" vertical="center"/>
    </xf>
    <xf numFmtId="0" fontId="33" fillId="9" borderId="25" xfId="0" applyFont="1" applyFill="1" applyBorder="1" applyAlignment="1">
      <alignment horizontal="center" vertical="center"/>
    </xf>
    <xf numFmtId="0" fontId="31" fillId="0" borderId="20" xfId="0" applyFont="1" applyBorder="1" applyAlignment="1">
      <alignment horizontal="left" vertical="center"/>
    </xf>
    <xf numFmtId="0" fontId="31" fillId="0" borderId="3" xfId="0" applyFont="1" applyBorder="1" applyAlignment="1">
      <alignment horizontal="left" vertical="center"/>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6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56" xfId="22"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9" fontId="32" fillId="0" borderId="54" xfId="30" applyFont="1" applyFill="1" applyBorder="1" applyAlignment="1" applyProtection="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58"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59" xfId="30" applyFont="1" applyFill="1" applyBorder="1" applyAlignment="1" applyProtection="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23" borderId="5" xfId="0" applyFont="1" applyFill="1" applyBorder="1" applyAlignment="1">
      <alignment horizontal="left" vertical="center" wrapText="1"/>
    </xf>
    <xf numFmtId="0" fontId="12" fillId="23" borderId="1" xfId="0" applyFont="1" applyFill="1" applyBorder="1" applyAlignment="1">
      <alignment horizontal="left" vertical="center" wrapText="1"/>
    </xf>
    <xf numFmtId="0" fontId="12" fillId="23" borderId="9" xfId="0" applyFont="1" applyFill="1" applyBorder="1" applyAlignment="1">
      <alignment horizontal="left" vertical="center" wrapText="1"/>
    </xf>
    <xf numFmtId="0" fontId="33" fillId="0" borderId="46" xfId="0" applyFont="1" applyBorder="1" applyAlignment="1">
      <alignment horizontal="left" vertical="center" wrapText="1"/>
    </xf>
    <xf numFmtId="0" fontId="33" fillId="0" borderId="19" xfId="0" applyFont="1" applyBorder="1" applyAlignment="1">
      <alignment horizontal="left" vertical="center" wrapText="1"/>
    </xf>
    <xf numFmtId="0" fontId="33" fillId="0" borderId="33" xfId="0" applyFont="1" applyBorder="1" applyAlignment="1">
      <alignment horizontal="left" vertical="center" wrapText="1"/>
    </xf>
    <xf numFmtId="0" fontId="12" fillId="20" borderId="39"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12" fillId="0" borderId="12" xfId="22" applyFont="1" applyBorder="1" applyAlignment="1">
      <alignment horizontal="center"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0" fillId="0" borderId="49" xfId="0" applyBorder="1" applyAlignment="1">
      <alignment horizontal="center" vertical="center"/>
    </xf>
    <xf numFmtId="0" fontId="0" fillId="0" borderId="2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32" fillId="0" borderId="54"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60" xfId="22" applyNumberFormat="1" applyFont="1" applyBorder="1" applyAlignment="1">
      <alignment horizontal="left" vertical="center" wrapText="1"/>
    </xf>
    <xf numFmtId="9" fontId="32" fillId="0" borderId="64" xfId="22" applyNumberFormat="1" applyFont="1" applyBorder="1" applyAlignment="1">
      <alignment horizontal="left" vertical="center" wrapText="1"/>
    </xf>
    <xf numFmtId="9" fontId="32" fillId="0" borderId="0" xfId="22" applyNumberFormat="1" applyFont="1" applyAlignment="1">
      <alignment horizontal="left" vertical="center" wrapText="1"/>
    </xf>
    <xf numFmtId="9" fontId="32" fillId="0" borderId="14" xfId="22" applyNumberFormat="1" applyFont="1" applyBorder="1" applyAlignment="1">
      <alignment horizontal="left" vertical="center" wrapText="1"/>
    </xf>
    <xf numFmtId="0" fontId="36" fillId="0" borderId="40" xfId="0" applyFont="1" applyBorder="1" applyAlignment="1">
      <alignment horizontal="center" vertical="center"/>
    </xf>
    <xf numFmtId="0" fontId="36" fillId="0" borderId="42" xfId="0" applyFont="1" applyBorder="1" applyAlignment="1">
      <alignment horizontal="center" vertical="center"/>
    </xf>
    <xf numFmtId="2" fontId="11" fillId="0" borderId="57" xfId="22" applyNumberFormat="1" applyFont="1" applyBorder="1" applyAlignment="1">
      <alignment horizontal="center" vertical="center" wrapText="1"/>
    </xf>
    <xf numFmtId="9" fontId="32" fillId="0" borderId="54" xfId="22" applyNumberFormat="1" applyFont="1" applyBorder="1" applyAlignment="1">
      <alignment horizontal="center" vertical="center" wrapText="1"/>
    </xf>
    <xf numFmtId="9" fontId="32" fillId="0" borderId="22" xfId="22" applyNumberFormat="1" applyFont="1" applyBorder="1" applyAlignment="1">
      <alignment horizontal="center" vertical="center" wrapText="1"/>
    </xf>
    <xf numFmtId="9" fontId="32" fillId="0" borderId="60" xfId="22" applyNumberFormat="1" applyFont="1" applyBorder="1" applyAlignment="1">
      <alignment horizontal="center" vertical="center" wrapText="1"/>
    </xf>
    <xf numFmtId="9" fontId="32" fillId="0" borderId="58" xfId="22" applyNumberFormat="1" applyFont="1" applyBorder="1" applyAlignment="1">
      <alignment horizontal="center" vertical="center" wrapText="1"/>
    </xf>
    <xf numFmtId="9" fontId="32" fillId="0" borderId="15" xfId="22" applyNumberFormat="1" applyFont="1" applyBorder="1" applyAlignment="1">
      <alignment horizontal="center" vertical="center" wrapText="1"/>
    </xf>
    <xf numFmtId="9" fontId="32" fillId="0" borderId="16" xfId="22" applyNumberFormat="1" applyFont="1" applyBorder="1" applyAlignment="1">
      <alignment horizontal="center" vertical="center" wrapText="1"/>
    </xf>
    <xf numFmtId="9" fontId="32" fillId="0" borderId="64" xfId="22" applyNumberFormat="1" applyFont="1" applyBorder="1" applyAlignment="1">
      <alignment horizontal="center" vertical="center" wrapText="1"/>
    </xf>
    <xf numFmtId="9" fontId="32" fillId="0" borderId="0" xfId="22" applyNumberFormat="1" applyFont="1" applyAlignment="1">
      <alignment horizontal="center" vertical="center" wrapText="1"/>
    </xf>
    <xf numFmtId="9" fontId="32" fillId="0" borderId="14" xfId="22" applyNumberFormat="1" applyFont="1" applyBorder="1" applyAlignment="1">
      <alignment horizontal="center" vertical="center" wrapText="1"/>
    </xf>
    <xf numFmtId="9" fontId="32" fillId="0" borderId="60" xfId="30" applyFont="1" applyFill="1" applyBorder="1" applyAlignment="1" applyProtection="1">
      <alignment horizontal="center" vertical="center" wrapText="1"/>
    </xf>
    <xf numFmtId="9" fontId="32" fillId="0" borderId="16" xfId="30" applyFont="1" applyFill="1" applyBorder="1" applyAlignment="1" applyProtection="1">
      <alignment horizontal="center" vertical="center" wrapText="1"/>
    </xf>
    <xf numFmtId="0" fontId="12" fillId="0" borderId="55"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26" xfId="0" applyFont="1" applyBorder="1" applyAlignment="1">
      <alignment horizontal="center" vertical="center" wrapText="1"/>
    </xf>
    <xf numFmtId="0" fontId="12" fillId="0" borderId="10" xfId="22" applyFont="1" applyBorder="1" applyAlignment="1">
      <alignment horizontal="center" vertical="center" wrapText="1"/>
    </xf>
    <xf numFmtId="0" fontId="12" fillId="0" borderId="57" xfId="22" applyFont="1" applyBorder="1" applyAlignment="1">
      <alignment horizontal="center" vertical="center" wrapTex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6" fillId="0" borderId="39"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38" xfId="0" applyFont="1" applyBorder="1" applyAlignment="1">
      <alignment horizontal="center" vertical="center"/>
    </xf>
    <xf numFmtId="0" fontId="36" fillId="0" borderId="16" xfId="0" applyFont="1" applyBorder="1" applyAlignment="1">
      <alignment horizontal="center" vertical="center"/>
    </xf>
    <xf numFmtId="172" fontId="12" fillId="19" borderId="50"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6" xfId="17" applyNumberFormat="1" applyFont="1" applyFill="1" applyBorder="1" applyAlignment="1" applyProtection="1">
      <alignment horizontal="center" vertical="center" wrapText="1"/>
    </xf>
    <xf numFmtId="0" fontId="12" fillId="19" borderId="49"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5" xfId="0" applyFont="1" applyFill="1" applyBorder="1" applyAlignment="1">
      <alignment horizontal="center" vertical="center" wrapText="1"/>
    </xf>
    <xf numFmtId="0" fontId="12" fillId="9"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55"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3" fillId="0" borderId="54" xfId="0" applyFont="1" applyBorder="1" applyAlignment="1">
      <alignment vertical="center" wrapText="1"/>
    </xf>
    <xf numFmtId="0" fontId="33" fillId="0" borderId="22" xfId="0" applyFont="1" applyBorder="1" applyAlignment="1">
      <alignment vertical="center" wrapText="1"/>
    </xf>
    <xf numFmtId="0" fontId="33" fillId="0" borderId="23" xfId="0" applyFont="1" applyBorder="1" applyAlignment="1">
      <alignment vertical="center" wrapText="1"/>
    </xf>
    <xf numFmtId="0" fontId="33"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3" fillId="21" borderId="2" xfId="0" applyFont="1" applyFill="1" applyBorder="1" applyAlignment="1">
      <alignment horizontal="center" vertical="center"/>
    </xf>
    <xf numFmtId="0" fontId="33" fillId="21" borderId="5" xfId="0" applyFont="1" applyFill="1" applyBorder="1" applyAlignment="1">
      <alignment horizontal="center" vertical="center"/>
    </xf>
    <xf numFmtId="0" fontId="31" fillId="0" borderId="10" xfId="0" applyFont="1" applyBorder="1" applyAlignment="1">
      <alignment horizontal="left" vertical="center" wrapText="1"/>
    </xf>
    <xf numFmtId="0" fontId="31" fillId="0" borderId="63" xfId="0" applyFont="1" applyBorder="1" applyAlignment="1">
      <alignment horizontal="left" vertical="center" wrapText="1"/>
    </xf>
    <xf numFmtId="0" fontId="31" fillId="0" borderId="4" xfId="0" applyFont="1" applyBorder="1" applyAlignment="1">
      <alignment horizontal="left" vertical="center" wrapText="1"/>
    </xf>
    <xf numFmtId="41" fontId="31" fillId="0" borderId="54" xfId="12" applyFont="1" applyFill="1" applyBorder="1" applyAlignment="1">
      <alignment horizontal="left" vertical="center"/>
    </xf>
    <xf numFmtId="41" fontId="31" fillId="0" borderId="64" xfId="12" applyFont="1" applyFill="1" applyBorder="1" applyAlignment="1">
      <alignment horizontal="left" vertical="center"/>
    </xf>
    <xf numFmtId="41" fontId="31"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9" fontId="31" fillId="0" borderId="1" xfId="28" applyFont="1" applyFill="1" applyBorder="1" applyAlignment="1">
      <alignment vertic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4" xr:uid="{00000000-0005-0000-0000-00000C000000}"/>
    <cellStyle name="Millares [0] 2 2 2" xfId="36" xr:uid="{00000000-0005-0000-0000-00000D000000}"/>
    <cellStyle name="Millares [0] 2 3" xfId="35" xr:uid="{00000000-0005-0000-0000-00000E000000}"/>
    <cellStyle name="Millares 2" xfId="13" xr:uid="{00000000-0005-0000-0000-00000F000000}"/>
    <cellStyle name="Moneda" xfId="14" builtinId="4"/>
    <cellStyle name="Moneda [0]" xfId="15" builtinId="7"/>
    <cellStyle name="Moneda 130" xfId="16" xr:uid="{00000000-0005-0000-0000-000012000000}"/>
    <cellStyle name="Moneda 2" xfId="17" xr:uid="{00000000-0005-0000-0000-000013000000}"/>
    <cellStyle name="Moneda 2 2" xfId="18" xr:uid="{00000000-0005-0000-0000-000014000000}"/>
    <cellStyle name="Moneda 23" xfId="19" xr:uid="{00000000-0005-0000-0000-000015000000}"/>
    <cellStyle name="Moneda 3" xfId="20" xr:uid="{00000000-0005-0000-0000-000016000000}"/>
    <cellStyle name="Neutral 2" xfId="21" xr:uid="{00000000-0005-0000-0000-000017000000}"/>
    <cellStyle name="Normal" xfId="0" builtinId="0"/>
    <cellStyle name="Normal 2" xfId="22" xr:uid="{00000000-0005-0000-0000-000019000000}"/>
    <cellStyle name="Normal 2 2" xfId="23" xr:uid="{00000000-0005-0000-0000-00001A000000}"/>
    <cellStyle name="Normal 2 3" xfId="24" xr:uid="{00000000-0005-0000-0000-00001B000000}"/>
    <cellStyle name="Normal 3" xfId="25" xr:uid="{00000000-0005-0000-0000-00001C000000}"/>
    <cellStyle name="Normal 3 2" xfId="26" xr:uid="{00000000-0005-0000-0000-00001D000000}"/>
    <cellStyle name="Normal 6 2" xfId="27" xr:uid="{00000000-0005-0000-0000-00001E000000}"/>
    <cellStyle name="Porcentaje" xfId="28" builtinId="5"/>
    <cellStyle name="Porcentaje 2" xfId="29" xr:uid="{00000000-0005-0000-0000-000020000000}"/>
    <cellStyle name="Porcentual 2" xfId="30" xr:uid="{00000000-0005-0000-0000-000021000000}"/>
    <cellStyle name="Texto de inicio" xfId="31" xr:uid="{00000000-0005-0000-0000-000022000000}"/>
    <cellStyle name="Texto de la columna A" xfId="32" xr:uid="{00000000-0005-0000-0000-000023000000}"/>
    <cellStyle name="Título 4" xfId="33" xr:uid="{00000000-0005-0000-0000-000024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004" name="Picture 47">
          <a:extLst>
            <a:ext uri="{FF2B5EF4-FFF2-40B4-BE49-F238E27FC236}">
              <a16:creationId xmlns:a16="http://schemas.microsoft.com/office/drawing/2014/main" id="{42213192-D152-44DA-A587-0220930212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972" name="Picture 47">
          <a:extLst>
            <a:ext uri="{FF2B5EF4-FFF2-40B4-BE49-F238E27FC236}">
              <a16:creationId xmlns:a16="http://schemas.microsoft.com/office/drawing/2014/main" id="{AEC35046-D49E-4DDC-818F-976BB672B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996" name="Picture 47">
          <a:extLst>
            <a:ext uri="{FF2B5EF4-FFF2-40B4-BE49-F238E27FC236}">
              <a16:creationId xmlns:a16="http://schemas.microsoft.com/office/drawing/2014/main" id="{E84F95AA-C16C-46A9-9E13-52460F62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01041CE0-C175-4285-B149-1D8F20DB0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768350</xdr:colOff>
      <xdr:row>0</xdr:row>
      <xdr:rowOff>73025</xdr:rowOff>
    </xdr:from>
    <xdr:to>
      <xdr:col>0</xdr:col>
      <xdr:colOff>1939925</xdr:colOff>
      <xdr:row>3</xdr:row>
      <xdr:rowOff>130175</xdr:rowOff>
    </xdr:to>
    <xdr:pic>
      <xdr:nvPicPr>
        <xdr:cNvPr id="86020" name="Picture 47">
          <a:extLst>
            <a:ext uri="{FF2B5EF4-FFF2-40B4-BE49-F238E27FC236}">
              <a16:creationId xmlns:a16="http://schemas.microsoft.com/office/drawing/2014/main" id="{5774400F-EF48-4B2A-813A-E0A6DC9AD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350" y="730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768350</xdr:colOff>
      <xdr:row>0</xdr:row>
      <xdr:rowOff>73025</xdr:rowOff>
    </xdr:from>
    <xdr:to>
      <xdr:col>0</xdr:col>
      <xdr:colOff>1939925</xdr:colOff>
      <xdr:row>3</xdr:row>
      <xdr:rowOff>130175</xdr:rowOff>
    </xdr:to>
    <xdr:pic>
      <xdr:nvPicPr>
        <xdr:cNvPr id="3" name="Picture 47">
          <a:extLst>
            <a:ext uri="{FF2B5EF4-FFF2-40B4-BE49-F238E27FC236}">
              <a16:creationId xmlns:a16="http://schemas.microsoft.com/office/drawing/2014/main" id="{E44E24A2-8D46-4ACE-B397-C8E184E53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350" y="73025"/>
          <a:ext cx="11715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768350</xdr:colOff>
      <xdr:row>0</xdr:row>
      <xdr:rowOff>73025</xdr:rowOff>
    </xdr:from>
    <xdr:to>
      <xdr:col>0</xdr:col>
      <xdr:colOff>1939925</xdr:colOff>
      <xdr:row>3</xdr:row>
      <xdr:rowOff>130175</xdr:rowOff>
    </xdr:to>
    <xdr:pic>
      <xdr:nvPicPr>
        <xdr:cNvPr id="2" name="Picture 47">
          <a:extLst>
            <a:ext uri="{FF2B5EF4-FFF2-40B4-BE49-F238E27FC236}">
              <a16:creationId xmlns:a16="http://schemas.microsoft.com/office/drawing/2014/main" id="{0E5CAE87-CFF3-4C87-BDBC-8D1162EE3E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350" y="730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768350</xdr:colOff>
      <xdr:row>0</xdr:row>
      <xdr:rowOff>73025</xdr:rowOff>
    </xdr:from>
    <xdr:to>
      <xdr:col>0</xdr:col>
      <xdr:colOff>1939925</xdr:colOff>
      <xdr:row>3</xdr:row>
      <xdr:rowOff>130175</xdr:rowOff>
    </xdr:to>
    <xdr:pic>
      <xdr:nvPicPr>
        <xdr:cNvPr id="2" name="Picture 47">
          <a:extLst>
            <a:ext uri="{FF2B5EF4-FFF2-40B4-BE49-F238E27FC236}">
              <a16:creationId xmlns:a16="http://schemas.microsoft.com/office/drawing/2014/main" id="{828F9560-DC5A-49BA-B25E-090793FB5F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350" y="730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3F70BA1-C4B6-4058-8E2A-2CAAB5221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544" name="Picture 47">
          <a:extLst>
            <a:ext uri="{FF2B5EF4-FFF2-40B4-BE49-F238E27FC236}">
              <a16:creationId xmlns:a16="http://schemas.microsoft.com/office/drawing/2014/main" id="{D679CC48-AFC4-440B-A989-8CDFFAD35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Yenny Maritza Guzmán" id="{CF7742F5-3633-4FAA-957E-6B10D7A99166}" userId="S::yguzman@sdmujer.gov.co::40d50a99-5ce0-4ef5-838d-d4fa59bd21a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9" dT="2022-01-21T18:49:39.01" personId="{CF7742F5-3633-4FAA-957E-6B10D7A99166}" id="{E7A438EF-72BC-4C57-BD52-6AB74C0E20DB}">
    <text>puede requerir ajuste</text>
  </threadedComment>
  <threadedComment ref="V19" dT="2022-01-21T18:53:11.28" personId="{CF7742F5-3633-4FAA-957E-6B10D7A99166}" id="{031F8347-D4EC-4C6A-860A-70D14BBF53E7}">
    <text>PUEDE REQUERIR AJUSTE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sheetPr>
  <dimension ref="A1:XEN75"/>
  <sheetViews>
    <sheetView showGridLines="0" view="pageBreakPreview" topLeftCell="H16" zoomScale="75" zoomScaleNormal="75" zoomScaleSheetLayoutView="75" workbookViewId="0">
      <selection activeCell="M25" sqref="M25"/>
    </sheetView>
  </sheetViews>
  <sheetFormatPr baseColWidth="10" defaultColWidth="10.85546875" defaultRowHeight="15" x14ac:dyDescent="0.25"/>
  <cols>
    <col min="1" max="1" width="45.42578125" style="108" customWidth="1"/>
    <col min="2" max="2" width="15.42578125" style="108" customWidth="1"/>
    <col min="3" max="3" width="17.42578125" style="108" customWidth="1"/>
    <col min="4" max="16" width="15.42578125" style="108" customWidth="1"/>
    <col min="17" max="17" width="17.42578125" style="108" customWidth="1"/>
    <col min="18" max="18" width="16" style="108" customWidth="1"/>
    <col min="19" max="19" width="18.42578125" style="108" customWidth="1"/>
    <col min="20" max="20" width="14.85546875" style="108" bestFit="1" customWidth="1"/>
    <col min="21" max="21" width="16" style="108" bestFit="1" customWidth="1"/>
    <col min="22" max="22" width="14.85546875" style="108" bestFit="1" customWidth="1"/>
    <col min="23" max="23" width="14.140625" style="108" customWidth="1"/>
    <col min="24" max="24" width="15.85546875" style="108" customWidth="1"/>
    <col min="25" max="25" width="14.85546875" style="108" customWidth="1"/>
    <col min="26" max="26" width="15" style="108" customWidth="1"/>
    <col min="27" max="30" width="17" style="108" customWidth="1"/>
    <col min="31" max="31" width="6.42578125" style="108" bestFit="1" customWidth="1"/>
    <col min="32" max="32" width="22.85546875" style="108" customWidth="1"/>
    <col min="33" max="33" width="18.42578125" style="108" bestFit="1" customWidth="1"/>
    <col min="34" max="34" width="8.42578125" style="108" customWidth="1"/>
    <col min="35" max="35" width="18.42578125" style="108" bestFit="1" customWidth="1"/>
    <col min="36" max="36" width="5.42578125" style="108" customWidth="1"/>
    <col min="37" max="37" width="18.42578125" style="108" bestFit="1" customWidth="1"/>
    <col min="38" max="38" width="4.42578125" style="108" customWidth="1"/>
    <col min="39" max="39" width="23" style="108" bestFit="1" customWidth="1"/>
    <col min="40" max="40" width="10.85546875" style="108"/>
    <col min="41" max="41" width="18.42578125" style="108" bestFit="1" customWidth="1"/>
    <col min="42" max="42" width="16.140625" style="108" customWidth="1"/>
    <col min="43" max="16384" width="10.85546875" style="108"/>
  </cols>
  <sheetData>
    <row r="1" spans="1:30"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58" t="s">
        <v>7</v>
      </c>
      <c r="B7" s="359"/>
      <c r="C7" s="364" t="s">
        <v>8</v>
      </c>
      <c r="D7" s="358" t="s">
        <v>9</v>
      </c>
      <c r="E7" s="367"/>
      <c r="F7" s="367"/>
      <c r="G7" s="367"/>
      <c r="H7" s="359"/>
      <c r="I7" s="370">
        <v>44776</v>
      </c>
      <c r="J7" s="371"/>
      <c r="K7" s="358" t="s">
        <v>10</v>
      </c>
      <c r="L7" s="359"/>
      <c r="M7" s="386" t="s">
        <v>11</v>
      </c>
      <c r="N7" s="387"/>
      <c r="O7" s="376"/>
      <c r="P7" s="377"/>
      <c r="Q7" s="54"/>
      <c r="R7" s="54"/>
      <c r="S7" s="54"/>
      <c r="T7" s="54"/>
      <c r="U7" s="54"/>
      <c r="V7" s="54"/>
      <c r="W7" s="54"/>
      <c r="X7" s="54"/>
      <c r="Y7" s="54"/>
      <c r="Z7" s="55"/>
      <c r="AA7" s="54"/>
      <c r="AB7" s="54"/>
      <c r="AC7" s="60"/>
      <c r="AD7" s="61"/>
    </row>
    <row r="8" spans="1:30"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ht="15" customHeight="1" x14ac:dyDescent="0.25">
      <c r="A11" s="358" t="s">
        <v>15</v>
      </c>
      <c r="B11" s="359"/>
      <c r="C11" s="356" t="s">
        <v>16</v>
      </c>
      <c r="D11" s="357"/>
      <c r="E11" s="357"/>
      <c r="F11" s="357"/>
      <c r="G11" s="357"/>
      <c r="H11" s="357"/>
      <c r="I11" s="193"/>
      <c r="J11" s="193"/>
      <c r="K11" s="193"/>
      <c r="L11" s="193"/>
      <c r="M11" s="193"/>
      <c r="N11" s="193"/>
      <c r="O11" s="193"/>
      <c r="P11" s="193"/>
      <c r="Q11" s="193"/>
      <c r="R11" s="193"/>
      <c r="S11" s="193"/>
      <c r="T11" s="193"/>
      <c r="U11" s="193"/>
      <c r="V11" s="193"/>
      <c r="W11" s="193"/>
      <c r="X11" s="193"/>
      <c r="Y11" s="193"/>
      <c r="Z11" s="193"/>
      <c r="AA11" s="193"/>
      <c r="AB11" s="193"/>
      <c r="AC11" s="193"/>
      <c r="AD11" s="197"/>
    </row>
    <row r="12" spans="1:30" ht="15" customHeight="1" x14ac:dyDescent="0.25">
      <c r="A12" s="360"/>
      <c r="B12" s="361"/>
      <c r="C12" s="347"/>
      <c r="D12" s="348"/>
      <c r="E12" s="348"/>
      <c r="F12" s="348"/>
      <c r="G12" s="348"/>
      <c r="H12" s="348"/>
      <c r="I12" s="65"/>
      <c r="J12" s="65"/>
      <c r="K12" s="65"/>
      <c r="L12" s="65"/>
      <c r="M12" s="65"/>
      <c r="N12" s="65"/>
      <c r="O12" s="65"/>
      <c r="P12" s="65"/>
      <c r="Q12" s="65"/>
      <c r="R12" s="65"/>
      <c r="S12" s="65"/>
      <c r="T12" s="65"/>
      <c r="U12" s="65"/>
      <c r="V12" s="65"/>
      <c r="W12" s="65"/>
      <c r="X12" s="65"/>
      <c r="Y12" s="65"/>
      <c r="Z12" s="65"/>
      <c r="AA12" s="65"/>
      <c r="AB12" s="65"/>
      <c r="AC12" s="65"/>
      <c r="AD12" s="66"/>
    </row>
    <row r="13" spans="1:30" ht="15" customHeight="1" x14ac:dyDescent="0.25">
      <c r="A13" s="362"/>
      <c r="B13" s="363"/>
      <c r="C13" s="350"/>
      <c r="D13" s="351"/>
      <c r="E13" s="351"/>
      <c r="F13" s="351"/>
      <c r="G13" s="351"/>
      <c r="H13" s="351"/>
      <c r="I13" s="191"/>
      <c r="J13" s="191"/>
      <c r="K13" s="191"/>
      <c r="L13" s="191"/>
      <c r="M13" s="191"/>
      <c r="N13" s="191"/>
      <c r="O13" s="191"/>
      <c r="P13" s="191"/>
      <c r="Q13" s="191"/>
      <c r="R13" s="191"/>
      <c r="S13" s="191"/>
      <c r="T13" s="191"/>
      <c r="U13" s="191"/>
      <c r="V13" s="191"/>
      <c r="W13" s="191"/>
      <c r="X13" s="191"/>
      <c r="Y13" s="191"/>
      <c r="Z13" s="191"/>
      <c r="AA13" s="191"/>
      <c r="AB13" s="191"/>
      <c r="AC13" s="191"/>
      <c r="AD13" s="192"/>
    </row>
    <row r="14" spans="1:30" ht="9" customHeigh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414" t="s">
        <v>18</v>
      </c>
      <c r="D15" s="415"/>
      <c r="E15" s="415"/>
      <c r="F15" s="415"/>
      <c r="G15" s="415"/>
      <c r="H15" s="415"/>
      <c r="I15" s="415"/>
      <c r="J15" s="415"/>
      <c r="K15" s="416"/>
      <c r="L15" s="420" t="s">
        <v>19</v>
      </c>
      <c r="M15" s="424"/>
      <c r="N15" s="424"/>
      <c r="O15" s="424"/>
      <c r="P15" s="424"/>
      <c r="Q15" s="421"/>
      <c r="R15" s="417" t="s">
        <v>20</v>
      </c>
      <c r="S15" s="418"/>
      <c r="T15" s="418"/>
      <c r="U15" s="418"/>
      <c r="V15" s="418"/>
      <c r="W15" s="418"/>
      <c r="X15" s="419"/>
      <c r="Y15" s="420" t="s">
        <v>21</v>
      </c>
      <c r="Z15" s="421"/>
      <c r="AA15" s="403" t="s">
        <v>22</v>
      </c>
      <c r="AB15" s="404"/>
      <c r="AC15" s="404"/>
      <c r="AD15" s="405"/>
    </row>
    <row r="16" spans="1:30" ht="9" customHeight="1"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41" s="222" customFormat="1" ht="37.5" customHeight="1" thickBot="1" x14ac:dyDescent="0.3">
      <c r="A17" s="407" t="s">
        <v>23</v>
      </c>
      <c r="B17" s="408"/>
      <c r="C17" s="409" t="s">
        <v>24</v>
      </c>
      <c r="D17" s="410"/>
      <c r="E17" s="410"/>
      <c r="F17" s="410"/>
      <c r="G17" s="410"/>
      <c r="H17" s="410"/>
      <c r="I17" s="410"/>
      <c r="J17" s="410"/>
      <c r="K17" s="410"/>
      <c r="L17" s="410"/>
      <c r="M17" s="410"/>
      <c r="N17" s="410"/>
      <c r="O17" s="410"/>
      <c r="P17" s="410"/>
      <c r="Q17" s="411"/>
      <c r="R17" s="420" t="s">
        <v>25</v>
      </c>
      <c r="S17" s="424"/>
      <c r="T17" s="424"/>
      <c r="U17" s="424"/>
      <c r="V17" s="421"/>
      <c r="W17" s="422">
        <v>0.55000000000000004</v>
      </c>
      <c r="X17" s="423"/>
      <c r="Y17" s="424" t="s">
        <v>26</v>
      </c>
      <c r="Z17" s="424"/>
      <c r="AA17" s="424"/>
      <c r="AB17" s="421"/>
      <c r="AC17" s="412">
        <v>0.18</v>
      </c>
      <c r="AD17" s="413"/>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41"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41" ht="32.25" customHeight="1" thickBot="1" x14ac:dyDescent="0.3">
      <c r="A21" s="59"/>
      <c r="B21" s="271"/>
      <c r="C21" s="260"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260"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41" ht="32.25" customHeight="1" x14ac:dyDescent="0.25">
      <c r="A22" s="187" t="s">
        <v>43</v>
      </c>
      <c r="B22" s="272"/>
      <c r="C22" s="263" t="s">
        <v>44</v>
      </c>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62">
        <v>715088034.64999998</v>
      </c>
      <c r="R22" s="263" t="s">
        <v>44</v>
      </c>
      <c r="S22" s="263" t="s">
        <v>44</v>
      </c>
      <c r="T22" s="263">
        <v>8596121.9199999999</v>
      </c>
      <c r="U22" s="263">
        <v>173541499.80000001</v>
      </c>
      <c r="V22" s="263" t="s">
        <v>44</v>
      </c>
      <c r="W22" s="263" t="s">
        <v>44</v>
      </c>
      <c r="X22" s="263" t="s">
        <v>44</v>
      </c>
      <c r="Y22" s="263" t="s">
        <v>44</v>
      </c>
      <c r="Z22" s="263" t="s">
        <v>44</v>
      </c>
      <c r="AA22" s="263" t="s">
        <v>44</v>
      </c>
      <c r="AB22" s="263" t="s">
        <v>44</v>
      </c>
      <c r="AC22" s="263">
        <f>SUM(Q22:AB22)</f>
        <v>897225656.36999989</v>
      </c>
      <c r="AD22" s="259"/>
      <c r="AE22" s="224"/>
      <c r="AF22" s="224"/>
    </row>
    <row r="23" spans="1:41"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64">
        <v>713938735</v>
      </c>
      <c r="R23" s="265">
        <v>0</v>
      </c>
      <c r="S23" s="299">
        <f>709924390-Q23</f>
        <v>-4014345</v>
      </c>
      <c r="T23" s="265">
        <v>-403960</v>
      </c>
      <c r="U23" s="265">
        <f>717249824-Q23-R23-S23-T23</f>
        <v>7729394</v>
      </c>
      <c r="V23" s="265">
        <f>889606024-Q23-R23-S23-T23-U23</f>
        <v>172356200</v>
      </c>
      <c r="W23" s="265">
        <f>892413124-Q23-R23-S23-T23-U23-V23</f>
        <v>2807100</v>
      </c>
      <c r="X23" s="265" t="s">
        <v>44</v>
      </c>
      <c r="Y23" s="265" t="s">
        <v>44</v>
      </c>
      <c r="Z23" s="265" t="s">
        <v>44</v>
      </c>
      <c r="AA23" s="265" t="s">
        <v>44</v>
      </c>
      <c r="AB23" s="265" t="s">
        <v>44</v>
      </c>
      <c r="AC23" s="299">
        <f>SUM(Q23:AB23)</f>
        <v>892413124</v>
      </c>
      <c r="AD23" s="312">
        <f>(SUM(Q23:W23)/SUM(Q22:W22))</f>
        <v>0.9946362073622923</v>
      </c>
      <c r="AE23" s="224"/>
      <c r="AF23" s="224"/>
    </row>
    <row r="24" spans="1:41" ht="32.25" customHeight="1" x14ac:dyDescent="0.25">
      <c r="A24" s="188" t="s">
        <v>47</v>
      </c>
      <c r="B24" s="189"/>
      <c r="C24" s="264" t="s">
        <v>44</v>
      </c>
      <c r="D24" s="265">
        <f>2786667+5000000</f>
        <v>7786667</v>
      </c>
      <c r="E24" s="265">
        <v>17886215</v>
      </c>
      <c r="F24" s="265">
        <v>17886215</v>
      </c>
      <c r="G24" s="265">
        <f>151667+1266666-443333.1-438416.67</f>
        <v>536583.23</v>
      </c>
      <c r="H24" s="263" t="s">
        <v>44</v>
      </c>
      <c r="I24" s="263" t="s">
        <v>44</v>
      </c>
      <c r="J24" s="263" t="s">
        <v>44</v>
      </c>
      <c r="K24" s="263" t="s">
        <v>44</v>
      </c>
      <c r="L24" s="263" t="s">
        <v>44</v>
      </c>
      <c r="M24" s="263" t="s">
        <v>44</v>
      </c>
      <c r="N24" s="263" t="s">
        <v>44</v>
      </c>
      <c r="O24" s="265">
        <f t="shared" ref="O24:O25" si="0">SUM(C24:N24)</f>
        <v>44095680.229999997</v>
      </c>
      <c r="P24" s="261"/>
      <c r="Q24" s="266" t="s">
        <v>44</v>
      </c>
      <c r="R24" s="265">
        <v>36810955.159999996</v>
      </c>
      <c r="S24" s="263">
        <v>64414097.493333302</v>
      </c>
      <c r="T24" s="263">
        <v>63912228.743333302</v>
      </c>
      <c r="U24" s="263">
        <v>63147378.493333302</v>
      </c>
      <c r="V24" s="263">
        <v>84746314.493333295</v>
      </c>
      <c r="W24" s="265">
        <v>88022929.493333295</v>
      </c>
      <c r="X24" s="265">
        <v>88022930.493333295</v>
      </c>
      <c r="Y24" s="265">
        <v>88022930.493333295</v>
      </c>
      <c r="Z24" s="265">
        <v>88022930.493333295</v>
      </c>
      <c r="AA24" s="265">
        <v>88022930.493333295</v>
      </c>
      <c r="AB24" s="265">
        <v>144080030.18000001</v>
      </c>
      <c r="AC24" s="265">
        <f>SUM(R24:AB24)</f>
        <v>897225656.02999973</v>
      </c>
      <c r="AD24" s="259"/>
      <c r="AE24" s="224"/>
      <c r="AF24" s="224"/>
      <c r="AG24" s="225"/>
    </row>
    <row r="25" spans="1:41" ht="32.25" customHeight="1" thickBot="1" x14ac:dyDescent="0.3">
      <c r="A25" s="190" t="s">
        <v>48</v>
      </c>
      <c r="B25" s="273"/>
      <c r="C25" s="267">
        <v>19166</v>
      </c>
      <c r="D25" s="268">
        <f>19166771-C25</f>
        <v>19147605</v>
      </c>
      <c r="E25" s="268">
        <v>5883092</v>
      </c>
      <c r="F25" s="268">
        <v>0</v>
      </c>
      <c r="G25" s="268">
        <f>44095680-C25-D25-E25-F25</f>
        <v>19045817</v>
      </c>
      <c r="H25" s="268">
        <f>44095680-C25-D25-E25-F25-G25</f>
        <v>0</v>
      </c>
      <c r="I25" s="268" t="s">
        <v>44</v>
      </c>
      <c r="J25" s="268" t="s">
        <v>44</v>
      </c>
      <c r="K25" s="268" t="s">
        <v>44</v>
      </c>
      <c r="L25" s="268" t="s">
        <v>44</v>
      </c>
      <c r="M25" s="268" t="s">
        <v>44</v>
      </c>
      <c r="N25" s="268" t="s">
        <v>44</v>
      </c>
      <c r="O25" s="282">
        <f t="shared" si="0"/>
        <v>44095680</v>
      </c>
      <c r="P25" s="311">
        <f>(SUM(C25:H25)/SUM(C24:H24))</f>
        <v>0.99999999478406965</v>
      </c>
      <c r="Q25" s="310" t="s">
        <v>44</v>
      </c>
      <c r="R25" s="309">
        <v>33877073</v>
      </c>
      <c r="S25" s="309">
        <v>62529595</v>
      </c>
      <c r="T25" s="309">
        <v>62045190</v>
      </c>
      <c r="U25" s="309">
        <f>220497048-R25-S25-T25</f>
        <v>62045190</v>
      </c>
      <c r="V25" s="309">
        <f>290271632-R25-S25-T25-U25</f>
        <v>69774584</v>
      </c>
      <c r="W25" s="309">
        <f>352316822-R25-S25-T25-U25-V25</f>
        <v>62045190</v>
      </c>
      <c r="X25" s="309" t="s">
        <v>44</v>
      </c>
      <c r="Y25" s="309" t="s">
        <v>44</v>
      </c>
      <c r="Z25" s="309" t="s">
        <v>44</v>
      </c>
      <c r="AA25" s="309" t="s">
        <v>44</v>
      </c>
      <c r="AB25" s="309" t="s">
        <v>44</v>
      </c>
      <c r="AC25" s="309">
        <f>SUM(Q25:AB25)</f>
        <v>352316822</v>
      </c>
      <c r="AD25" s="311">
        <f>(SUM(Q25:W25)/SUM(Q24:W24))</f>
        <v>0.87847747795105791</v>
      </c>
      <c r="AE25" s="224"/>
      <c r="AF25" s="224"/>
      <c r="AG25" s="225"/>
    </row>
    <row r="26" spans="1:41" ht="32.25" customHeight="1" thickBot="1" x14ac:dyDescent="0.3">
      <c r="A26" s="59"/>
      <c r="B26" s="54"/>
      <c r="C26" s="80"/>
      <c r="D26" s="294"/>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41" ht="15" customHeight="1"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41" ht="27" customHeight="1"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41" ht="68.25" customHeight="1" thickBot="1" x14ac:dyDescent="0.3">
      <c r="A30" s="219" t="str">
        <f>C17</f>
        <v>Elaborar e implementar 3 lineamientos con enfoques de derechos de las mujeres, de género y diferencial</v>
      </c>
      <c r="B30" s="425">
        <v>7.0000000000000007E-2</v>
      </c>
      <c r="C30" s="426"/>
      <c r="D30" s="89"/>
      <c r="E30" s="89"/>
      <c r="F30" s="288">
        <v>7.0000000000000007E-2</v>
      </c>
      <c r="G30" s="89"/>
      <c r="H30" s="89"/>
      <c r="I30" s="89"/>
      <c r="J30" s="89"/>
      <c r="K30" s="89"/>
      <c r="L30" s="89"/>
      <c r="M30" s="89"/>
      <c r="N30" s="89"/>
      <c r="O30" s="89"/>
      <c r="P30" s="86">
        <f>SUM(D30:O30)</f>
        <v>7.0000000000000007E-2</v>
      </c>
      <c r="Q30" s="427" t="s">
        <v>54</v>
      </c>
      <c r="R30" s="427"/>
      <c r="S30" s="427"/>
      <c r="T30" s="427"/>
      <c r="U30" s="427"/>
      <c r="V30" s="427"/>
      <c r="W30" s="427"/>
      <c r="X30" s="427"/>
      <c r="Y30" s="427"/>
      <c r="Z30" s="427"/>
      <c r="AA30" s="427"/>
      <c r="AB30" s="427"/>
      <c r="AC30" s="427"/>
      <c r="AD30" s="428"/>
    </row>
    <row r="31" spans="1:41" ht="45" customHeight="1"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41" ht="23.25" customHeight="1"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c r="AG32" s="226"/>
      <c r="AH32" s="226"/>
      <c r="AI32" s="226"/>
      <c r="AJ32" s="226"/>
      <c r="AK32" s="226"/>
      <c r="AL32" s="226"/>
      <c r="AM32" s="226"/>
      <c r="AN32" s="226"/>
      <c r="AO32" s="226"/>
    </row>
    <row r="33" spans="1:1008 1025:2032 2049:3056 3073:4080 4097:5104 5121:6128 6145:7152 7169:8176 8193:9200 9217:10224 10241:11248 11265:12272 12289:13296 13313:14320 14337:15344 15361:16368" ht="23.25" customHeight="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c r="AG33" s="226"/>
      <c r="AH33" s="226"/>
      <c r="AI33" s="226"/>
      <c r="AJ33" s="226"/>
      <c r="AK33" s="226"/>
      <c r="AL33" s="226"/>
      <c r="AM33" s="226"/>
      <c r="AN33" s="226"/>
      <c r="AO33" s="226"/>
    </row>
    <row r="34" spans="1:1008 1025:2032 2049:3056 3073:4080 4097:5104 5121:6128 6145:7152 7169:8176 8193:9200 9217:10224 10241:11248 11265:12272 12289:13296 13313:14320 14337:15344 15361:16368" ht="171.75" customHeight="1" x14ac:dyDescent="0.25">
      <c r="A34" s="444" t="str">
        <f>C17</f>
        <v>Elaborar e implementar 3 lineamientos con enfoques de derechos de las mujeres, de género y diferencial</v>
      </c>
      <c r="B34" s="446">
        <f>SUM(B38+B40+B42+B44+B46+B48+B50)</f>
        <v>0.18</v>
      </c>
      <c r="C34" s="90" t="s">
        <v>63</v>
      </c>
      <c r="D34" s="214">
        <f>D75</f>
        <v>1.1458333333333339E-2</v>
      </c>
      <c r="E34" s="214">
        <f t="shared" ref="E34:O34" si="1">E75</f>
        <v>4.1250000000000009E-2</v>
      </c>
      <c r="F34" s="214">
        <f t="shared" si="1"/>
        <v>6.0347222222222226E-2</v>
      </c>
      <c r="G34" s="214">
        <f t="shared" si="1"/>
        <v>6.0347222222222226E-2</v>
      </c>
      <c r="H34" s="214">
        <f t="shared" si="1"/>
        <v>6.0347222222222226E-2</v>
      </c>
      <c r="I34" s="214">
        <f t="shared" si="1"/>
        <v>4.8125000000000001E-2</v>
      </c>
      <c r="J34" s="214">
        <f t="shared" si="1"/>
        <v>4.4305555555555556E-2</v>
      </c>
      <c r="K34" s="214">
        <f t="shared" si="1"/>
        <v>4.0486111111111112E-2</v>
      </c>
      <c r="L34" s="214">
        <f t="shared" si="1"/>
        <v>2.7500000000000004E-2</v>
      </c>
      <c r="M34" s="214">
        <f t="shared" si="1"/>
        <v>2.7500000000000004E-2</v>
      </c>
      <c r="N34" s="214">
        <f t="shared" si="1"/>
        <v>4.5833333333333337E-2</v>
      </c>
      <c r="O34" s="214">
        <f t="shared" si="1"/>
        <v>8.249999999999999E-2</v>
      </c>
      <c r="P34" s="215">
        <f>SUM(D34:O34)</f>
        <v>0.55000000000000004</v>
      </c>
      <c r="Q34" s="448" t="s">
        <v>64</v>
      </c>
      <c r="R34" s="449"/>
      <c r="S34" s="449"/>
      <c r="T34" s="449"/>
      <c r="U34" s="449"/>
      <c r="V34" s="450"/>
      <c r="W34" s="454" t="s">
        <v>65</v>
      </c>
      <c r="X34" s="455"/>
      <c r="Y34" s="455"/>
      <c r="Z34" s="456"/>
      <c r="AA34" s="448" t="s">
        <v>66</v>
      </c>
      <c r="AB34" s="449"/>
      <c r="AC34" s="449"/>
      <c r="AD34" s="460"/>
      <c r="AG34" s="226"/>
      <c r="AH34" s="226"/>
      <c r="AI34" s="226"/>
      <c r="AJ34" s="226"/>
      <c r="AK34" s="226"/>
      <c r="AL34" s="226"/>
      <c r="AM34" s="226"/>
      <c r="AN34" s="226"/>
      <c r="AO34" s="226"/>
    </row>
    <row r="35" spans="1:1008 1025:2032 2049:3056 3073:4080 4097:5104 5121:6128 6145:7152 7169:8176 8193:9200 9217:10224 10241:11248 11265:12272 12289:13296 13313:14320 14337:15344 15361:16368" ht="171.75" customHeight="1" thickBot="1" x14ac:dyDescent="0.3">
      <c r="A35" s="445"/>
      <c r="B35" s="447"/>
      <c r="C35" s="91" t="s">
        <v>67</v>
      </c>
      <c r="D35" s="218">
        <f>D72</f>
        <v>1.1458333333333339E-2</v>
      </c>
      <c r="E35" s="218">
        <f t="shared" ref="E35:O35" si="2">E72</f>
        <v>4.1250000000000009E-2</v>
      </c>
      <c r="F35" s="218">
        <f t="shared" si="2"/>
        <v>6.0347222222222226E-2</v>
      </c>
      <c r="G35" s="218">
        <f t="shared" si="2"/>
        <v>6.0347222222222226E-2</v>
      </c>
      <c r="H35" s="218">
        <v>0.06</v>
      </c>
      <c r="I35" s="218">
        <v>0.03</v>
      </c>
      <c r="J35" s="218">
        <f t="shared" si="2"/>
        <v>4.4305555555555556E-2</v>
      </c>
      <c r="K35" s="218">
        <f t="shared" si="2"/>
        <v>0</v>
      </c>
      <c r="L35" s="218">
        <f t="shared" si="2"/>
        <v>0</v>
      </c>
      <c r="M35" s="218">
        <f t="shared" si="2"/>
        <v>0</v>
      </c>
      <c r="N35" s="218">
        <f t="shared" si="2"/>
        <v>0</v>
      </c>
      <c r="O35" s="218">
        <f t="shared" si="2"/>
        <v>0</v>
      </c>
      <c r="P35" s="321">
        <f>SUM(D35:O35)</f>
        <v>0.30770833333333331</v>
      </c>
      <c r="Q35" s="451"/>
      <c r="R35" s="452"/>
      <c r="S35" s="452"/>
      <c r="T35" s="452"/>
      <c r="U35" s="452"/>
      <c r="V35" s="453"/>
      <c r="W35" s="457"/>
      <c r="X35" s="458"/>
      <c r="Y35" s="458"/>
      <c r="Z35" s="459"/>
      <c r="AA35" s="451"/>
      <c r="AB35" s="452"/>
      <c r="AC35" s="452"/>
      <c r="AD35" s="461"/>
      <c r="AE35" s="227"/>
      <c r="AG35" s="226"/>
      <c r="AH35" s="226"/>
      <c r="AI35" s="226"/>
      <c r="AJ35" s="226"/>
      <c r="AK35" s="226"/>
      <c r="AL35" s="226"/>
      <c r="AM35" s="226"/>
      <c r="AN35" s="226"/>
      <c r="AO35" s="226"/>
    </row>
    <row r="36" spans="1:1008 1025:2032 2049:3056 3073:4080 4097:5104 5121:6128 6145:7152 7169:8176 8193:9200 9217:10224 10241:11248 11265:12272 12289:13296 13313:14320 14337:15344 15361:16368" ht="26.25" customHeight="1" x14ac:dyDescent="0.25">
      <c r="A36" s="436" t="s">
        <v>68</v>
      </c>
      <c r="B36" s="437" t="s">
        <v>69</v>
      </c>
      <c r="C36" s="439" t="s">
        <v>70</v>
      </c>
      <c r="D36" s="439"/>
      <c r="E36" s="439"/>
      <c r="F36" s="439"/>
      <c r="G36" s="439"/>
      <c r="H36" s="439"/>
      <c r="I36" s="439"/>
      <c r="J36" s="439"/>
      <c r="K36" s="439"/>
      <c r="L36" s="439"/>
      <c r="M36" s="439"/>
      <c r="N36" s="439"/>
      <c r="O36" s="439"/>
      <c r="P36" s="439"/>
      <c r="Q36" s="440" t="s">
        <v>71</v>
      </c>
      <c r="R36" s="441"/>
      <c r="S36" s="441"/>
      <c r="T36" s="441"/>
      <c r="U36" s="441"/>
      <c r="V36" s="441"/>
      <c r="W36" s="441"/>
      <c r="X36" s="441"/>
      <c r="Y36" s="441"/>
      <c r="Z36" s="441"/>
      <c r="AA36" s="441"/>
      <c r="AB36" s="441"/>
      <c r="AC36" s="441"/>
      <c r="AD36" s="442"/>
      <c r="AG36" s="226"/>
      <c r="AH36" s="226"/>
      <c r="AI36" s="226"/>
      <c r="AJ36" s="226"/>
      <c r="AK36" s="226"/>
      <c r="AL36" s="226"/>
      <c r="AM36" s="226"/>
      <c r="AN36" s="226"/>
      <c r="AO36" s="226"/>
    </row>
    <row r="37" spans="1:1008 1025:2032 2049:3056 3073:4080 4097:5104 5121:6128 6145:7152 7169:8176 8193:9200 9217:10224 10241:11248 11265:12272 12289:13296 13313:14320 14337:15344 15361:16368" ht="35.25" customHeight="1" thickBot="1" x14ac:dyDescent="0.3">
      <c r="A37" s="432"/>
      <c r="B37" s="438"/>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94" t="s">
        <v>86</v>
      </c>
      <c r="R37" s="395"/>
      <c r="S37" s="395"/>
      <c r="T37" s="395"/>
      <c r="U37" s="395"/>
      <c r="V37" s="395"/>
      <c r="W37" s="395"/>
      <c r="X37" s="395"/>
      <c r="Y37" s="395"/>
      <c r="Z37" s="395"/>
      <c r="AA37" s="395"/>
      <c r="AB37" s="395"/>
      <c r="AC37" s="395"/>
      <c r="AD37" s="443"/>
      <c r="AG37" s="228"/>
      <c r="AH37" s="228"/>
      <c r="AI37" s="228"/>
      <c r="AJ37" s="228"/>
      <c r="AK37" s="228"/>
      <c r="AL37" s="228"/>
      <c r="AM37" s="228"/>
      <c r="AN37" s="228"/>
      <c r="AO37" s="228"/>
    </row>
    <row r="38" spans="1:1008 1025:2032 2049:3056 3073:4080 4097:5104 5121:6128 6145:7152 7169:8176 8193:9200 9217:10224 10241:11248 11265:12272 12289:13296 13313:14320 14337:15344 15361:16368" ht="72" customHeight="1" x14ac:dyDescent="0.25">
      <c r="A38" s="471" t="s">
        <v>87</v>
      </c>
      <c r="B38" s="472">
        <v>0.05</v>
      </c>
      <c r="C38" s="90" t="s">
        <v>63</v>
      </c>
      <c r="D38" s="95">
        <v>0.05</v>
      </c>
      <c r="E38" s="95">
        <v>0.05</v>
      </c>
      <c r="F38" s="95">
        <v>0.09</v>
      </c>
      <c r="G38" s="95">
        <v>0.09</v>
      </c>
      <c r="H38" s="95">
        <v>0.09</v>
      </c>
      <c r="I38" s="95">
        <v>0.09</v>
      </c>
      <c r="J38" s="95">
        <v>0.09</v>
      </c>
      <c r="K38" s="95">
        <v>0.09</v>
      </c>
      <c r="L38" s="95">
        <v>0.09</v>
      </c>
      <c r="M38" s="95">
        <v>0.09</v>
      </c>
      <c r="N38" s="95">
        <v>0.09</v>
      </c>
      <c r="O38" s="95">
        <v>0.09</v>
      </c>
      <c r="P38" s="96">
        <f>SUM(D38:O38)</f>
        <v>0.99999999999999978</v>
      </c>
      <c r="Q38" s="474" t="s">
        <v>88</v>
      </c>
      <c r="R38" s="475"/>
      <c r="S38" s="475"/>
      <c r="T38" s="475"/>
      <c r="U38" s="475"/>
      <c r="V38" s="475"/>
      <c r="W38" s="475"/>
      <c r="X38" s="475"/>
      <c r="Y38" s="475"/>
      <c r="Z38" s="475"/>
      <c r="AA38" s="475"/>
      <c r="AB38" s="475"/>
      <c r="AC38" s="475"/>
      <c r="AD38" s="476"/>
      <c r="AE38" s="97"/>
      <c r="AG38" s="229"/>
      <c r="AH38" s="229"/>
      <c r="AI38" s="229"/>
      <c r="AJ38" s="229"/>
      <c r="AK38" s="229"/>
      <c r="AL38" s="229"/>
      <c r="AM38" s="229"/>
      <c r="AN38" s="229"/>
      <c r="AO38" s="229"/>
    </row>
    <row r="39" spans="1:1008 1025:2032 2049:3056 3073:4080 4097:5104 5121:6128 6145:7152 7169:8176 8193:9200 9217:10224 10241:11248 11265:12272 12289:13296 13313:14320 14337:15344 15361:16368" ht="72" customHeight="1" x14ac:dyDescent="0.25">
      <c r="A39" s="468"/>
      <c r="B39" s="473"/>
      <c r="C39" s="99" t="s">
        <v>67</v>
      </c>
      <c r="D39" s="100">
        <v>0.05</v>
      </c>
      <c r="E39" s="100">
        <v>0.05</v>
      </c>
      <c r="F39" s="100">
        <v>0.09</v>
      </c>
      <c r="G39" s="100">
        <v>0.09</v>
      </c>
      <c r="H39" s="100">
        <v>0.09</v>
      </c>
      <c r="I39" s="100">
        <v>0.09</v>
      </c>
      <c r="J39" s="100">
        <v>0.09</v>
      </c>
      <c r="K39" s="100"/>
      <c r="L39" s="100"/>
      <c r="M39" s="100"/>
      <c r="N39" s="100"/>
      <c r="O39" s="100"/>
      <c r="P39" s="101">
        <f>SUM(D39:O39)</f>
        <v>0.54999999999999993</v>
      </c>
      <c r="Q39" s="477"/>
      <c r="R39" s="478"/>
      <c r="S39" s="478"/>
      <c r="T39" s="478"/>
      <c r="U39" s="478"/>
      <c r="V39" s="478"/>
      <c r="W39" s="478"/>
      <c r="X39" s="478"/>
      <c r="Y39" s="478"/>
      <c r="Z39" s="478"/>
      <c r="AA39" s="478"/>
      <c r="AB39" s="478"/>
      <c r="AC39" s="478"/>
      <c r="AD39" s="479"/>
      <c r="AE39" s="97"/>
    </row>
    <row r="40" spans="1:1008 1025:2032 2049:3056 3073:4080 4097:5104 5121:6128 6145:7152 7169:8176 8193:9200 9217:10224 10241:11248 11265:12272 12289:13296 13313:14320 14337:15344 15361:16368" ht="72.75" customHeight="1" x14ac:dyDescent="0.25">
      <c r="A40" s="468" t="s">
        <v>89</v>
      </c>
      <c r="B40" s="469">
        <v>2.5000000000000001E-2</v>
      </c>
      <c r="C40" s="102" t="s">
        <v>63</v>
      </c>
      <c r="D40" s="103">
        <v>0</v>
      </c>
      <c r="E40" s="103">
        <v>0.05</v>
      </c>
      <c r="F40" s="103">
        <v>0.05</v>
      </c>
      <c r="G40" s="103">
        <v>0.1</v>
      </c>
      <c r="H40" s="103">
        <v>0.1</v>
      </c>
      <c r="I40" s="103">
        <v>0.1</v>
      </c>
      <c r="J40" s="103">
        <v>0.1</v>
      </c>
      <c r="K40" s="103">
        <v>0.1</v>
      </c>
      <c r="L40" s="103">
        <v>0.1</v>
      </c>
      <c r="M40" s="103">
        <v>0.1</v>
      </c>
      <c r="N40" s="103">
        <v>0.1</v>
      </c>
      <c r="O40" s="103">
        <v>0.1</v>
      </c>
      <c r="P40" s="101">
        <f t="shared" ref="P40:P50" si="3">SUM(D40:O40)</f>
        <v>0.99999999999999989</v>
      </c>
      <c r="Q40" s="480" t="s">
        <v>90</v>
      </c>
      <c r="R40" s="475"/>
      <c r="S40" s="475"/>
      <c r="T40" s="475"/>
      <c r="U40" s="475"/>
      <c r="V40" s="475"/>
      <c r="W40" s="475"/>
      <c r="X40" s="475"/>
      <c r="Y40" s="475"/>
      <c r="Z40" s="475"/>
      <c r="AA40" s="475"/>
      <c r="AB40" s="475"/>
      <c r="AC40" s="475"/>
      <c r="AD40" s="476"/>
      <c r="AE40" s="97"/>
    </row>
    <row r="41" spans="1:1008 1025:2032 2049:3056 3073:4080 4097:5104 5121:6128 6145:7152 7169:8176 8193:9200 9217:10224 10241:11248 11265:12272 12289:13296 13313:14320 14337:15344 15361:16368" ht="72.75" customHeight="1" x14ac:dyDescent="0.25">
      <c r="A41" s="468"/>
      <c r="B41" s="469"/>
      <c r="C41" s="99" t="s">
        <v>67</v>
      </c>
      <c r="D41" s="100">
        <v>0</v>
      </c>
      <c r="E41" s="100">
        <v>0.05</v>
      </c>
      <c r="F41" s="100">
        <v>0.05</v>
      </c>
      <c r="G41" s="100">
        <v>0.1</v>
      </c>
      <c r="H41" s="100">
        <v>0.1</v>
      </c>
      <c r="I41" s="100">
        <v>0.1</v>
      </c>
      <c r="J41" s="100">
        <v>0.1</v>
      </c>
      <c r="K41" s="100"/>
      <c r="L41" s="104"/>
      <c r="M41" s="104"/>
      <c r="N41" s="104"/>
      <c r="O41" s="104"/>
      <c r="P41" s="101">
        <f t="shared" si="3"/>
        <v>0.5</v>
      </c>
      <c r="Q41" s="477"/>
      <c r="R41" s="478"/>
      <c r="S41" s="478"/>
      <c r="T41" s="478"/>
      <c r="U41" s="478"/>
      <c r="V41" s="478"/>
      <c r="W41" s="478"/>
      <c r="X41" s="478"/>
      <c r="Y41" s="478"/>
      <c r="Z41" s="478"/>
      <c r="AA41" s="478"/>
      <c r="AB41" s="478"/>
      <c r="AC41" s="478"/>
      <c r="AD41" s="479"/>
      <c r="AE41" s="97"/>
    </row>
    <row r="42" spans="1:1008 1025:2032 2049:3056 3073:4080 4097:5104 5121:6128 6145:7152 7169:8176 8193:9200 9217:10224 10241:11248 11265:12272 12289:13296 13313:14320 14337:15344 15361:16368" ht="75.75" customHeight="1" x14ac:dyDescent="0.25">
      <c r="A42" s="468" t="s">
        <v>91</v>
      </c>
      <c r="B42" s="469">
        <v>2.5000000000000001E-2</v>
      </c>
      <c r="C42" s="102" t="s">
        <v>63</v>
      </c>
      <c r="D42" s="103">
        <v>0.05</v>
      </c>
      <c r="E42" s="103">
        <v>0.15</v>
      </c>
      <c r="F42" s="103">
        <v>0.2</v>
      </c>
      <c r="G42" s="317">
        <v>0.15</v>
      </c>
      <c r="H42" s="317">
        <v>0.15</v>
      </c>
      <c r="I42" s="317">
        <v>0.15</v>
      </c>
      <c r="J42" s="317">
        <v>0.1</v>
      </c>
      <c r="K42" s="103">
        <v>0.05</v>
      </c>
      <c r="L42" s="103">
        <v>0</v>
      </c>
      <c r="M42" s="103">
        <v>0</v>
      </c>
      <c r="N42" s="103">
        <v>0</v>
      </c>
      <c r="O42" s="103">
        <v>0</v>
      </c>
      <c r="P42" s="101">
        <f t="shared" si="3"/>
        <v>1</v>
      </c>
      <c r="Q42" s="474" t="s">
        <v>92</v>
      </c>
      <c r="R42" s="475"/>
      <c r="S42" s="475"/>
      <c r="T42" s="475"/>
      <c r="U42" s="475"/>
      <c r="V42" s="475"/>
      <c r="W42" s="475"/>
      <c r="X42" s="475"/>
      <c r="Y42" s="475"/>
      <c r="Z42" s="475"/>
      <c r="AA42" s="475"/>
      <c r="AB42" s="475"/>
      <c r="AC42" s="475"/>
      <c r="AD42" s="476"/>
      <c r="AE42" s="97"/>
    </row>
    <row r="43" spans="1:1008 1025:2032 2049:3056 3073:4080 4097:5104 5121:6128 6145:7152 7169:8176 8193:9200 9217:10224 10241:11248 11265:12272 12289:13296 13313:14320 14337:15344 15361:16368" ht="75.75" customHeight="1" x14ac:dyDescent="0.25">
      <c r="A43" s="468"/>
      <c r="B43" s="469"/>
      <c r="C43" s="99" t="s">
        <v>67</v>
      </c>
      <c r="D43" s="100">
        <v>0.05</v>
      </c>
      <c r="E43" s="100">
        <v>0.15</v>
      </c>
      <c r="F43" s="100">
        <v>0.2</v>
      </c>
      <c r="G43" s="100">
        <v>0.15</v>
      </c>
      <c r="H43" s="100">
        <v>0.15</v>
      </c>
      <c r="I43" s="100">
        <v>0.15</v>
      </c>
      <c r="J43" s="100">
        <v>0.1</v>
      </c>
      <c r="K43" s="100"/>
      <c r="L43" s="104"/>
      <c r="M43" s="104"/>
      <c r="N43" s="104"/>
      <c r="O43" s="104"/>
      <c r="P43" s="101">
        <f t="shared" si="3"/>
        <v>0.95000000000000007</v>
      </c>
      <c r="Q43" s="481"/>
      <c r="R43" s="482"/>
      <c r="S43" s="482"/>
      <c r="T43" s="482"/>
      <c r="U43" s="482"/>
      <c r="V43" s="482"/>
      <c r="W43" s="482"/>
      <c r="X43" s="482"/>
      <c r="Y43" s="482"/>
      <c r="Z43" s="482"/>
      <c r="AA43" s="482"/>
      <c r="AB43" s="482"/>
      <c r="AC43" s="482"/>
      <c r="AD43" s="483"/>
      <c r="AE43" s="97"/>
    </row>
    <row r="44" spans="1:1008 1025:2032 2049:3056 3073:4080 4097:5104 5121:6128 6145:7152 7169:8176 8193:9200 9217:10224 10241:11248 11265:12272 12289:13296 13313:14320 14337:15344 15361:16368" ht="119.25" customHeight="1" x14ac:dyDescent="0.25">
      <c r="A44" s="468" t="s">
        <v>93</v>
      </c>
      <c r="B44" s="469">
        <v>0.02</v>
      </c>
      <c r="C44" s="102" t="s">
        <v>63</v>
      </c>
      <c r="D44" s="103">
        <v>0</v>
      </c>
      <c r="E44" s="103">
        <v>0.1</v>
      </c>
      <c r="F44" s="103">
        <v>0.15</v>
      </c>
      <c r="G44" s="103">
        <v>0.15</v>
      </c>
      <c r="H44" s="103">
        <v>0.15</v>
      </c>
      <c r="I44" s="103">
        <v>0.15</v>
      </c>
      <c r="J44" s="103">
        <v>0.15</v>
      </c>
      <c r="K44" s="103">
        <v>0.15</v>
      </c>
      <c r="L44" s="103">
        <v>0</v>
      </c>
      <c r="M44" s="103">
        <v>0</v>
      </c>
      <c r="N44" s="103">
        <v>0</v>
      </c>
      <c r="O44" s="103">
        <v>0</v>
      </c>
      <c r="P44" s="101">
        <f t="shared" si="3"/>
        <v>1</v>
      </c>
      <c r="Q44" s="462" t="s">
        <v>94</v>
      </c>
      <c r="R44" s="463"/>
      <c r="S44" s="463"/>
      <c r="T44" s="463"/>
      <c r="U44" s="463"/>
      <c r="V44" s="463"/>
      <c r="W44" s="463"/>
      <c r="X44" s="463"/>
      <c r="Y44" s="463"/>
      <c r="Z44" s="463"/>
      <c r="AA44" s="463"/>
      <c r="AB44" s="463"/>
      <c r="AC44" s="463"/>
      <c r="AD44" s="464"/>
      <c r="AE44" s="97"/>
    </row>
    <row r="45" spans="1:1008 1025:2032 2049:3056 3073:4080 4097:5104 5121:6128 6145:7152 7169:8176 8193:9200 9217:10224 10241:11248 11265:12272 12289:13296 13313:14320 14337:15344 15361:16368" ht="119.25" customHeight="1" x14ac:dyDescent="0.25">
      <c r="A45" s="468"/>
      <c r="B45" s="469"/>
      <c r="C45" s="99" t="s">
        <v>67</v>
      </c>
      <c r="D45" s="100">
        <v>0</v>
      </c>
      <c r="E45" s="100">
        <v>0.1</v>
      </c>
      <c r="F45" s="100">
        <v>0.15</v>
      </c>
      <c r="G45" s="100">
        <v>0.15</v>
      </c>
      <c r="H45" s="100">
        <v>0.15</v>
      </c>
      <c r="I45" s="100">
        <v>0.15</v>
      </c>
      <c r="J45" s="100">
        <v>0.15</v>
      </c>
      <c r="K45" s="100"/>
      <c r="L45" s="104"/>
      <c r="M45" s="104"/>
      <c r="N45" s="104"/>
      <c r="O45" s="104"/>
      <c r="P45" s="101">
        <f t="shared" si="3"/>
        <v>0.85000000000000009</v>
      </c>
      <c r="Q45" s="465"/>
      <c r="R45" s="466"/>
      <c r="S45" s="466"/>
      <c r="T45" s="466"/>
      <c r="U45" s="466"/>
      <c r="V45" s="466"/>
      <c r="W45" s="466"/>
      <c r="X45" s="466"/>
      <c r="Y45" s="466"/>
      <c r="Z45" s="466"/>
      <c r="AA45" s="466"/>
      <c r="AB45" s="466"/>
      <c r="AC45" s="466"/>
      <c r="AD45" s="467"/>
      <c r="AE45" s="97"/>
    </row>
    <row r="46" spans="1:1008 1025:2032 2049:3056 3073:4080 4097:5104 5121:6128 6145:7152 7169:8176 8193:9200 9217:10224 10241:11248 11265:12272 12289:13296 13313:14320 14337:15344 15361:16368" ht="93" customHeight="1" x14ac:dyDescent="0.25">
      <c r="A46" s="468" t="s">
        <v>95</v>
      </c>
      <c r="B46" s="469">
        <v>0.02</v>
      </c>
      <c r="C46" s="102" t="s">
        <v>63</v>
      </c>
      <c r="D46" s="103">
        <v>0</v>
      </c>
      <c r="E46" s="103">
        <v>0.1</v>
      </c>
      <c r="F46" s="103">
        <v>0.15</v>
      </c>
      <c r="G46" s="103">
        <v>0.15</v>
      </c>
      <c r="H46" s="103">
        <v>0.15</v>
      </c>
      <c r="I46" s="326">
        <v>0.05</v>
      </c>
      <c r="J46" s="326">
        <v>0.05</v>
      </c>
      <c r="K46" s="326">
        <v>0.05</v>
      </c>
      <c r="L46" s="326">
        <v>0.05</v>
      </c>
      <c r="M46" s="326">
        <v>0.05</v>
      </c>
      <c r="N46" s="326">
        <v>0.05</v>
      </c>
      <c r="O46" s="326">
        <v>0.15</v>
      </c>
      <c r="P46" s="101">
        <f t="shared" si="3"/>
        <v>1.0000000000000002</v>
      </c>
      <c r="Q46" s="462" t="s">
        <v>96</v>
      </c>
      <c r="R46" s="463"/>
      <c r="S46" s="463"/>
      <c r="T46" s="463"/>
      <c r="U46" s="463"/>
      <c r="V46" s="463"/>
      <c r="W46" s="463"/>
      <c r="X46" s="463"/>
      <c r="Y46" s="463"/>
      <c r="Z46" s="463"/>
      <c r="AA46" s="463"/>
      <c r="AB46" s="463"/>
      <c r="AC46" s="463"/>
      <c r="AD46" s="464"/>
      <c r="AE46" s="97"/>
    </row>
    <row r="47" spans="1:1008 1025:2032 2049:3056 3073:4080 4097:5104 5121:6128 6145:7152 7169:8176 8193:9200 9217:10224 10241:11248 11265:12272 12289:13296 13313:14320 14337:15344 15361:16368" ht="93" customHeight="1" x14ac:dyDescent="0.25">
      <c r="A47" s="468"/>
      <c r="B47" s="469"/>
      <c r="C47" s="99" t="s">
        <v>67</v>
      </c>
      <c r="D47" s="100">
        <v>0</v>
      </c>
      <c r="E47" s="100">
        <v>0.1</v>
      </c>
      <c r="F47" s="100">
        <v>0.15</v>
      </c>
      <c r="G47" s="100">
        <v>0.15</v>
      </c>
      <c r="H47" s="100">
        <v>0.15</v>
      </c>
      <c r="I47" s="100">
        <v>0.05</v>
      </c>
      <c r="J47" s="100">
        <v>0.05</v>
      </c>
      <c r="K47" s="100"/>
      <c r="L47" s="104"/>
      <c r="M47" s="104"/>
      <c r="N47" s="104"/>
      <c r="O47" s="104"/>
      <c r="P47" s="101">
        <f t="shared" si="3"/>
        <v>0.65000000000000013</v>
      </c>
      <c r="Q47" s="465"/>
      <c r="R47" s="466"/>
      <c r="S47" s="466"/>
      <c r="T47" s="466"/>
      <c r="U47" s="466"/>
      <c r="V47" s="466"/>
      <c r="W47" s="466"/>
      <c r="X47" s="466"/>
      <c r="Y47" s="466"/>
      <c r="Z47" s="466"/>
      <c r="AA47" s="466"/>
      <c r="AB47" s="466"/>
      <c r="AC47" s="466"/>
      <c r="AD47" s="467"/>
      <c r="AE47" s="97"/>
    </row>
    <row r="48" spans="1:1008 1025:2032 2049:3056 3073:4080 4097:5104 5121:6128 6145:7152 7169:8176 8193:9200 9217:10224 10241:11248 11265:12272 12289:13296 13313:14320 14337:15344 15361:16368" ht="114.75" customHeight="1" x14ac:dyDescent="0.25">
      <c r="A48" s="468" t="s">
        <v>97</v>
      </c>
      <c r="B48" s="469">
        <v>0.02</v>
      </c>
      <c r="C48" s="102" t="s">
        <v>63</v>
      </c>
      <c r="D48" s="103">
        <v>0</v>
      </c>
      <c r="E48" s="103">
        <v>0.1</v>
      </c>
      <c r="F48" s="103">
        <v>0.15</v>
      </c>
      <c r="G48" s="103">
        <v>0.15</v>
      </c>
      <c r="H48" s="103">
        <v>0.15</v>
      </c>
      <c r="I48" s="326">
        <v>0.05</v>
      </c>
      <c r="J48" s="326">
        <v>0.05</v>
      </c>
      <c r="K48" s="326">
        <v>0.05</v>
      </c>
      <c r="L48" s="326">
        <v>0.05</v>
      </c>
      <c r="M48" s="326">
        <v>0.05</v>
      </c>
      <c r="N48" s="326">
        <v>0.05</v>
      </c>
      <c r="O48" s="326">
        <v>0.15</v>
      </c>
      <c r="P48" s="101">
        <f t="shared" si="3"/>
        <v>1.0000000000000002</v>
      </c>
      <c r="Q48" s="462" t="s">
        <v>98</v>
      </c>
      <c r="R48" s="463"/>
      <c r="S48" s="463"/>
      <c r="T48" s="463"/>
      <c r="U48" s="463"/>
      <c r="V48" s="463"/>
      <c r="W48" s="463"/>
      <c r="X48" s="463"/>
      <c r="Y48" s="463"/>
      <c r="Z48" s="463"/>
      <c r="AA48" s="463"/>
      <c r="AB48" s="463"/>
      <c r="AC48" s="463"/>
      <c r="AD48" s="464"/>
      <c r="AE48" s="97"/>
      <c r="AG48" s="108" t="s">
        <v>99</v>
      </c>
      <c r="AI48" s="108" t="s">
        <v>63</v>
      </c>
      <c r="AV48" s="108">
        <f t="shared" ref="AV48:AV49" si="4">SUM(AJ48:AU48)</f>
        <v>0</v>
      </c>
      <c r="BM48" s="108" t="s">
        <v>99</v>
      </c>
      <c r="BO48" s="108" t="s">
        <v>63</v>
      </c>
      <c r="CB48" s="108">
        <f t="shared" ref="CB48:CB49" si="5">SUM(BP48:CA48)</f>
        <v>0</v>
      </c>
      <c r="CS48" s="108" t="s">
        <v>99</v>
      </c>
      <c r="CU48" s="108" t="s">
        <v>63</v>
      </c>
      <c r="DH48" s="108">
        <f t="shared" ref="DH48:DH49" si="6">SUM(CV48:DG48)</f>
        <v>0</v>
      </c>
      <c r="DY48" s="108" t="s">
        <v>99</v>
      </c>
      <c r="EA48" s="108" t="s">
        <v>63</v>
      </c>
      <c r="EN48" s="108">
        <f t="shared" ref="EN48:EN49" si="7">SUM(EB48:EM48)</f>
        <v>0</v>
      </c>
      <c r="FE48" s="108" t="s">
        <v>99</v>
      </c>
      <c r="FG48" s="108" t="s">
        <v>63</v>
      </c>
      <c r="FT48" s="108">
        <f t="shared" ref="FT48:FT49" si="8">SUM(FH48:FS48)</f>
        <v>0</v>
      </c>
      <c r="GK48" s="108" t="s">
        <v>99</v>
      </c>
      <c r="GM48" s="108" t="s">
        <v>63</v>
      </c>
      <c r="GZ48" s="108">
        <f t="shared" ref="GZ48:GZ49" si="9">SUM(GN48:GY48)</f>
        <v>0</v>
      </c>
      <c r="HQ48" s="108" t="s">
        <v>99</v>
      </c>
      <c r="HS48" s="108" t="s">
        <v>63</v>
      </c>
      <c r="IF48" s="108">
        <f t="shared" ref="IF48:IF49" si="10">SUM(HT48:IE48)</f>
        <v>0</v>
      </c>
      <c r="IW48" s="108" t="s">
        <v>99</v>
      </c>
      <c r="IY48" s="108" t="s">
        <v>63</v>
      </c>
      <c r="JL48" s="108">
        <f t="shared" ref="JL48:JL49" si="11">SUM(IZ48:JK48)</f>
        <v>0</v>
      </c>
      <c r="KC48" s="108" t="s">
        <v>99</v>
      </c>
      <c r="KE48" s="108" t="s">
        <v>63</v>
      </c>
      <c r="KR48" s="108">
        <f t="shared" ref="KR48:KR49" si="12">SUM(KF48:KQ48)</f>
        <v>0</v>
      </c>
      <c r="LI48" s="108" t="s">
        <v>99</v>
      </c>
      <c r="LK48" s="108" t="s">
        <v>63</v>
      </c>
      <c r="LX48" s="108">
        <f t="shared" ref="LX48:LX49" si="13">SUM(LL48:LW48)</f>
        <v>0</v>
      </c>
      <c r="MO48" s="108" t="s">
        <v>99</v>
      </c>
      <c r="MQ48" s="108" t="s">
        <v>63</v>
      </c>
      <c r="ND48" s="108">
        <f t="shared" ref="ND48:ND49" si="14">SUM(MR48:NC48)</f>
        <v>0</v>
      </c>
      <c r="NU48" s="108" t="s">
        <v>99</v>
      </c>
      <c r="NW48" s="108" t="s">
        <v>63</v>
      </c>
      <c r="OJ48" s="108">
        <f t="shared" ref="OJ48:OJ49" si="15">SUM(NX48:OI48)</f>
        <v>0</v>
      </c>
      <c r="PA48" s="108" t="s">
        <v>99</v>
      </c>
      <c r="PC48" s="108" t="s">
        <v>63</v>
      </c>
      <c r="PP48" s="108">
        <f t="shared" ref="PP48:PP49" si="16">SUM(PD48:PO48)</f>
        <v>0</v>
      </c>
      <c r="QG48" s="108" t="s">
        <v>99</v>
      </c>
      <c r="QI48" s="108" t="s">
        <v>63</v>
      </c>
      <c r="QV48" s="108">
        <f t="shared" ref="QV48:QV49" si="17">SUM(QJ48:QU48)</f>
        <v>0</v>
      </c>
      <c r="RM48" s="108" t="s">
        <v>99</v>
      </c>
      <c r="RO48" s="108" t="s">
        <v>63</v>
      </c>
      <c r="SB48" s="108">
        <f t="shared" ref="SB48:SB49" si="18">SUM(RP48:SA48)</f>
        <v>0</v>
      </c>
      <c r="SS48" s="108" t="s">
        <v>99</v>
      </c>
      <c r="SU48" s="108" t="s">
        <v>63</v>
      </c>
      <c r="TH48" s="108">
        <f t="shared" ref="TH48:TH49" si="19">SUM(SV48:TG48)</f>
        <v>0</v>
      </c>
      <c r="TY48" s="108" t="s">
        <v>99</v>
      </c>
      <c r="UA48" s="108" t="s">
        <v>63</v>
      </c>
      <c r="UN48" s="108">
        <f t="shared" ref="UN48:UN49" si="20">SUM(UB48:UM48)</f>
        <v>0</v>
      </c>
      <c r="VE48" s="108" t="s">
        <v>99</v>
      </c>
      <c r="VG48" s="108" t="s">
        <v>63</v>
      </c>
      <c r="VT48" s="108">
        <f t="shared" ref="VT48:VT49" si="21">SUM(VH48:VS48)</f>
        <v>0</v>
      </c>
      <c r="WK48" s="108" t="s">
        <v>99</v>
      </c>
      <c r="WM48" s="108" t="s">
        <v>63</v>
      </c>
      <c r="WZ48" s="108">
        <f t="shared" ref="WZ48:WZ49" si="22">SUM(WN48:WY48)</f>
        <v>0</v>
      </c>
      <c r="XQ48" s="108" t="s">
        <v>99</v>
      </c>
      <c r="XS48" s="108" t="s">
        <v>63</v>
      </c>
      <c r="YF48" s="108">
        <f t="shared" ref="YF48:YF49" si="23">SUM(XT48:YE48)</f>
        <v>0</v>
      </c>
      <c r="YW48" s="108" t="s">
        <v>99</v>
      </c>
      <c r="YY48" s="108" t="s">
        <v>63</v>
      </c>
      <c r="ZL48" s="108">
        <f t="shared" ref="ZL48:ZL49" si="24">SUM(YZ48:ZK48)</f>
        <v>0</v>
      </c>
      <c r="AAC48" s="108" t="s">
        <v>99</v>
      </c>
      <c r="AAE48" s="108" t="s">
        <v>63</v>
      </c>
      <c r="AAR48" s="108">
        <f t="shared" ref="AAR48:AAR49" si="25">SUM(AAF48:AAQ48)</f>
        <v>0</v>
      </c>
      <c r="ABI48" s="108" t="s">
        <v>99</v>
      </c>
      <c r="ABK48" s="108" t="s">
        <v>63</v>
      </c>
      <c r="ABX48" s="108">
        <f t="shared" ref="ABX48:ABX49" si="26">SUM(ABL48:ABW48)</f>
        <v>0</v>
      </c>
      <c r="ACO48" s="108" t="s">
        <v>99</v>
      </c>
      <c r="ACQ48" s="108" t="s">
        <v>63</v>
      </c>
      <c r="ADD48" s="108">
        <f t="shared" ref="ADD48:ADD49" si="27">SUM(ACR48:ADC48)</f>
        <v>0</v>
      </c>
      <c r="ADU48" s="108" t="s">
        <v>99</v>
      </c>
      <c r="ADW48" s="108" t="s">
        <v>63</v>
      </c>
      <c r="AEJ48" s="108">
        <f t="shared" ref="AEJ48:AEJ49" si="28">SUM(ADX48:AEI48)</f>
        <v>0</v>
      </c>
      <c r="AFA48" s="108" t="s">
        <v>99</v>
      </c>
      <c r="AFC48" s="108" t="s">
        <v>63</v>
      </c>
      <c r="AFP48" s="108">
        <f t="shared" ref="AFP48:AFP49" si="29">SUM(AFD48:AFO48)</f>
        <v>0</v>
      </c>
      <c r="AGG48" s="108" t="s">
        <v>99</v>
      </c>
      <c r="AGI48" s="108" t="s">
        <v>63</v>
      </c>
      <c r="AGV48" s="108">
        <f t="shared" ref="AGV48:AGV49" si="30">SUM(AGJ48:AGU48)</f>
        <v>0</v>
      </c>
      <c r="AHM48" s="108" t="s">
        <v>99</v>
      </c>
      <c r="AHO48" s="108" t="s">
        <v>63</v>
      </c>
      <c r="AIB48" s="108">
        <f t="shared" ref="AIB48:AIB49" si="31">SUM(AHP48:AIA48)</f>
        <v>0</v>
      </c>
      <c r="AIS48" s="108" t="s">
        <v>99</v>
      </c>
      <c r="AIU48" s="108" t="s">
        <v>63</v>
      </c>
      <c r="AJH48" s="108">
        <f t="shared" ref="AJH48:AJH49" si="32">SUM(AIV48:AJG48)</f>
        <v>0</v>
      </c>
      <c r="AJY48" s="108" t="s">
        <v>99</v>
      </c>
      <c r="AKA48" s="108" t="s">
        <v>63</v>
      </c>
      <c r="AKN48" s="108">
        <f t="shared" ref="AKN48:AKN49" si="33">SUM(AKB48:AKM48)</f>
        <v>0</v>
      </c>
      <c r="ALE48" s="108" t="s">
        <v>99</v>
      </c>
      <c r="ALG48" s="108" t="s">
        <v>63</v>
      </c>
      <c r="ALT48" s="108">
        <f t="shared" ref="ALT48:ALT49" si="34">SUM(ALH48:ALS48)</f>
        <v>0</v>
      </c>
      <c r="AMK48" s="108" t="s">
        <v>99</v>
      </c>
      <c r="AMM48" s="108" t="s">
        <v>63</v>
      </c>
      <c r="AMZ48" s="108">
        <f t="shared" ref="AMZ48:AMZ49" si="35">SUM(AMN48:AMY48)</f>
        <v>0</v>
      </c>
      <c r="ANQ48" s="108" t="s">
        <v>99</v>
      </c>
      <c r="ANS48" s="108" t="s">
        <v>63</v>
      </c>
      <c r="AOF48" s="108">
        <f t="shared" ref="AOF48:AOF49" si="36">SUM(ANT48:AOE48)</f>
        <v>0</v>
      </c>
      <c r="AOW48" s="108" t="s">
        <v>99</v>
      </c>
      <c r="AOY48" s="108" t="s">
        <v>63</v>
      </c>
      <c r="APL48" s="108">
        <f t="shared" ref="APL48:APL49" si="37">SUM(AOZ48:APK48)</f>
        <v>0</v>
      </c>
      <c r="AQC48" s="108" t="s">
        <v>99</v>
      </c>
      <c r="AQE48" s="108" t="s">
        <v>63</v>
      </c>
      <c r="AQR48" s="108">
        <f t="shared" ref="AQR48:AQR49" si="38">SUM(AQF48:AQQ48)</f>
        <v>0</v>
      </c>
      <c r="ARI48" s="108" t="s">
        <v>99</v>
      </c>
      <c r="ARK48" s="108" t="s">
        <v>63</v>
      </c>
      <c r="ARX48" s="108">
        <f t="shared" ref="ARX48:ARX49" si="39">SUM(ARL48:ARW48)</f>
        <v>0</v>
      </c>
      <c r="ASO48" s="108" t="s">
        <v>99</v>
      </c>
      <c r="ASQ48" s="108" t="s">
        <v>63</v>
      </c>
      <c r="ATD48" s="108">
        <f t="shared" ref="ATD48:ATD49" si="40">SUM(ASR48:ATC48)</f>
        <v>0</v>
      </c>
      <c r="ATU48" s="108" t="s">
        <v>99</v>
      </c>
      <c r="ATW48" s="108" t="s">
        <v>63</v>
      </c>
      <c r="AUJ48" s="108">
        <f t="shared" ref="AUJ48:AUJ49" si="41">SUM(ATX48:AUI48)</f>
        <v>0</v>
      </c>
      <c r="AVA48" s="108" t="s">
        <v>99</v>
      </c>
      <c r="AVC48" s="108" t="s">
        <v>63</v>
      </c>
      <c r="AVP48" s="108">
        <f t="shared" ref="AVP48:AVP49" si="42">SUM(AVD48:AVO48)</f>
        <v>0</v>
      </c>
      <c r="AWG48" s="108" t="s">
        <v>99</v>
      </c>
      <c r="AWI48" s="108" t="s">
        <v>63</v>
      </c>
      <c r="AWV48" s="108">
        <f t="shared" ref="AWV48:AWV49" si="43">SUM(AWJ48:AWU48)</f>
        <v>0</v>
      </c>
      <c r="AXM48" s="108" t="s">
        <v>99</v>
      </c>
      <c r="AXO48" s="108" t="s">
        <v>63</v>
      </c>
      <c r="AYB48" s="108">
        <f t="shared" ref="AYB48:AYB49" si="44">SUM(AXP48:AYA48)</f>
        <v>0</v>
      </c>
      <c r="AYS48" s="108" t="s">
        <v>99</v>
      </c>
      <c r="AYU48" s="108" t="s">
        <v>63</v>
      </c>
      <c r="AZH48" s="108">
        <f t="shared" ref="AZH48:AZH49" si="45">SUM(AYV48:AZG48)</f>
        <v>0</v>
      </c>
      <c r="AZY48" s="108" t="s">
        <v>99</v>
      </c>
      <c r="BAA48" s="108" t="s">
        <v>63</v>
      </c>
      <c r="BAN48" s="108">
        <f t="shared" ref="BAN48:BAN49" si="46">SUM(BAB48:BAM48)</f>
        <v>0</v>
      </c>
      <c r="BBE48" s="108" t="s">
        <v>99</v>
      </c>
      <c r="BBG48" s="108" t="s">
        <v>63</v>
      </c>
      <c r="BBT48" s="108">
        <f t="shared" ref="BBT48:BBT49" si="47">SUM(BBH48:BBS48)</f>
        <v>0</v>
      </c>
      <c r="BCK48" s="108" t="s">
        <v>99</v>
      </c>
      <c r="BCM48" s="108" t="s">
        <v>63</v>
      </c>
      <c r="BCZ48" s="108">
        <f t="shared" ref="BCZ48:BCZ49" si="48">SUM(BCN48:BCY48)</f>
        <v>0</v>
      </c>
      <c r="BDQ48" s="108" t="s">
        <v>99</v>
      </c>
      <c r="BDS48" s="108" t="s">
        <v>63</v>
      </c>
      <c r="BEF48" s="108">
        <f t="shared" ref="BEF48:BEF49" si="49">SUM(BDT48:BEE48)</f>
        <v>0</v>
      </c>
      <c r="BEW48" s="108" t="s">
        <v>99</v>
      </c>
      <c r="BEY48" s="108" t="s">
        <v>63</v>
      </c>
      <c r="BFL48" s="108">
        <f t="shared" ref="BFL48:BFL49" si="50">SUM(BEZ48:BFK48)</f>
        <v>0</v>
      </c>
      <c r="BGC48" s="108" t="s">
        <v>99</v>
      </c>
      <c r="BGE48" s="108" t="s">
        <v>63</v>
      </c>
      <c r="BGR48" s="108">
        <f t="shared" ref="BGR48:BGR49" si="51">SUM(BGF48:BGQ48)</f>
        <v>0</v>
      </c>
      <c r="BHI48" s="108" t="s">
        <v>99</v>
      </c>
      <c r="BHK48" s="108" t="s">
        <v>63</v>
      </c>
      <c r="BHX48" s="108">
        <f t="shared" ref="BHX48:BHX49" si="52">SUM(BHL48:BHW48)</f>
        <v>0</v>
      </c>
      <c r="BIO48" s="108" t="s">
        <v>99</v>
      </c>
      <c r="BIQ48" s="108" t="s">
        <v>63</v>
      </c>
      <c r="BJD48" s="108">
        <f t="shared" ref="BJD48:BJD49" si="53">SUM(BIR48:BJC48)</f>
        <v>0</v>
      </c>
      <c r="BJU48" s="108" t="s">
        <v>99</v>
      </c>
      <c r="BJW48" s="108" t="s">
        <v>63</v>
      </c>
      <c r="BKJ48" s="108">
        <f t="shared" ref="BKJ48:BKJ49" si="54">SUM(BJX48:BKI48)</f>
        <v>0</v>
      </c>
      <c r="BLA48" s="108" t="s">
        <v>99</v>
      </c>
      <c r="BLC48" s="108" t="s">
        <v>63</v>
      </c>
      <c r="BLP48" s="108">
        <f t="shared" ref="BLP48:BLP49" si="55">SUM(BLD48:BLO48)</f>
        <v>0</v>
      </c>
      <c r="BMG48" s="108" t="s">
        <v>99</v>
      </c>
      <c r="BMI48" s="108" t="s">
        <v>63</v>
      </c>
      <c r="BMV48" s="108">
        <f t="shared" ref="BMV48:BMV49" si="56">SUM(BMJ48:BMU48)</f>
        <v>0</v>
      </c>
      <c r="BNM48" s="108" t="s">
        <v>99</v>
      </c>
      <c r="BNO48" s="108" t="s">
        <v>63</v>
      </c>
      <c r="BOB48" s="108">
        <f t="shared" ref="BOB48:BOB49" si="57">SUM(BNP48:BOA48)</f>
        <v>0</v>
      </c>
      <c r="BOS48" s="108" t="s">
        <v>99</v>
      </c>
      <c r="BOU48" s="108" t="s">
        <v>63</v>
      </c>
      <c r="BPH48" s="108">
        <f t="shared" ref="BPH48:BPH49" si="58">SUM(BOV48:BPG48)</f>
        <v>0</v>
      </c>
      <c r="BPY48" s="108" t="s">
        <v>99</v>
      </c>
      <c r="BQA48" s="108" t="s">
        <v>63</v>
      </c>
      <c r="BQN48" s="108">
        <f t="shared" ref="BQN48:BQN49" si="59">SUM(BQB48:BQM48)</f>
        <v>0</v>
      </c>
      <c r="BRE48" s="108" t="s">
        <v>99</v>
      </c>
      <c r="BRG48" s="108" t="s">
        <v>63</v>
      </c>
      <c r="BRT48" s="108">
        <f t="shared" ref="BRT48:BRT49" si="60">SUM(BRH48:BRS48)</f>
        <v>0</v>
      </c>
      <c r="BSK48" s="108" t="s">
        <v>99</v>
      </c>
      <c r="BSM48" s="108" t="s">
        <v>63</v>
      </c>
      <c r="BSZ48" s="108">
        <f t="shared" ref="BSZ48:BSZ49" si="61">SUM(BSN48:BSY48)</f>
        <v>0</v>
      </c>
      <c r="BTQ48" s="108" t="s">
        <v>99</v>
      </c>
      <c r="BTS48" s="108" t="s">
        <v>63</v>
      </c>
      <c r="BUF48" s="108">
        <f t="shared" ref="BUF48:BUF49" si="62">SUM(BTT48:BUE48)</f>
        <v>0</v>
      </c>
      <c r="BUW48" s="108" t="s">
        <v>99</v>
      </c>
      <c r="BUY48" s="108" t="s">
        <v>63</v>
      </c>
      <c r="BVL48" s="108">
        <f t="shared" ref="BVL48:BVL49" si="63">SUM(BUZ48:BVK48)</f>
        <v>0</v>
      </c>
      <c r="BWC48" s="108" t="s">
        <v>99</v>
      </c>
      <c r="BWE48" s="108" t="s">
        <v>63</v>
      </c>
      <c r="BWR48" s="108">
        <f t="shared" ref="BWR48:BWR49" si="64">SUM(BWF48:BWQ48)</f>
        <v>0</v>
      </c>
      <c r="BXI48" s="108" t="s">
        <v>99</v>
      </c>
      <c r="BXK48" s="108" t="s">
        <v>63</v>
      </c>
      <c r="BXX48" s="108">
        <f t="shared" ref="BXX48:BXX49" si="65">SUM(BXL48:BXW48)</f>
        <v>0</v>
      </c>
      <c r="BYO48" s="108" t="s">
        <v>99</v>
      </c>
      <c r="BYQ48" s="108" t="s">
        <v>63</v>
      </c>
      <c r="BZD48" s="108">
        <f t="shared" ref="BZD48:BZD49" si="66">SUM(BYR48:BZC48)</f>
        <v>0</v>
      </c>
      <c r="BZU48" s="108" t="s">
        <v>99</v>
      </c>
      <c r="BZW48" s="108" t="s">
        <v>63</v>
      </c>
      <c r="CAJ48" s="108">
        <f t="shared" ref="CAJ48:CAJ49" si="67">SUM(BZX48:CAI48)</f>
        <v>0</v>
      </c>
      <c r="CBA48" s="108" t="s">
        <v>99</v>
      </c>
      <c r="CBC48" s="108" t="s">
        <v>63</v>
      </c>
      <c r="CBP48" s="108">
        <f t="shared" ref="CBP48:CBP49" si="68">SUM(CBD48:CBO48)</f>
        <v>0</v>
      </c>
      <c r="CCG48" s="108" t="s">
        <v>99</v>
      </c>
      <c r="CCI48" s="108" t="s">
        <v>63</v>
      </c>
      <c r="CCV48" s="108">
        <f t="shared" ref="CCV48:CCV49" si="69">SUM(CCJ48:CCU48)</f>
        <v>0</v>
      </c>
      <c r="CDM48" s="108" t="s">
        <v>99</v>
      </c>
      <c r="CDO48" s="108" t="s">
        <v>63</v>
      </c>
      <c r="CEB48" s="108">
        <f t="shared" ref="CEB48:CEB49" si="70">SUM(CDP48:CEA48)</f>
        <v>0</v>
      </c>
      <c r="CES48" s="108" t="s">
        <v>99</v>
      </c>
      <c r="CEU48" s="108" t="s">
        <v>63</v>
      </c>
      <c r="CFH48" s="108">
        <f t="shared" ref="CFH48:CFH49" si="71">SUM(CEV48:CFG48)</f>
        <v>0</v>
      </c>
      <c r="CFY48" s="108" t="s">
        <v>99</v>
      </c>
      <c r="CGA48" s="108" t="s">
        <v>63</v>
      </c>
      <c r="CGN48" s="108">
        <f t="shared" ref="CGN48:CGN49" si="72">SUM(CGB48:CGM48)</f>
        <v>0</v>
      </c>
      <c r="CHE48" s="108" t="s">
        <v>99</v>
      </c>
      <c r="CHG48" s="108" t="s">
        <v>63</v>
      </c>
      <c r="CHT48" s="108">
        <f t="shared" ref="CHT48:CHT49" si="73">SUM(CHH48:CHS48)</f>
        <v>0</v>
      </c>
      <c r="CIK48" s="108" t="s">
        <v>99</v>
      </c>
      <c r="CIM48" s="108" t="s">
        <v>63</v>
      </c>
      <c r="CIZ48" s="108">
        <f t="shared" ref="CIZ48:CIZ49" si="74">SUM(CIN48:CIY48)</f>
        <v>0</v>
      </c>
      <c r="CJQ48" s="108" t="s">
        <v>99</v>
      </c>
      <c r="CJS48" s="108" t="s">
        <v>63</v>
      </c>
      <c r="CKF48" s="108">
        <f t="shared" ref="CKF48:CKF49" si="75">SUM(CJT48:CKE48)</f>
        <v>0</v>
      </c>
      <c r="CKW48" s="108" t="s">
        <v>99</v>
      </c>
      <c r="CKY48" s="108" t="s">
        <v>63</v>
      </c>
      <c r="CLL48" s="108">
        <f t="shared" ref="CLL48:CLL49" si="76">SUM(CKZ48:CLK48)</f>
        <v>0</v>
      </c>
      <c r="CMC48" s="108" t="s">
        <v>99</v>
      </c>
      <c r="CME48" s="108" t="s">
        <v>63</v>
      </c>
      <c r="CMR48" s="108">
        <f t="shared" ref="CMR48:CMR49" si="77">SUM(CMF48:CMQ48)</f>
        <v>0</v>
      </c>
      <c r="CNI48" s="108" t="s">
        <v>99</v>
      </c>
      <c r="CNK48" s="108" t="s">
        <v>63</v>
      </c>
      <c r="CNX48" s="108">
        <f t="shared" ref="CNX48:CNX49" si="78">SUM(CNL48:CNW48)</f>
        <v>0</v>
      </c>
      <c r="COO48" s="108" t="s">
        <v>99</v>
      </c>
      <c r="COQ48" s="108" t="s">
        <v>63</v>
      </c>
      <c r="CPD48" s="108">
        <f t="shared" ref="CPD48:CPD49" si="79">SUM(COR48:CPC48)</f>
        <v>0</v>
      </c>
      <c r="CPU48" s="108" t="s">
        <v>99</v>
      </c>
      <c r="CPW48" s="108" t="s">
        <v>63</v>
      </c>
      <c r="CQJ48" s="108">
        <f t="shared" ref="CQJ48:CQJ49" si="80">SUM(CPX48:CQI48)</f>
        <v>0</v>
      </c>
      <c r="CRA48" s="108" t="s">
        <v>99</v>
      </c>
      <c r="CRC48" s="108" t="s">
        <v>63</v>
      </c>
      <c r="CRP48" s="108">
        <f t="shared" ref="CRP48:CRP49" si="81">SUM(CRD48:CRO48)</f>
        <v>0</v>
      </c>
      <c r="CSG48" s="108" t="s">
        <v>99</v>
      </c>
      <c r="CSI48" s="108" t="s">
        <v>63</v>
      </c>
      <c r="CSV48" s="108">
        <f t="shared" ref="CSV48:CSV49" si="82">SUM(CSJ48:CSU48)</f>
        <v>0</v>
      </c>
      <c r="CTM48" s="108" t="s">
        <v>99</v>
      </c>
      <c r="CTO48" s="108" t="s">
        <v>63</v>
      </c>
      <c r="CUB48" s="108">
        <f t="shared" ref="CUB48:CUB49" si="83">SUM(CTP48:CUA48)</f>
        <v>0</v>
      </c>
      <c r="CUS48" s="108" t="s">
        <v>99</v>
      </c>
      <c r="CUU48" s="108" t="s">
        <v>63</v>
      </c>
      <c r="CVH48" s="108">
        <f t="shared" ref="CVH48:CVH49" si="84">SUM(CUV48:CVG48)</f>
        <v>0</v>
      </c>
      <c r="CVY48" s="108" t="s">
        <v>99</v>
      </c>
      <c r="CWA48" s="108" t="s">
        <v>63</v>
      </c>
      <c r="CWN48" s="108">
        <f t="shared" ref="CWN48:CWN49" si="85">SUM(CWB48:CWM48)</f>
        <v>0</v>
      </c>
      <c r="CXE48" s="108" t="s">
        <v>99</v>
      </c>
      <c r="CXG48" s="108" t="s">
        <v>63</v>
      </c>
      <c r="CXT48" s="108">
        <f t="shared" ref="CXT48:CXT49" si="86">SUM(CXH48:CXS48)</f>
        <v>0</v>
      </c>
      <c r="CYK48" s="108" t="s">
        <v>99</v>
      </c>
      <c r="CYM48" s="108" t="s">
        <v>63</v>
      </c>
      <c r="CYZ48" s="108">
        <f t="shared" ref="CYZ48:CYZ49" si="87">SUM(CYN48:CYY48)</f>
        <v>0</v>
      </c>
      <c r="CZQ48" s="108" t="s">
        <v>99</v>
      </c>
      <c r="CZS48" s="108" t="s">
        <v>63</v>
      </c>
      <c r="DAF48" s="108">
        <f t="shared" ref="DAF48:DAF49" si="88">SUM(CZT48:DAE48)</f>
        <v>0</v>
      </c>
      <c r="DAW48" s="108" t="s">
        <v>99</v>
      </c>
      <c r="DAY48" s="108" t="s">
        <v>63</v>
      </c>
      <c r="DBL48" s="108">
        <f t="shared" ref="DBL48:DBL49" si="89">SUM(DAZ48:DBK48)</f>
        <v>0</v>
      </c>
      <c r="DCC48" s="108" t="s">
        <v>99</v>
      </c>
      <c r="DCE48" s="108" t="s">
        <v>63</v>
      </c>
      <c r="DCR48" s="108">
        <f t="shared" ref="DCR48:DCR49" si="90">SUM(DCF48:DCQ48)</f>
        <v>0</v>
      </c>
      <c r="DDI48" s="108" t="s">
        <v>99</v>
      </c>
      <c r="DDK48" s="108" t="s">
        <v>63</v>
      </c>
      <c r="DDX48" s="108">
        <f t="shared" ref="DDX48:DDX49" si="91">SUM(DDL48:DDW48)</f>
        <v>0</v>
      </c>
      <c r="DEO48" s="108" t="s">
        <v>99</v>
      </c>
      <c r="DEQ48" s="108" t="s">
        <v>63</v>
      </c>
      <c r="DFD48" s="108">
        <f t="shared" ref="DFD48:DFD49" si="92">SUM(DER48:DFC48)</f>
        <v>0</v>
      </c>
      <c r="DFU48" s="108" t="s">
        <v>99</v>
      </c>
      <c r="DFW48" s="108" t="s">
        <v>63</v>
      </c>
      <c r="DGJ48" s="108">
        <f t="shared" ref="DGJ48:DGJ49" si="93">SUM(DFX48:DGI48)</f>
        <v>0</v>
      </c>
      <c r="DHA48" s="108" t="s">
        <v>99</v>
      </c>
      <c r="DHC48" s="108" t="s">
        <v>63</v>
      </c>
      <c r="DHP48" s="108">
        <f t="shared" ref="DHP48:DHP49" si="94">SUM(DHD48:DHO48)</f>
        <v>0</v>
      </c>
      <c r="DIG48" s="108" t="s">
        <v>99</v>
      </c>
      <c r="DII48" s="108" t="s">
        <v>63</v>
      </c>
      <c r="DIV48" s="108">
        <f t="shared" ref="DIV48:DIV49" si="95">SUM(DIJ48:DIU48)</f>
        <v>0</v>
      </c>
      <c r="DJM48" s="108" t="s">
        <v>99</v>
      </c>
      <c r="DJO48" s="108" t="s">
        <v>63</v>
      </c>
      <c r="DKB48" s="108">
        <f t="shared" ref="DKB48:DKB49" si="96">SUM(DJP48:DKA48)</f>
        <v>0</v>
      </c>
      <c r="DKS48" s="108" t="s">
        <v>99</v>
      </c>
      <c r="DKU48" s="108" t="s">
        <v>63</v>
      </c>
      <c r="DLH48" s="108">
        <f t="shared" ref="DLH48:DLH49" si="97">SUM(DKV48:DLG48)</f>
        <v>0</v>
      </c>
      <c r="DLY48" s="108" t="s">
        <v>99</v>
      </c>
      <c r="DMA48" s="108" t="s">
        <v>63</v>
      </c>
      <c r="DMN48" s="108">
        <f t="shared" ref="DMN48:DMN49" si="98">SUM(DMB48:DMM48)</f>
        <v>0</v>
      </c>
      <c r="DNE48" s="108" t="s">
        <v>99</v>
      </c>
      <c r="DNG48" s="108" t="s">
        <v>63</v>
      </c>
      <c r="DNT48" s="108">
        <f t="shared" ref="DNT48:DNT49" si="99">SUM(DNH48:DNS48)</f>
        <v>0</v>
      </c>
      <c r="DOK48" s="108" t="s">
        <v>99</v>
      </c>
      <c r="DOM48" s="108" t="s">
        <v>63</v>
      </c>
      <c r="DOZ48" s="108">
        <f t="shared" ref="DOZ48:DOZ49" si="100">SUM(DON48:DOY48)</f>
        <v>0</v>
      </c>
      <c r="DPQ48" s="108" t="s">
        <v>99</v>
      </c>
      <c r="DPS48" s="108" t="s">
        <v>63</v>
      </c>
      <c r="DQF48" s="108">
        <f t="shared" ref="DQF48:DQF49" si="101">SUM(DPT48:DQE48)</f>
        <v>0</v>
      </c>
      <c r="DQW48" s="108" t="s">
        <v>99</v>
      </c>
      <c r="DQY48" s="108" t="s">
        <v>63</v>
      </c>
      <c r="DRL48" s="108">
        <f t="shared" ref="DRL48:DRL49" si="102">SUM(DQZ48:DRK48)</f>
        <v>0</v>
      </c>
      <c r="DSC48" s="108" t="s">
        <v>99</v>
      </c>
      <c r="DSE48" s="108" t="s">
        <v>63</v>
      </c>
      <c r="DSR48" s="108">
        <f t="shared" ref="DSR48:DSR49" si="103">SUM(DSF48:DSQ48)</f>
        <v>0</v>
      </c>
      <c r="DTI48" s="108" t="s">
        <v>99</v>
      </c>
      <c r="DTK48" s="108" t="s">
        <v>63</v>
      </c>
      <c r="DTX48" s="108">
        <f t="shared" ref="DTX48:DTX49" si="104">SUM(DTL48:DTW48)</f>
        <v>0</v>
      </c>
      <c r="DUO48" s="108" t="s">
        <v>99</v>
      </c>
      <c r="DUQ48" s="108" t="s">
        <v>63</v>
      </c>
      <c r="DVD48" s="108">
        <f t="shared" ref="DVD48:DVD49" si="105">SUM(DUR48:DVC48)</f>
        <v>0</v>
      </c>
      <c r="DVU48" s="108" t="s">
        <v>99</v>
      </c>
      <c r="DVW48" s="108" t="s">
        <v>63</v>
      </c>
      <c r="DWJ48" s="108">
        <f t="shared" ref="DWJ48:DWJ49" si="106">SUM(DVX48:DWI48)</f>
        <v>0</v>
      </c>
      <c r="DXA48" s="108" t="s">
        <v>99</v>
      </c>
      <c r="DXC48" s="108" t="s">
        <v>63</v>
      </c>
      <c r="DXP48" s="108">
        <f t="shared" ref="DXP48:DXP49" si="107">SUM(DXD48:DXO48)</f>
        <v>0</v>
      </c>
      <c r="DYG48" s="108" t="s">
        <v>99</v>
      </c>
      <c r="DYI48" s="108" t="s">
        <v>63</v>
      </c>
      <c r="DYV48" s="108">
        <f t="shared" ref="DYV48:DYV49" si="108">SUM(DYJ48:DYU48)</f>
        <v>0</v>
      </c>
      <c r="DZM48" s="108" t="s">
        <v>99</v>
      </c>
      <c r="DZO48" s="108" t="s">
        <v>63</v>
      </c>
      <c r="EAB48" s="108">
        <f t="shared" ref="EAB48:EAB49" si="109">SUM(DZP48:EAA48)</f>
        <v>0</v>
      </c>
      <c r="EAS48" s="108" t="s">
        <v>99</v>
      </c>
      <c r="EAU48" s="108" t="s">
        <v>63</v>
      </c>
      <c r="EBH48" s="108">
        <f t="shared" ref="EBH48:EBH49" si="110">SUM(EAV48:EBG48)</f>
        <v>0</v>
      </c>
      <c r="EBY48" s="108" t="s">
        <v>99</v>
      </c>
      <c r="ECA48" s="108" t="s">
        <v>63</v>
      </c>
      <c r="ECN48" s="108">
        <f t="shared" ref="ECN48:ECN49" si="111">SUM(ECB48:ECM48)</f>
        <v>0</v>
      </c>
      <c r="EDE48" s="108" t="s">
        <v>99</v>
      </c>
      <c r="EDG48" s="108" t="s">
        <v>63</v>
      </c>
      <c r="EDT48" s="108">
        <f t="shared" ref="EDT48:EDT49" si="112">SUM(EDH48:EDS48)</f>
        <v>0</v>
      </c>
      <c r="EEK48" s="108" t="s">
        <v>99</v>
      </c>
      <c r="EEM48" s="108" t="s">
        <v>63</v>
      </c>
      <c r="EEZ48" s="108">
        <f t="shared" ref="EEZ48:EEZ49" si="113">SUM(EEN48:EEY48)</f>
        <v>0</v>
      </c>
      <c r="EFQ48" s="108" t="s">
        <v>99</v>
      </c>
      <c r="EFS48" s="108" t="s">
        <v>63</v>
      </c>
      <c r="EGF48" s="108">
        <f t="shared" ref="EGF48:EGF49" si="114">SUM(EFT48:EGE48)</f>
        <v>0</v>
      </c>
      <c r="EGW48" s="108" t="s">
        <v>99</v>
      </c>
      <c r="EGY48" s="108" t="s">
        <v>63</v>
      </c>
      <c r="EHL48" s="108">
        <f t="shared" ref="EHL48:EHL49" si="115">SUM(EGZ48:EHK48)</f>
        <v>0</v>
      </c>
      <c r="EIC48" s="108" t="s">
        <v>99</v>
      </c>
      <c r="EIE48" s="108" t="s">
        <v>63</v>
      </c>
      <c r="EIR48" s="108">
        <f t="shared" ref="EIR48:EIR49" si="116">SUM(EIF48:EIQ48)</f>
        <v>0</v>
      </c>
      <c r="EJI48" s="108" t="s">
        <v>99</v>
      </c>
      <c r="EJK48" s="108" t="s">
        <v>63</v>
      </c>
      <c r="EJX48" s="108">
        <f t="shared" ref="EJX48:EJX49" si="117">SUM(EJL48:EJW48)</f>
        <v>0</v>
      </c>
      <c r="EKO48" s="108" t="s">
        <v>99</v>
      </c>
      <c r="EKQ48" s="108" t="s">
        <v>63</v>
      </c>
      <c r="ELD48" s="108">
        <f t="shared" ref="ELD48:ELD49" si="118">SUM(EKR48:ELC48)</f>
        <v>0</v>
      </c>
      <c r="ELU48" s="108" t="s">
        <v>99</v>
      </c>
      <c r="ELW48" s="108" t="s">
        <v>63</v>
      </c>
      <c r="EMJ48" s="108">
        <f t="shared" ref="EMJ48:EMJ49" si="119">SUM(ELX48:EMI48)</f>
        <v>0</v>
      </c>
      <c r="ENA48" s="108" t="s">
        <v>99</v>
      </c>
      <c r="ENC48" s="108" t="s">
        <v>63</v>
      </c>
      <c r="ENP48" s="108">
        <f t="shared" ref="ENP48:ENP49" si="120">SUM(END48:ENO48)</f>
        <v>0</v>
      </c>
      <c r="EOG48" s="108" t="s">
        <v>99</v>
      </c>
      <c r="EOI48" s="108" t="s">
        <v>63</v>
      </c>
      <c r="EOV48" s="108">
        <f t="shared" ref="EOV48:EOV49" si="121">SUM(EOJ48:EOU48)</f>
        <v>0</v>
      </c>
      <c r="EPM48" s="108" t="s">
        <v>99</v>
      </c>
      <c r="EPO48" s="108" t="s">
        <v>63</v>
      </c>
      <c r="EQB48" s="108">
        <f t="shared" ref="EQB48:EQB49" si="122">SUM(EPP48:EQA48)</f>
        <v>0</v>
      </c>
      <c r="EQS48" s="108" t="s">
        <v>99</v>
      </c>
      <c r="EQU48" s="108" t="s">
        <v>63</v>
      </c>
      <c r="ERH48" s="108">
        <f t="shared" ref="ERH48:ERH49" si="123">SUM(EQV48:ERG48)</f>
        <v>0</v>
      </c>
      <c r="ERY48" s="108" t="s">
        <v>99</v>
      </c>
      <c r="ESA48" s="108" t="s">
        <v>63</v>
      </c>
      <c r="ESN48" s="108">
        <f t="shared" ref="ESN48:ESN49" si="124">SUM(ESB48:ESM48)</f>
        <v>0</v>
      </c>
      <c r="ETE48" s="108" t="s">
        <v>99</v>
      </c>
      <c r="ETG48" s="108" t="s">
        <v>63</v>
      </c>
      <c r="ETT48" s="108">
        <f t="shared" ref="ETT48:ETT49" si="125">SUM(ETH48:ETS48)</f>
        <v>0</v>
      </c>
      <c r="EUK48" s="108" t="s">
        <v>99</v>
      </c>
      <c r="EUM48" s="108" t="s">
        <v>63</v>
      </c>
      <c r="EUZ48" s="108">
        <f t="shared" ref="EUZ48:EUZ49" si="126">SUM(EUN48:EUY48)</f>
        <v>0</v>
      </c>
      <c r="EVQ48" s="108" t="s">
        <v>99</v>
      </c>
      <c r="EVS48" s="108" t="s">
        <v>63</v>
      </c>
      <c r="EWF48" s="108">
        <f t="shared" ref="EWF48:EWF49" si="127">SUM(EVT48:EWE48)</f>
        <v>0</v>
      </c>
      <c r="EWW48" s="108" t="s">
        <v>99</v>
      </c>
      <c r="EWY48" s="108" t="s">
        <v>63</v>
      </c>
      <c r="EXL48" s="108">
        <f t="shared" ref="EXL48:EXL49" si="128">SUM(EWZ48:EXK48)</f>
        <v>0</v>
      </c>
      <c r="EYC48" s="108" t="s">
        <v>99</v>
      </c>
      <c r="EYE48" s="108" t="s">
        <v>63</v>
      </c>
      <c r="EYR48" s="108">
        <f t="shared" ref="EYR48:EYR49" si="129">SUM(EYF48:EYQ48)</f>
        <v>0</v>
      </c>
      <c r="EZI48" s="108" t="s">
        <v>99</v>
      </c>
      <c r="EZK48" s="108" t="s">
        <v>63</v>
      </c>
      <c r="EZX48" s="108">
        <f t="shared" ref="EZX48:EZX49" si="130">SUM(EZL48:EZW48)</f>
        <v>0</v>
      </c>
      <c r="FAO48" s="108" t="s">
        <v>99</v>
      </c>
      <c r="FAQ48" s="108" t="s">
        <v>63</v>
      </c>
      <c r="FBD48" s="108">
        <f t="shared" ref="FBD48:FBD49" si="131">SUM(FAR48:FBC48)</f>
        <v>0</v>
      </c>
      <c r="FBU48" s="108" t="s">
        <v>99</v>
      </c>
      <c r="FBW48" s="108" t="s">
        <v>63</v>
      </c>
      <c r="FCJ48" s="108">
        <f t="shared" ref="FCJ48:FCJ49" si="132">SUM(FBX48:FCI48)</f>
        <v>0</v>
      </c>
      <c r="FDA48" s="108" t="s">
        <v>99</v>
      </c>
      <c r="FDC48" s="108" t="s">
        <v>63</v>
      </c>
      <c r="FDP48" s="108">
        <f t="shared" ref="FDP48:FDP49" si="133">SUM(FDD48:FDO48)</f>
        <v>0</v>
      </c>
      <c r="FEG48" s="108" t="s">
        <v>99</v>
      </c>
      <c r="FEI48" s="108" t="s">
        <v>63</v>
      </c>
      <c r="FEV48" s="108">
        <f t="shared" ref="FEV48:FEV49" si="134">SUM(FEJ48:FEU48)</f>
        <v>0</v>
      </c>
      <c r="FFM48" s="108" t="s">
        <v>99</v>
      </c>
      <c r="FFO48" s="108" t="s">
        <v>63</v>
      </c>
      <c r="FGB48" s="108">
        <f t="shared" ref="FGB48:FGB49" si="135">SUM(FFP48:FGA48)</f>
        <v>0</v>
      </c>
      <c r="FGS48" s="108" t="s">
        <v>99</v>
      </c>
      <c r="FGU48" s="108" t="s">
        <v>63</v>
      </c>
      <c r="FHH48" s="108">
        <f t="shared" ref="FHH48:FHH49" si="136">SUM(FGV48:FHG48)</f>
        <v>0</v>
      </c>
      <c r="FHY48" s="108" t="s">
        <v>99</v>
      </c>
      <c r="FIA48" s="108" t="s">
        <v>63</v>
      </c>
      <c r="FIN48" s="108">
        <f t="shared" ref="FIN48:FIN49" si="137">SUM(FIB48:FIM48)</f>
        <v>0</v>
      </c>
      <c r="FJE48" s="108" t="s">
        <v>99</v>
      </c>
      <c r="FJG48" s="108" t="s">
        <v>63</v>
      </c>
      <c r="FJT48" s="108">
        <f t="shared" ref="FJT48:FJT49" si="138">SUM(FJH48:FJS48)</f>
        <v>0</v>
      </c>
      <c r="FKK48" s="108" t="s">
        <v>99</v>
      </c>
      <c r="FKM48" s="108" t="s">
        <v>63</v>
      </c>
      <c r="FKZ48" s="108">
        <f t="shared" ref="FKZ48:FKZ49" si="139">SUM(FKN48:FKY48)</f>
        <v>0</v>
      </c>
      <c r="FLQ48" s="108" t="s">
        <v>99</v>
      </c>
      <c r="FLS48" s="108" t="s">
        <v>63</v>
      </c>
      <c r="FMF48" s="108">
        <f t="shared" ref="FMF48:FMF49" si="140">SUM(FLT48:FME48)</f>
        <v>0</v>
      </c>
      <c r="FMW48" s="108" t="s">
        <v>99</v>
      </c>
      <c r="FMY48" s="108" t="s">
        <v>63</v>
      </c>
      <c r="FNL48" s="108">
        <f t="shared" ref="FNL48:FNL49" si="141">SUM(FMZ48:FNK48)</f>
        <v>0</v>
      </c>
      <c r="FOC48" s="108" t="s">
        <v>99</v>
      </c>
      <c r="FOE48" s="108" t="s">
        <v>63</v>
      </c>
      <c r="FOR48" s="108">
        <f t="shared" ref="FOR48:FOR49" si="142">SUM(FOF48:FOQ48)</f>
        <v>0</v>
      </c>
      <c r="FPI48" s="108" t="s">
        <v>99</v>
      </c>
      <c r="FPK48" s="108" t="s">
        <v>63</v>
      </c>
      <c r="FPX48" s="108">
        <f t="shared" ref="FPX48:FPX49" si="143">SUM(FPL48:FPW48)</f>
        <v>0</v>
      </c>
      <c r="FQO48" s="108" t="s">
        <v>99</v>
      </c>
      <c r="FQQ48" s="108" t="s">
        <v>63</v>
      </c>
      <c r="FRD48" s="108">
        <f t="shared" ref="FRD48:FRD49" si="144">SUM(FQR48:FRC48)</f>
        <v>0</v>
      </c>
      <c r="FRU48" s="108" t="s">
        <v>99</v>
      </c>
      <c r="FRW48" s="108" t="s">
        <v>63</v>
      </c>
      <c r="FSJ48" s="108">
        <f t="shared" ref="FSJ48:FSJ49" si="145">SUM(FRX48:FSI48)</f>
        <v>0</v>
      </c>
      <c r="FTA48" s="108" t="s">
        <v>99</v>
      </c>
      <c r="FTC48" s="108" t="s">
        <v>63</v>
      </c>
      <c r="FTP48" s="108">
        <f t="shared" ref="FTP48:FTP49" si="146">SUM(FTD48:FTO48)</f>
        <v>0</v>
      </c>
      <c r="FUG48" s="108" t="s">
        <v>99</v>
      </c>
      <c r="FUI48" s="108" t="s">
        <v>63</v>
      </c>
      <c r="FUV48" s="108">
        <f t="shared" ref="FUV48:FUV49" si="147">SUM(FUJ48:FUU48)</f>
        <v>0</v>
      </c>
      <c r="FVM48" s="108" t="s">
        <v>99</v>
      </c>
      <c r="FVO48" s="108" t="s">
        <v>63</v>
      </c>
      <c r="FWB48" s="108">
        <f t="shared" ref="FWB48:FWB49" si="148">SUM(FVP48:FWA48)</f>
        <v>0</v>
      </c>
      <c r="FWS48" s="108" t="s">
        <v>99</v>
      </c>
      <c r="FWU48" s="108" t="s">
        <v>63</v>
      </c>
      <c r="FXH48" s="108">
        <f t="shared" ref="FXH48:FXH49" si="149">SUM(FWV48:FXG48)</f>
        <v>0</v>
      </c>
      <c r="FXY48" s="108" t="s">
        <v>99</v>
      </c>
      <c r="FYA48" s="108" t="s">
        <v>63</v>
      </c>
      <c r="FYN48" s="108">
        <f t="shared" ref="FYN48:FYN49" si="150">SUM(FYB48:FYM48)</f>
        <v>0</v>
      </c>
      <c r="FZE48" s="108" t="s">
        <v>99</v>
      </c>
      <c r="FZG48" s="108" t="s">
        <v>63</v>
      </c>
      <c r="FZT48" s="108">
        <f t="shared" ref="FZT48:FZT49" si="151">SUM(FZH48:FZS48)</f>
        <v>0</v>
      </c>
      <c r="GAK48" s="108" t="s">
        <v>99</v>
      </c>
      <c r="GAM48" s="108" t="s">
        <v>63</v>
      </c>
      <c r="GAZ48" s="108">
        <f t="shared" ref="GAZ48:GAZ49" si="152">SUM(GAN48:GAY48)</f>
        <v>0</v>
      </c>
      <c r="GBQ48" s="108" t="s">
        <v>99</v>
      </c>
      <c r="GBS48" s="108" t="s">
        <v>63</v>
      </c>
      <c r="GCF48" s="108">
        <f t="shared" ref="GCF48:GCF49" si="153">SUM(GBT48:GCE48)</f>
        <v>0</v>
      </c>
      <c r="GCW48" s="108" t="s">
        <v>99</v>
      </c>
      <c r="GCY48" s="108" t="s">
        <v>63</v>
      </c>
      <c r="GDL48" s="108">
        <f t="shared" ref="GDL48:GDL49" si="154">SUM(GCZ48:GDK48)</f>
        <v>0</v>
      </c>
      <c r="GEC48" s="108" t="s">
        <v>99</v>
      </c>
      <c r="GEE48" s="108" t="s">
        <v>63</v>
      </c>
      <c r="GER48" s="108">
        <f t="shared" ref="GER48:GER49" si="155">SUM(GEF48:GEQ48)</f>
        <v>0</v>
      </c>
      <c r="GFI48" s="108" t="s">
        <v>99</v>
      </c>
      <c r="GFK48" s="108" t="s">
        <v>63</v>
      </c>
      <c r="GFX48" s="108">
        <f t="shared" ref="GFX48:GFX49" si="156">SUM(GFL48:GFW48)</f>
        <v>0</v>
      </c>
      <c r="GGO48" s="108" t="s">
        <v>99</v>
      </c>
      <c r="GGQ48" s="108" t="s">
        <v>63</v>
      </c>
      <c r="GHD48" s="108">
        <f t="shared" ref="GHD48:GHD49" si="157">SUM(GGR48:GHC48)</f>
        <v>0</v>
      </c>
      <c r="GHU48" s="108" t="s">
        <v>99</v>
      </c>
      <c r="GHW48" s="108" t="s">
        <v>63</v>
      </c>
      <c r="GIJ48" s="108">
        <f t="shared" ref="GIJ48:GIJ49" si="158">SUM(GHX48:GII48)</f>
        <v>0</v>
      </c>
      <c r="GJA48" s="108" t="s">
        <v>99</v>
      </c>
      <c r="GJC48" s="108" t="s">
        <v>63</v>
      </c>
      <c r="GJP48" s="108">
        <f t="shared" ref="GJP48:GJP49" si="159">SUM(GJD48:GJO48)</f>
        <v>0</v>
      </c>
      <c r="GKG48" s="108" t="s">
        <v>99</v>
      </c>
      <c r="GKI48" s="108" t="s">
        <v>63</v>
      </c>
      <c r="GKV48" s="108">
        <f t="shared" ref="GKV48:GKV49" si="160">SUM(GKJ48:GKU48)</f>
        <v>0</v>
      </c>
      <c r="GLM48" s="108" t="s">
        <v>99</v>
      </c>
      <c r="GLO48" s="108" t="s">
        <v>63</v>
      </c>
      <c r="GMB48" s="108">
        <f t="shared" ref="GMB48:GMB49" si="161">SUM(GLP48:GMA48)</f>
        <v>0</v>
      </c>
      <c r="GMS48" s="108" t="s">
        <v>99</v>
      </c>
      <c r="GMU48" s="108" t="s">
        <v>63</v>
      </c>
      <c r="GNH48" s="108">
        <f t="shared" ref="GNH48:GNH49" si="162">SUM(GMV48:GNG48)</f>
        <v>0</v>
      </c>
      <c r="GNY48" s="108" t="s">
        <v>99</v>
      </c>
      <c r="GOA48" s="108" t="s">
        <v>63</v>
      </c>
      <c r="GON48" s="108">
        <f t="shared" ref="GON48:GON49" si="163">SUM(GOB48:GOM48)</f>
        <v>0</v>
      </c>
      <c r="GPE48" s="108" t="s">
        <v>99</v>
      </c>
      <c r="GPG48" s="108" t="s">
        <v>63</v>
      </c>
      <c r="GPT48" s="108">
        <f t="shared" ref="GPT48:GPT49" si="164">SUM(GPH48:GPS48)</f>
        <v>0</v>
      </c>
      <c r="GQK48" s="108" t="s">
        <v>99</v>
      </c>
      <c r="GQM48" s="108" t="s">
        <v>63</v>
      </c>
      <c r="GQZ48" s="108">
        <f t="shared" ref="GQZ48:GQZ49" si="165">SUM(GQN48:GQY48)</f>
        <v>0</v>
      </c>
      <c r="GRQ48" s="108" t="s">
        <v>99</v>
      </c>
      <c r="GRS48" s="108" t="s">
        <v>63</v>
      </c>
      <c r="GSF48" s="108">
        <f t="shared" ref="GSF48:GSF49" si="166">SUM(GRT48:GSE48)</f>
        <v>0</v>
      </c>
      <c r="GSW48" s="108" t="s">
        <v>99</v>
      </c>
      <c r="GSY48" s="108" t="s">
        <v>63</v>
      </c>
      <c r="GTL48" s="108">
        <f t="shared" ref="GTL48:GTL49" si="167">SUM(GSZ48:GTK48)</f>
        <v>0</v>
      </c>
      <c r="GUC48" s="108" t="s">
        <v>99</v>
      </c>
      <c r="GUE48" s="108" t="s">
        <v>63</v>
      </c>
      <c r="GUR48" s="108">
        <f t="shared" ref="GUR48:GUR49" si="168">SUM(GUF48:GUQ48)</f>
        <v>0</v>
      </c>
      <c r="GVI48" s="108" t="s">
        <v>99</v>
      </c>
      <c r="GVK48" s="108" t="s">
        <v>63</v>
      </c>
      <c r="GVX48" s="108">
        <f t="shared" ref="GVX48:GVX49" si="169">SUM(GVL48:GVW48)</f>
        <v>0</v>
      </c>
      <c r="GWO48" s="108" t="s">
        <v>99</v>
      </c>
      <c r="GWQ48" s="108" t="s">
        <v>63</v>
      </c>
      <c r="GXD48" s="108">
        <f t="shared" ref="GXD48:GXD49" si="170">SUM(GWR48:GXC48)</f>
        <v>0</v>
      </c>
      <c r="GXU48" s="108" t="s">
        <v>99</v>
      </c>
      <c r="GXW48" s="108" t="s">
        <v>63</v>
      </c>
      <c r="GYJ48" s="108">
        <f t="shared" ref="GYJ48:GYJ49" si="171">SUM(GXX48:GYI48)</f>
        <v>0</v>
      </c>
      <c r="GZA48" s="108" t="s">
        <v>99</v>
      </c>
      <c r="GZC48" s="108" t="s">
        <v>63</v>
      </c>
      <c r="GZP48" s="108">
        <f t="shared" ref="GZP48:GZP49" si="172">SUM(GZD48:GZO48)</f>
        <v>0</v>
      </c>
      <c r="HAG48" s="108" t="s">
        <v>99</v>
      </c>
      <c r="HAI48" s="108" t="s">
        <v>63</v>
      </c>
      <c r="HAV48" s="108">
        <f t="shared" ref="HAV48:HAV49" si="173">SUM(HAJ48:HAU48)</f>
        <v>0</v>
      </c>
      <c r="HBM48" s="108" t="s">
        <v>99</v>
      </c>
      <c r="HBO48" s="108" t="s">
        <v>63</v>
      </c>
      <c r="HCB48" s="108">
        <f t="shared" ref="HCB48:HCB49" si="174">SUM(HBP48:HCA48)</f>
        <v>0</v>
      </c>
      <c r="HCS48" s="108" t="s">
        <v>99</v>
      </c>
      <c r="HCU48" s="108" t="s">
        <v>63</v>
      </c>
      <c r="HDH48" s="108">
        <f t="shared" ref="HDH48:HDH49" si="175">SUM(HCV48:HDG48)</f>
        <v>0</v>
      </c>
      <c r="HDY48" s="108" t="s">
        <v>99</v>
      </c>
      <c r="HEA48" s="108" t="s">
        <v>63</v>
      </c>
      <c r="HEN48" s="108">
        <f t="shared" ref="HEN48:HEN49" si="176">SUM(HEB48:HEM48)</f>
        <v>0</v>
      </c>
      <c r="HFE48" s="108" t="s">
        <v>99</v>
      </c>
      <c r="HFG48" s="108" t="s">
        <v>63</v>
      </c>
      <c r="HFT48" s="108">
        <f t="shared" ref="HFT48:HFT49" si="177">SUM(HFH48:HFS48)</f>
        <v>0</v>
      </c>
      <c r="HGK48" s="108" t="s">
        <v>99</v>
      </c>
      <c r="HGM48" s="108" t="s">
        <v>63</v>
      </c>
      <c r="HGZ48" s="108">
        <f t="shared" ref="HGZ48:HGZ49" si="178">SUM(HGN48:HGY48)</f>
        <v>0</v>
      </c>
      <c r="HHQ48" s="108" t="s">
        <v>99</v>
      </c>
      <c r="HHS48" s="108" t="s">
        <v>63</v>
      </c>
      <c r="HIF48" s="108">
        <f t="shared" ref="HIF48:HIF49" si="179">SUM(HHT48:HIE48)</f>
        <v>0</v>
      </c>
      <c r="HIW48" s="108" t="s">
        <v>99</v>
      </c>
      <c r="HIY48" s="108" t="s">
        <v>63</v>
      </c>
      <c r="HJL48" s="108">
        <f t="shared" ref="HJL48:HJL49" si="180">SUM(HIZ48:HJK48)</f>
        <v>0</v>
      </c>
      <c r="HKC48" s="108" t="s">
        <v>99</v>
      </c>
      <c r="HKE48" s="108" t="s">
        <v>63</v>
      </c>
      <c r="HKR48" s="108">
        <f t="shared" ref="HKR48:HKR49" si="181">SUM(HKF48:HKQ48)</f>
        <v>0</v>
      </c>
      <c r="HLI48" s="108" t="s">
        <v>99</v>
      </c>
      <c r="HLK48" s="108" t="s">
        <v>63</v>
      </c>
      <c r="HLX48" s="108">
        <f t="shared" ref="HLX48:HLX49" si="182">SUM(HLL48:HLW48)</f>
        <v>0</v>
      </c>
      <c r="HMO48" s="108" t="s">
        <v>99</v>
      </c>
      <c r="HMQ48" s="108" t="s">
        <v>63</v>
      </c>
      <c r="HND48" s="108">
        <f t="shared" ref="HND48:HND49" si="183">SUM(HMR48:HNC48)</f>
        <v>0</v>
      </c>
      <c r="HNU48" s="108" t="s">
        <v>99</v>
      </c>
      <c r="HNW48" s="108" t="s">
        <v>63</v>
      </c>
      <c r="HOJ48" s="108">
        <f t="shared" ref="HOJ48:HOJ49" si="184">SUM(HNX48:HOI48)</f>
        <v>0</v>
      </c>
      <c r="HPA48" s="108" t="s">
        <v>99</v>
      </c>
      <c r="HPC48" s="108" t="s">
        <v>63</v>
      </c>
      <c r="HPP48" s="108">
        <f t="shared" ref="HPP48:HPP49" si="185">SUM(HPD48:HPO48)</f>
        <v>0</v>
      </c>
      <c r="HQG48" s="108" t="s">
        <v>99</v>
      </c>
      <c r="HQI48" s="108" t="s">
        <v>63</v>
      </c>
      <c r="HQV48" s="108">
        <f t="shared" ref="HQV48:HQV49" si="186">SUM(HQJ48:HQU48)</f>
        <v>0</v>
      </c>
      <c r="HRM48" s="108" t="s">
        <v>99</v>
      </c>
      <c r="HRO48" s="108" t="s">
        <v>63</v>
      </c>
      <c r="HSB48" s="108">
        <f t="shared" ref="HSB48:HSB49" si="187">SUM(HRP48:HSA48)</f>
        <v>0</v>
      </c>
      <c r="HSS48" s="108" t="s">
        <v>99</v>
      </c>
      <c r="HSU48" s="108" t="s">
        <v>63</v>
      </c>
      <c r="HTH48" s="108">
        <f t="shared" ref="HTH48:HTH49" si="188">SUM(HSV48:HTG48)</f>
        <v>0</v>
      </c>
      <c r="HTY48" s="108" t="s">
        <v>99</v>
      </c>
      <c r="HUA48" s="108" t="s">
        <v>63</v>
      </c>
      <c r="HUN48" s="108">
        <f t="shared" ref="HUN48:HUN49" si="189">SUM(HUB48:HUM48)</f>
        <v>0</v>
      </c>
      <c r="HVE48" s="108" t="s">
        <v>99</v>
      </c>
      <c r="HVG48" s="108" t="s">
        <v>63</v>
      </c>
      <c r="HVT48" s="108">
        <f t="shared" ref="HVT48:HVT49" si="190">SUM(HVH48:HVS48)</f>
        <v>0</v>
      </c>
      <c r="HWK48" s="108" t="s">
        <v>99</v>
      </c>
      <c r="HWM48" s="108" t="s">
        <v>63</v>
      </c>
      <c r="HWZ48" s="108">
        <f t="shared" ref="HWZ48:HWZ49" si="191">SUM(HWN48:HWY48)</f>
        <v>0</v>
      </c>
      <c r="HXQ48" s="108" t="s">
        <v>99</v>
      </c>
      <c r="HXS48" s="108" t="s">
        <v>63</v>
      </c>
      <c r="HYF48" s="108">
        <f t="shared" ref="HYF48:HYF49" si="192">SUM(HXT48:HYE48)</f>
        <v>0</v>
      </c>
      <c r="HYW48" s="108" t="s">
        <v>99</v>
      </c>
      <c r="HYY48" s="108" t="s">
        <v>63</v>
      </c>
      <c r="HZL48" s="108">
        <f t="shared" ref="HZL48:HZL49" si="193">SUM(HYZ48:HZK48)</f>
        <v>0</v>
      </c>
      <c r="IAC48" s="108" t="s">
        <v>99</v>
      </c>
      <c r="IAE48" s="108" t="s">
        <v>63</v>
      </c>
      <c r="IAR48" s="108">
        <f t="shared" ref="IAR48:IAR49" si="194">SUM(IAF48:IAQ48)</f>
        <v>0</v>
      </c>
      <c r="IBI48" s="108" t="s">
        <v>99</v>
      </c>
      <c r="IBK48" s="108" t="s">
        <v>63</v>
      </c>
      <c r="IBX48" s="108">
        <f t="shared" ref="IBX48:IBX49" si="195">SUM(IBL48:IBW48)</f>
        <v>0</v>
      </c>
      <c r="ICO48" s="108" t="s">
        <v>99</v>
      </c>
      <c r="ICQ48" s="108" t="s">
        <v>63</v>
      </c>
      <c r="IDD48" s="108">
        <f t="shared" ref="IDD48:IDD49" si="196">SUM(ICR48:IDC48)</f>
        <v>0</v>
      </c>
      <c r="IDU48" s="108" t="s">
        <v>99</v>
      </c>
      <c r="IDW48" s="108" t="s">
        <v>63</v>
      </c>
      <c r="IEJ48" s="108">
        <f t="shared" ref="IEJ48:IEJ49" si="197">SUM(IDX48:IEI48)</f>
        <v>0</v>
      </c>
      <c r="IFA48" s="108" t="s">
        <v>99</v>
      </c>
      <c r="IFC48" s="108" t="s">
        <v>63</v>
      </c>
      <c r="IFP48" s="108">
        <f t="shared" ref="IFP48:IFP49" si="198">SUM(IFD48:IFO48)</f>
        <v>0</v>
      </c>
      <c r="IGG48" s="108" t="s">
        <v>99</v>
      </c>
      <c r="IGI48" s="108" t="s">
        <v>63</v>
      </c>
      <c r="IGV48" s="108">
        <f t="shared" ref="IGV48:IGV49" si="199">SUM(IGJ48:IGU48)</f>
        <v>0</v>
      </c>
      <c r="IHM48" s="108" t="s">
        <v>99</v>
      </c>
      <c r="IHO48" s="108" t="s">
        <v>63</v>
      </c>
      <c r="IIB48" s="108">
        <f t="shared" ref="IIB48:IIB49" si="200">SUM(IHP48:IIA48)</f>
        <v>0</v>
      </c>
      <c r="IIS48" s="108" t="s">
        <v>99</v>
      </c>
      <c r="IIU48" s="108" t="s">
        <v>63</v>
      </c>
      <c r="IJH48" s="108">
        <f t="shared" ref="IJH48:IJH49" si="201">SUM(IIV48:IJG48)</f>
        <v>0</v>
      </c>
      <c r="IJY48" s="108" t="s">
        <v>99</v>
      </c>
      <c r="IKA48" s="108" t="s">
        <v>63</v>
      </c>
      <c r="IKN48" s="108">
        <f t="shared" ref="IKN48:IKN49" si="202">SUM(IKB48:IKM48)</f>
        <v>0</v>
      </c>
      <c r="ILE48" s="108" t="s">
        <v>99</v>
      </c>
      <c r="ILG48" s="108" t="s">
        <v>63</v>
      </c>
      <c r="ILT48" s="108">
        <f t="shared" ref="ILT48:ILT49" si="203">SUM(ILH48:ILS48)</f>
        <v>0</v>
      </c>
      <c r="IMK48" s="108" t="s">
        <v>99</v>
      </c>
      <c r="IMM48" s="108" t="s">
        <v>63</v>
      </c>
      <c r="IMZ48" s="108">
        <f t="shared" ref="IMZ48:IMZ49" si="204">SUM(IMN48:IMY48)</f>
        <v>0</v>
      </c>
      <c r="INQ48" s="108" t="s">
        <v>99</v>
      </c>
      <c r="INS48" s="108" t="s">
        <v>63</v>
      </c>
      <c r="IOF48" s="108">
        <f t="shared" ref="IOF48:IOF49" si="205">SUM(INT48:IOE48)</f>
        <v>0</v>
      </c>
      <c r="IOW48" s="108" t="s">
        <v>99</v>
      </c>
      <c r="IOY48" s="108" t="s">
        <v>63</v>
      </c>
      <c r="IPL48" s="108">
        <f t="shared" ref="IPL48:IPL49" si="206">SUM(IOZ48:IPK48)</f>
        <v>0</v>
      </c>
      <c r="IQC48" s="108" t="s">
        <v>99</v>
      </c>
      <c r="IQE48" s="108" t="s">
        <v>63</v>
      </c>
      <c r="IQR48" s="108">
        <f t="shared" ref="IQR48:IQR49" si="207">SUM(IQF48:IQQ48)</f>
        <v>0</v>
      </c>
      <c r="IRI48" s="108" t="s">
        <v>99</v>
      </c>
      <c r="IRK48" s="108" t="s">
        <v>63</v>
      </c>
      <c r="IRX48" s="108">
        <f t="shared" ref="IRX48:IRX49" si="208">SUM(IRL48:IRW48)</f>
        <v>0</v>
      </c>
      <c r="ISO48" s="108" t="s">
        <v>99</v>
      </c>
      <c r="ISQ48" s="108" t="s">
        <v>63</v>
      </c>
      <c r="ITD48" s="108">
        <f t="shared" ref="ITD48:ITD49" si="209">SUM(ISR48:ITC48)</f>
        <v>0</v>
      </c>
      <c r="ITU48" s="108" t="s">
        <v>99</v>
      </c>
      <c r="ITW48" s="108" t="s">
        <v>63</v>
      </c>
      <c r="IUJ48" s="108">
        <f t="shared" ref="IUJ48:IUJ49" si="210">SUM(ITX48:IUI48)</f>
        <v>0</v>
      </c>
      <c r="IVA48" s="108" t="s">
        <v>99</v>
      </c>
      <c r="IVC48" s="108" t="s">
        <v>63</v>
      </c>
      <c r="IVP48" s="108">
        <f t="shared" ref="IVP48:IVP49" si="211">SUM(IVD48:IVO48)</f>
        <v>0</v>
      </c>
      <c r="IWG48" s="108" t="s">
        <v>99</v>
      </c>
      <c r="IWI48" s="108" t="s">
        <v>63</v>
      </c>
      <c r="IWV48" s="108">
        <f t="shared" ref="IWV48:IWV49" si="212">SUM(IWJ48:IWU48)</f>
        <v>0</v>
      </c>
      <c r="IXM48" s="108" t="s">
        <v>99</v>
      </c>
      <c r="IXO48" s="108" t="s">
        <v>63</v>
      </c>
      <c r="IYB48" s="108">
        <f t="shared" ref="IYB48:IYB49" si="213">SUM(IXP48:IYA48)</f>
        <v>0</v>
      </c>
      <c r="IYS48" s="108" t="s">
        <v>99</v>
      </c>
      <c r="IYU48" s="108" t="s">
        <v>63</v>
      </c>
      <c r="IZH48" s="108">
        <f t="shared" ref="IZH48:IZH49" si="214">SUM(IYV48:IZG48)</f>
        <v>0</v>
      </c>
      <c r="IZY48" s="108" t="s">
        <v>99</v>
      </c>
      <c r="JAA48" s="108" t="s">
        <v>63</v>
      </c>
      <c r="JAN48" s="108">
        <f t="shared" ref="JAN48:JAN49" si="215">SUM(JAB48:JAM48)</f>
        <v>0</v>
      </c>
      <c r="JBE48" s="108" t="s">
        <v>99</v>
      </c>
      <c r="JBG48" s="108" t="s">
        <v>63</v>
      </c>
      <c r="JBT48" s="108">
        <f t="shared" ref="JBT48:JBT49" si="216">SUM(JBH48:JBS48)</f>
        <v>0</v>
      </c>
      <c r="JCK48" s="108" t="s">
        <v>99</v>
      </c>
      <c r="JCM48" s="108" t="s">
        <v>63</v>
      </c>
      <c r="JCZ48" s="108">
        <f t="shared" ref="JCZ48:JCZ49" si="217">SUM(JCN48:JCY48)</f>
        <v>0</v>
      </c>
      <c r="JDQ48" s="108" t="s">
        <v>99</v>
      </c>
      <c r="JDS48" s="108" t="s">
        <v>63</v>
      </c>
      <c r="JEF48" s="108">
        <f t="shared" ref="JEF48:JEF49" si="218">SUM(JDT48:JEE48)</f>
        <v>0</v>
      </c>
      <c r="JEW48" s="108" t="s">
        <v>99</v>
      </c>
      <c r="JEY48" s="108" t="s">
        <v>63</v>
      </c>
      <c r="JFL48" s="108">
        <f t="shared" ref="JFL48:JFL49" si="219">SUM(JEZ48:JFK48)</f>
        <v>0</v>
      </c>
      <c r="JGC48" s="108" t="s">
        <v>99</v>
      </c>
      <c r="JGE48" s="108" t="s">
        <v>63</v>
      </c>
      <c r="JGR48" s="108">
        <f t="shared" ref="JGR48:JGR49" si="220">SUM(JGF48:JGQ48)</f>
        <v>0</v>
      </c>
      <c r="JHI48" s="108" t="s">
        <v>99</v>
      </c>
      <c r="JHK48" s="108" t="s">
        <v>63</v>
      </c>
      <c r="JHX48" s="108">
        <f t="shared" ref="JHX48:JHX49" si="221">SUM(JHL48:JHW48)</f>
        <v>0</v>
      </c>
      <c r="JIO48" s="108" t="s">
        <v>99</v>
      </c>
      <c r="JIQ48" s="108" t="s">
        <v>63</v>
      </c>
      <c r="JJD48" s="108">
        <f t="shared" ref="JJD48:JJD49" si="222">SUM(JIR48:JJC48)</f>
        <v>0</v>
      </c>
      <c r="JJU48" s="108" t="s">
        <v>99</v>
      </c>
      <c r="JJW48" s="108" t="s">
        <v>63</v>
      </c>
      <c r="JKJ48" s="108">
        <f t="shared" ref="JKJ48:JKJ49" si="223">SUM(JJX48:JKI48)</f>
        <v>0</v>
      </c>
      <c r="JLA48" s="108" t="s">
        <v>99</v>
      </c>
      <c r="JLC48" s="108" t="s">
        <v>63</v>
      </c>
      <c r="JLP48" s="108">
        <f t="shared" ref="JLP48:JLP49" si="224">SUM(JLD48:JLO48)</f>
        <v>0</v>
      </c>
      <c r="JMG48" s="108" t="s">
        <v>99</v>
      </c>
      <c r="JMI48" s="108" t="s">
        <v>63</v>
      </c>
      <c r="JMV48" s="108">
        <f t="shared" ref="JMV48:JMV49" si="225">SUM(JMJ48:JMU48)</f>
        <v>0</v>
      </c>
      <c r="JNM48" s="108" t="s">
        <v>99</v>
      </c>
      <c r="JNO48" s="108" t="s">
        <v>63</v>
      </c>
      <c r="JOB48" s="108">
        <f t="shared" ref="JOB48:JOB49" si="226">SUM(JNP48:JOA48)</f>
        <v>0</v>
      </c>
      <c r="JOS48" s="108" t="s">
        <v>99</v>
      </c>
      <c r="JOU48" s="108" t="s">
        <v>63</v>
      </c>
      <c r="JPH48" s="108">
        <f t="shared" ref="JPH48:JPH49" si="227">SUM(JOV48:JPG48)</f>
        <v>0</v>
      </c>
      <c r="JPY48" s="108" t="s">
        <v>99</v>
      </c>
      <c r="JQA48" s="108" t="s">
        <v>63</v>
      </c>
      <c r="JQN48" s="108">
        <f t="shared" ref="JQN48:JQN49" si="228">SUM(JQB48:JQM48)</f>
        <v>0</v>
      </c>
      <c r="JRE48" s="108" t="s">
        <v>99</v>
      </c>
      <c r="JRG48" s="108" t="s">
        <v>63</v>
      </c>
      <c r="JRT48" s="108">
        <f t="shared" ref="JRT48:JRT49" si="229">SUM(JRH48:JRS48)</f>
        <v>0</v>
      </c>
      <c r="JSK48" s="108" t="s">
        <v>99</v>
      </c>
      <c r="JSM48" s="108" t="s">
        <v>63</v>
      </c>
      <c r="JSZ48" s="108">
        <f t="shared" ref="JSZ48:JSZ49" si="230">SUM(JSN48:JSY48)</f>
        <v>0</v>
      </c>
      <c r="JTQ48" s="108" t="s">
        <v>99</v>
      </c>
      <c r="JTS48" s="108" t="s">
        <v>63</v>
      </c>
      <c r="JUF48" s="108">
        <f t="shared" ref="JUF48:JUF49" si="231">SUM(JTT48:JUE48)</f>
        <v>0</v>
      </c>
      <c r="JUW48" s="108" t="s">
        <v>99</v>
      </c>
      <c r="JUY48" s="108" t="s">
        <v>63</v>
      </c>
      <c r="JVL48" s="108">
        <f t="shared" ref="JVL48:JVL49" si="232">SUM(JUZ48:JVK48)</f>
        <v>0</v>
      </c>
      <c r="JWC48" s="108" t="s">
        <v>99</v>
      </c>
      <c r="JWE48" s="108" t="s">
        <v>63</v>
      </c>
      <c r="JWR48" s="108">
        <f t="shared" ref="JWR48:JWR49" si="233">SUM(JWF48:JWQ48)</f>
        <v>0</v>
      </c>
      <c r="JXI48" s="108" t="s">
        <v>99</v>
      </c>
      <c r="JXK48" s="108" t="s">
        <v>63</v>
      </c>
      <c r="JXX48" s="108">
        <f t="shared" ref="JXX48:JXX49" si="234">SUM(JXL48:JXW48)</f>
        <v>0</v>
      </c>
      <c r="JYO48" s="108" t="s">
        <v>99</v>
      </c>
      <c r="JYQ48" s="108" t="s">
        <v>63</v>
      </c>
      <c r="JZD48" s="108">
        <f t="shared" ref="JZD48:JZD49" si="235">SUM(JYR48:JZC48)</f>
        <v>0</v>
      </c>
      <c r="JZU48" s="108" t="s">
        <v>99</v>
      </c>
      <c r="JZW48" s="108" t="s">
        <v>63</v>
      </c>
      <c r="KAJ48" s="108">
        <f t="shared" ref="KAJ48:KAJ49" si="236">SUM(JZX48:KAI48)</f>
        <v>0</v>
      </c>
      <c r="KBA48" s="108" t="s">
        <v>99</v>
      </c>
      <c r="KBC48" s="108" t="s">
        <v>63</v>
      </c>
      <c r="KBP48" s="108">
        <f t="shared" ref="KBP48:KBP49" si="237">SUM(KBD48:KBO48)</f>
        <v>0</v>
      </c>
      <c r="KCG48" s="108" t="s">
        <v>99</v>
      </c>
      <c r="KCI48" s="108" t="s">
        <v>63</v>
      </c>
      <c r="KCV48" s="108">
        <f t="shared" ref="KCV48:KCV49" si="238">SUM(KCJ48:KCU48)</f>
        <v>0</v>
      </c>
      <c r="KDM48" s="108" t="s">
        <v>99</v>
      </c>
      <c r="KDO48" s="108" t="s">
        <v>63</v>
      </c>
      <c r="KEB48" s="108">
        <f t="shared" ref="KEB48:KEB49" si="239">SUM(KDP48:KEA48)</f>
        <v>0</v>
      </c>
      <c r="KES48" s="108" t="s">
        <v>99</v>
      </c>
      <c r="KEU48" s="108" t="s">
        <v>63</v>
      </c>
      <c r="KFH48" s="108">
        <f t="shared" ref="KFH48:KFH49" si="240">SUM(KEV48:KFG48)</f>
        <v>0</v>
      </c>
      <c r="KFY48" s="108" t="s">
        <v>99</v>
      </c>
      <c r="KGA48" s="108" t="s">
        <v>63</v>
      </c>
      <c r="KGN48" s="108">
        <f t="shared" ref="KGN48:KGN49" si="241">SUM(KGB48:KGM48)</f>
        <v>0</v>
      </c>
      <c r="KHE48" s="108" t="s">
        <v>99</v>
      </c>
      <c r="KHG48" s="108" t="s">
        <v>63</v>
      </c>
      <c r="KHT48" s="108">
        <f t="shared" ref="KHT48:KHT49" si="242">SUM(KHH48:KHS48)</f>
        <v>0</v>
      </c>
      <c r="KIK48" s="108" t="s">
        <v>99</v>
      </c>
      <c r="KIM48" s="108" t="s">
        <v>63</v>
      </c>
      <c r="KIZ48" s="108">
        <f t="shared" ref="KIZ48:KIZ49" si="243">SUM(KIN48:KIY48)</f>
        <v>0</v>
      </c>
      <c r="KJQ48" s="108" t="s">
        <v>99</v>
      </c>
      <c r="KJS48" s="108" t="s">
        <v>63</v>
      </c>
      <c r="KKF48" s="108">
        <f t="shared" ref="KKF48:KKF49" si="244">SUM(KJT48:KKE48)</f>
        <v>0</v>
      </c>
      <c r="KKW48" s="108" t="s">
        <v>99</v>
      </c>
      <c r="KKY48" s="108" t="s">
        <v>63</v>
      </c>
      <c r="KLL48" s="108">
        <f t="shared" ref="KLL48:KLL49" si="245">SUM(KKZ48:KLK48)</f>
        <v>0</v>
      </c>
      <c r="KMC48" s="108" t="s">
        <v>99</v>
      </c>
      <c r="KME48" s="108" t="s">
        <v>63</v>
      </c>
      <c r="KMR48" s="108">
        <f t="shared" ref="KMR48:KMR49" si="246">SUM(KMF48:KMQ48)</f>
        <v>0</v>
      </c>
      <c r="KNI48" s="108" t="s">
        <v>99</v>
      </c>
      <c r="KNK48" s="108" t="s">
        <v>63</v>
      </c>
      <c r="KNX48" s="108">
        <f t="shared" ref="KNX48:KNX49" si="247">SUM(KNL48:KNW48)</f>
        <v>0</v>
      </c>
      <c r="KOO48" s="108" t="s">
        <v>99</v>
      </c>
      <c r="KOQ48" s="108" t="s">
        <v>63</v>
      </c>
      <c r="KPD48" s="108">
        <f t="shared" ref="KPD48:KPD49" si="248">SUM(KOR48:KPC48)</f>
        <v>0</v>
      </c>
      <c r="KPU48" s="108" t="s">
        <v>99</v>
      </c>
      <c r="KPW48" s="108" t="s">
        <v>63</v>
      </c>
      <c r="KQJ48" s="108">
        <f t="shared" ref="KQJ48:KQJ49" si="249">SUM(KPX48:KQI48)</f>
        <v>0</v>
      </c>
      <c r="KRA48" s="108" t="s">
        <v>99</v>
      </c>
      <c r="KRC48" s="108" t="s">
        <v>63</v>
      </c>
      <c r="KRP48" s="108">
        <f t="shared" ref="KRP48:KRP49" si="250">SUM(KRD48:KRO48)</f>
        <v>0</v>
      </c>
      <c r="KSG48" s="108" t="s">
        <v>99</v>
      </c>
      <c r="KSI48" s="108" t="s">
        <v>63</v>
      </c>
      <c r="KSV48" s="108">
        <f t="shared" ref="KSV48:KSV49" si="251">SUM(KSJ48:KSU48)</f>
        <v>0</v>
      </c>
      <c r="KTM48" s="108" t="s">
        <v>99</v>
      </c>
      <c r="KTO48" s="108" t="s">
        <v>63</v>
      </c>
      <c r="KUB48" s="108">
        <f t="shared" ref="KUB48:KUB49" si="252">SUM(KTP48:KUA48)</f>
        <v>0</v>
      </c>
      <c r="KUS48" s="108" t="s">
        <v>99</v>
      </c>
      <c r="KUU48" s="108" t="s">
        <v>63</v>
      </c>
      <c r="KVH48" s="108">
        <f t="shared" ref="KVH48:KVH49" si="253">SUM(KUV48:KVG48)</f>
        <v>0</v>
      </c>
      <c r="KVY48" s="108" t="s">
        <v>99</v>
      </c>
      <c r="KWA48" s="108" t="s">
        <v>63</v>
      </c>
      <c r="KWN48" s="108">
        <f t="shared" ref="KWN48:KWN49" si="254">SUM(KWB48:KWM48)</f>
        <v>0</v>
      </c>
      <c r="KXE48" s="108" t="s">
        <v>99</v>
      </c>
      <c r="KXG48" s="108" t="s">
        <v>63</v>
      </c>
      <c r="KXT48" s="108">
        <f t="shared" ref="KXT48:KXT49" si="255">SUM(KXH48:KXS48)</f>
        <v>0</v>
      </c>
      <c r="KYK48" s="108" t="s">
        <v>99</v>
      </c>
      <c r="KYM48" s="108" t="s">
        <v>63</v>
      </c>
      <c r="KYZ48" s="108">
        <f t="shared" ref="KYZ48:KYZ49" si="256">SUM(KYN48:KYY48)</f>
        <v>0</v>
      </c>
      <c r="KZQ48" s="108" t="s">
        <v>99</v>
      </c>
      <c r="KZS48" s="108" t="s">
        <v>63</v>
      </c>
      <c r="LAF48" s="108">
        <f t="shared" ref="LAF48:LAF49" si="257">SUM(KZT48:LAE48)</f>
        <v>0</v>
      </c>
      <c r="LAW48" s="108" t="s">
        <v>99</v>
      </c>
      <c r="LAY48" s="108" t="s">
        <v>63</v>
      </c>
      <c r="LBL48" s="108">
        <f t="shared" ref="LBL48:LBL49" si="258">SUM(LAZ48:LBK48)</f>
        <v>0</v>
      </c>
      <c r="LCC48" s="108" t="s">
        <v>99</v>
      </c>
      <c r="LCE48" s="108" t="s">
        <v>63</v>
      </c>
      <c r="LCR48" s="108">
        <f t="shared" ref="LCR48:LCR49" si="259">SUM(LCF48:LCQ48)</f>
        <v>0</v>
      </c>
      <c r="LDI48" s="108" t="s">
        <v>99</v>
      </c>
      <c r="LDK48" s="108" t="s">
        <v>63</v>
      </c>
      <c r="LDX48" s="108">
        <f t="shared" ref="LDX48:LDX49" si="260">SUM(LDL48:LDW48)</f>
        <v>0</v>
      </c>
      <c r="LEO48" s="108" t="s">
        <v>99</v>
      </c>
      <c r="LEQ48" s="108" t="s">
        <v>63</v>
      </c>
      <c r="LFD48" s="108">
        <f t="shared" ref="LFD48:LFD49" si="261">SUM(LER48:LFC48)</f>
        <v>0</v>
      </c>
      <c r="LFU48" s="108" t="s">
        <v>99</v>
      </c>
      <c r="LFW48" s="108" t="s">
        <v>63</v>
      </c>
      <c r="LGJ48" s="108">
        <f t="shared" ref="LGJ48:LGJ49" si="262">SUM(LFX48:LGI48)</f>
        <v>0</v>
      </c>
      <c r="LHA48" s="108" t="s">
        <v>99</v>
      </c>
      <c r="LHC48" s="108" t="s">
        <v>63</v>
      </c>
      <c r="LHP48" s="108">
        <f t="shared" ref="LHP48:LHP49" si="263">SUM(LHD48:LHO48)</f>
        <v>0</v>
      </c>
      <c r="LIG48" s="108" t="s">
        <v>99</v>
      </c>
      <c r="LII48" s="108" t="s">
        <v>63</v>
      </c>
      <c r="LIV48" s="108">
        <f t="shared" ref="LIV48:LIV49" si="264">SUM(LIJ48:LIU48)</f>
        <v>0</v>
      </c>
      <c r="LJM48" s="108" t="s">
        <v>99</v>
      </c>
      <c r="LJO48" s="108" t="s">
        <v>63</v>
      </c>
      <c r="LKB48" s="108">
        <f t="shared" ref="LKB48:LKB49" si="265">SUM(LJP48:LKA48)</f>
        <v>0</v>
      </c>
      <c r="LKS48" s="108" t="s">
        <v>99</v>
      </c>
      <c r="LKU48" s="108" t="s">
        <v>63</v>
      </c>
      <c r="LLH48" s="108">
        <f t="shared" ref="LLH48:LLH49" si="266">SUM(LKV48:LLG48)</f>
        <v>0</v>
      </c>
      <c r="LLY48" s="108" t="s">
        <v>99</v>
      </c>
      <c r="LMA48" s="108" t="s">
        <v>63</v>
      </c>
      <c r="LMN48" s="108">
        <f t="shared" ref="LMN48:LMN49" si="267">SUM(LMB48:LMM48)</f>
        <v>0</v>
      </c>
      <c r="LNE48" s="108" t="s">
        <v>99</v>
      </c>
      <c r="LNG48" s="108" t="s">
        <v>63</v>
      </c>
      <c r="LNT48" s="108">
        <f t="shared" ref="LNT48:LNT49" si="268">SUM(LNH48:LNS48)</f>
        <v>0</v>
      </c>
      <c r="LOK48" s="108" t="s">
        <v>99</v>
      </c>
      <c r="LOM48" s="108" t="s">
        <v>63</v>
      </c>
      <c r="LOZ48" s="108">
        <f t="shared" ref="LOZ48:LOZ49" si="269">SUM(LON48:LOY48)</f>
        <v>0</v>
      </c>
      <c r="LPQ48" s="108" t="s">
        <v>99</v>
      </c>
      <c r="LPS48" s="108" t="s">
        <v>63</v>
      </c>
      <c r="LQF48" s="108">
        <f t="shared" ref="LQF48:LQF49" si="270">SUM(LPT48:LQE48)</f>
        <v>0</v>
      </c>
      <c r="LQW48" s="108" t="s">
        <v>99</v>
      </c>
      <c r="LQY48" s="108" t="s">
        <v>63</v>
      </c>
      <c r="LRL48" s="108">
        <f t="shared" ref="LRL48:LRL49" si="271">SUM(LQZ48:LRK48)</f>
        <v>0</v>
      </c>
      <c r="LSC48" s="108" t="s">
        <v>99</v>
      </c>
      <c r="LSE48" s="108" t="s">
        <v>63</v>
      </c>
      <c r="LSR48" s="108">
        <f t="shared" ref="LSR48:LSR49" si="272">SUM(LSF48:LSQ48)</f>
        <v>0</v>
      </c>
      <c r="LTI48" s="108" t="s">
        <v>99</v>
      </c>
      <c r="LTK48" s="108" t="s">
        <v>63</v>
      </c>
      <c r="LTX48" s="108">
        <f t="shared" ref="LTX48:LTX49" si="273">SUM(LTL48:LTW48)</f>
        <v>0</v>
      </c>
      <c r="LUO48" s="108" t="s">
        <v>99</v>
      </c>
      <c r="LUQ48" s="108" t="s">
        <v>63</v>
      </c>
      <c r="LVD48" s="108">
        <f t="shared" ref="LVD48:LVD49" si="274">SUM(LUR48:LVC48)</f>
        <v>0</v>
      </c>
      <c r="LVU48" s="108" t="s">
        <v>99</v>
      </c>
      <c r="LVW48" s="108" t="s">
        <v>63</v>
      </c>
      <c r="LWJ48" s="108">
        <f t="shared" ref="LWJ48:LWJ49" si="275">SUM(LVX48:LWI48)</f>
        <v>0</v>
      </c>
      <c r="LXA48" s="108" t="s">
        <v>99</v>
      </c>
      <c r="LXC48" s="108" t="s">
        <v>63</v>
      </c>
      <c r="LXP48" s="108">
        <f t="shared" ref="LXP48:LXP49" si="276">SUM(LXD48:LXO48)</f>
        <v>0</v>
      </c>
      <c r="LYG48" s="108" t="s">
        <v>99</v>
      </c>
      <c r="LYI48" s="108" t="s">
        <v>63</v>
      </c>
      <c r="LYV48" s="108">
        <f t="shared" ref="LYV48:LYV49" si="277">SUM(LYJ48:LYU48)</f>
        <v>0</v>
      </c>
      <c r="LZM48" s="108" t="s">
        <v>99</v>
      </c>
      <c r="LZO48" s="108" t="s">
        <v>63</v>
      </c>
      <c r="MAB48" s="108">
        <f t="shared" ref="MAB48:MAB49" si="278">SUM(LZP48:MAA48)</f>
        <v>0</v>
      </c>
      <c r="MAS48" s="108" t="s">
        <v>99</v>
      </c>
      <c r="MAU48" s="108" t="s">
        <v>63</v>
      </c>
      <c r="MBH48" s="108">
        <f t="shared" ref="MBH48:MBH49" si="279">SUM(MAV48:MBG48)</f>
        <v>0</v>
      </c>
      <c r="MBY48" s="108" t="s">
        <v>99</v>
      </c>
      <c r="MCA48" s="108" t="s">
        <v>63</v>
      </c>
      <c r="MCN48" s="108">
        <f t="shared" ref="MCN48:MCN49" si="280">SUM(MCB48:MCM48)</f>
        <v>0</v>
      </c>
      <c r="MDE48" s="108" t="s">
        <v>99</v>
      </c>
      <c r="MDG48" s="108" t="s">
        <v>63</v>
      </c>
      <c r="MDT48" s="108">
        <f t="shared" ref="MDT48:MDT49" si="281">SUM(MDH48:MDS48)</f>
        <v>0</v>
      </c>
      <c r="MEK48" s="108" t="s">
        <v>99</v>
      </c>
      <c r="MEM48" s="108" t="s">
        <v>63</v>
      </c>
      <c r="MEZ48" s="108">
        <f t="shared" ref="MEZ48:MEZ49" si="282">SUM(MEN48:MEY48)</f>
        <v>0</v>
      </c>
      <c r="MFQ48" s="108" t="s">
        <v>99</v>
      </c>
      <c r="MFS48" s="108" t="s">
        <v>63</v>
      </c>
      <c r="MGF48" s="108">
        <f t="shared" ref="MGF48:MGF49" si="283">SUM(MFT48:MGE48)</f>
        <v>0</v>
      </c>
      <c r="MGW48" s="108" t="s">
        <v>99</v>
      </c>
      <c r="MGY48" s="108" t="s">
        <v>63</v>
      </c>
      <c r="MHL48" s="108">
        <f t="shared" ref="MHL48:MHL49" si="284">SUM(MGZ48:MHK48)</f>
        <v>0</v>
      </c>
      <c r="MIC48" s="108" t="s">
        <v>99</v>
      </c>
      <c r="MIE48" s="108" t="s">
        <v>63</v>
      </c>
      <c r="MIR48" s="108">
        <f t="shared" ref="MIR48:MIR49" si="285">SUM(MIF48:MIQ48)</f>
        <v>0</v>
      </c>
      <c r="MJI48" s="108" t="s">
        <v>99</v>
      </c>
      <c r="MJK48" s="108" t="s">
        <v>63</v>
      </c>
      <c r="MJX48" s="108">
        <f t="shared" ref="MJX48:MJX49" si="286">SUM(MJL48:MJW48)</f>
        <v>0</v>
      </c>
      <c r="MKO48" s="108" t="s">
        <v>99</v>
      </c>
      <c r="MKQ48" s="108" t="s">
        <v>63</v>
      </c>
      <c r="MLD48" s="108">
        <f t="shared" ref="MLD48:MLD49" si="287">SUM(MKR48:MLC48)</f>
        <v>0</v>
      </c>
      <c r="MLU48" s="108" t="s">
        <v>99</v>
      </c>
      <c r="MLW48" s="108" t="s">
        <v>63</v>
      </c>
      <c r="MMJ48" s="108">
        <f t="shared" ref="MMJ48:MMJ49" si="288">SUM(MLX48:MMI48)</f>
        <v>0</v>
      </c>
      <c r="MNA48" s="108" t="s">
        <v>99</v>
      </c>
      <c r="MNC48" s="108" t="s">
        <v>63</v>
      </c>
      <c r="MNP48" s="108">
        <f t="shared" ref="MNP48:MNP49" si="289">SUM(MND48:MNO48)</f>
        <v>0</v>
      </c>
      <c r="MOG48" s="108" t="s">
        <v>99</v>
      </c>
      <c r="MOI48" s="108" t="s">
        <v>63</v>
      </c>
      <c r="MOV48" s="108">
        <f t="shared" ref="MOV48:MOV49" si="290">SUM(MOJ48:MOU48)</f>
        <v>0</v>
      </c>
      <c r="MPM48" s="108" t="s">
        <v>99</v>
      </c>
      <c r="MPO48" s="108" t="s">
        <v>63</v>
      </c>
      <c r="MQB48" s="108">
        <f t="shared" ref="MQB48:MQB49" si="291">SUM(MPP48:MQA48)</f>
        <v>0</v>
      </c>
      <c r="MQS48" s="108" t="s">
        <v>99</v>
      </c>
      <c r="MQU48" s="108" t="s">
        <v>63</v>
      </c>
      <c r="MRH48" s="108">
        <f t="shared" ref="MRH48:MRH49" si="292">SUM(MQV48:MRG48)</f>
        <v>0</v>
      </c>
      <c r="MRY48" s="108" t="s">
        <v>99</v>
      </c>
      <c r="MSA48" s="108" t="s">
        <v>63</v>
      </c>
      <c r="MSN48" s="108">
        <f t="shared" ref="MSN48:MSN49" si="293">SUM(MSB48:MSM48)</f>
        <v>0</v>
      </c>
      <c r="MTE48" s="108" t="s">
        <v>99</v>
      </c>
      <c r="MTG48" s="108" t="s">
        <v>63</v>
      </c>
      <c r="MTT48" s="108">
        <f t="shared" ref="MTT48:MTT49" si="294">SUM(MTH48:MTS48)</f>
        <v>0</v>
      </c>
      <c r="MUK48" s="108" t="s">
        <v>99</v>
      </c>
      <c r="MUM48" s="108" t="s">
        <v>63</v>
      </c>
      <c r="MUZ48" s="108">
        <f t="shared" ref="MUZ48:MUZ49" si="295">SUM(MUN48:MUY48)</f>
        <v>0</v>
      </c>
      <c r="MVQ48" s="108" t="s">
        <v>99</v>
      </c>
      <c r="MVS48" s="108" t="s">
        <v>63</v>
      </c>
      <c r="MWF48" s="108">
        <f t="shared" ref="MWF48:MWF49" si="296">SUM(MVT48:MWE48)</f>
        <v>0</v>
      </c>
      <c r="MWW48" s="108" t="s">
        <v>99</v>
      </c>
      <c r="MWY48" s="108" t="s">
        <v>63</v>
      </c>
      <c r="MXL48" s="108">
        <f t="shared" ref="MXL48:MXL49" si="297">SUM(MWZ48:MXK48)</f>
        <v>0</v>
      </c>
      <c r="MYC48" s="108" t="s">
        <v>99</v>
      </c>
      <c r="MYE48" s="108" t="s">
        <v>63</v>
      </c>
      <c r="MYR48" s="108">
        <f t="shared" ref="MYR48:MYR49" si="298">SUM(MYF48:MYQ48)</f>
        <v>0</v>
      </c>
      <c r="MZI48" s="108" t="s">
        <v>99</v>
      </c>
      <c r="MZK48" s="108" t="s">
        <v>63</v>
      </c>
      <c r="MZX48" s="108">
        <f t="shared" ref="MZX48:MZX49" si="299">SUM(MZL48:MZW48)</f>
        <v>0</v>
      </c>
      <c r="NAO48" s="108" t="s">
        <v>99</v>
      </c>
      <c r="NAQ48" s="108" t="s">
        <v>63</v>
      </c>
      <c r="NBD48" s="108">
        <f t="shared" ref="NBD48:NBD49" si="300">SUM(NAR48:NBC48)</f>
        <v>0</v>
      </c>
      <c r="NBU48" s="108" t="s">
        <v>99</v>
      </c>
      <c r="NBW48" s="108" t="s">
        <v>63</v>
      </c>
      <c r="NCJ48" s="108">
        <f t="shared" ref="NCJ48:NCJ49" si="301">SUM(NBX48:NCI48)</f>
        <v>0</v>
      </c>
      <c r="NDA48" s="108" t="s">
        <v>99</v>
      </c>
      <c r="NDC48" s="108" t="s">
        <v>63</v>
      </c>
      <c r="NDP48" s="108">
        <f t="shared" ref="NDP48:NDP49" si="302">SUM(NDD48:NDO48)</f>
        <v>0</v>
      </c>
      <c r="NEG48" s="108" t="s">
        <v>99</v>
      </c>
      <c r="NEI48" s="108" t="s">
        <v>63</v>
      </c>
      <c r="NEV48" s="108">
        <f t="shared" ref="NEV48:NEV49" si="303">SUM(NEJ48:NEU48)</f>
        <v>0</v>
      </c>
      <c r="NFM48" s="108" t="s">
        <v>99</v>
      </c>
      <c r="NFO48" s="108" t="s">
        <v>63</v>
      </c>
      <c r="NGB48" s="108">
        <f t="shared" ref="NGB48:NGB49" si="304">SUM(NFP48:NGA48)</f>
        <v>0</v>
      </c>
      <c r="NGS48" s="108" t="s">
        <v>99</v>
      </c>
      <c r="NGU48" s="108" t="s">
        <v>63</v>
      </c>
      <c r="NHH48" s="108">
        <f t="shared" ref="NHH48:NHH49" si="305">SUM(NGV48:NHG48)</f>
        <v>0</v>
      </c>
      <c r="NHY48" s="108" t="s">
        <v>99</v>
      </c>
      <c r="NIA48" s="108" t="s">
        <v>63</v>
      </c>
      <c r="NIN48" s="108">
        <f t="shared" ref="NIN48:NIN49" si="306">SUM(NIB48:NIM48)</f>
        <v>0</v>
      </c>
      <c r="NJE48" s="108" t="s">
        <v>99</v>
      </c>
      <c r="NJG48" s="108" t="s">
        <v>63</v>
      </c>
      <c r="NJT48" s="108">
        <f t="shared" ref="NJT48:NJT49" si="307">SUM(NJH48:NJS48)</f>
        <v>0</v>
      </c>
      <c r="NKK48" s="108" t="s">
        <v>99</v>
      </c>
      <c r="NKM48" s="108" t="s">
        <v>63</v>
      </c>
      <c r="NKZ48" s="108">
        <f t="shared" ref="NKZ48:NKZ49" si="308">SUM(NKN48:NKY48)</f>
        <v>0</v>
      </c>
      <c r="NLQ48" s="108" t="s">
        <v>99</v>
      </c>
      <c r="NLS48" s="108" t="s">
        <v>63</v>
      </c>
      <c r="NMF48" s="108">
        <f t="shared" ref="NMF48:NMF49" si="309">SUM(NLT48:NME48)</f>
        <v>0</v>
      </c>
      <c r="NMW48" s="108" t="s">
        <v>99</v>
      </c>
      <c r="NMY48" s="108" t="s">
        <v>63</v>
      </c>
      <c r="NNL48" s="108">
        <f t="shared" ref="NNL48:NNL49" si="310">SUM(NMZ48:NNK48)</f>
        <v>0</v>
      </c>
      <c r="NOC48" s="108" t="s">
        <v>99</v>
      </c>
      <c r="NOE48" s="108" t="s">
        <v>63</v>
      </c>
      <c r="NOR48" s="108">
        <f t="shared" ref="NOR48:NOR49" si="311">SUM(NOF48:NOQ48)</f>
        <v>0</v>
      </c>
      <c r="NPI48" s="108" t="s">
        <v>99</v>
      </c>
      <c r="NPK48" s="108" t="s">
        <v>63</v>
      </c>
      <c r="NPX48" s="108">
        <f t="shared" ref="NPX48:NPX49" si="312">SUM(NPL48:NPW48)</f>
        <v>0</v>
      </c>
      <c r="NQO48" s="108" t="s">
        <v>99</v>
      </c>
      <c r="NQQ48" s="108" t="s">
        <v>63</v>
      </c>
      <c r="NRD48" s="108">
        <f t="shared" ref="NRD48:NRD49" si="313">SUM(NQR48:NRC48)</f>
        <v>0</v>
      </c>
      <c r="NRU48" s="108" t="s">
        <v>99</v>
      </c>
      <c r="NRW48" s="108" t="s">
        <v>63</v>
      </c>
      <c r="NSJ48" s="108">
        <f t="shared" ref="NSJ48:NSJ49" si="314">SUM(NRX48:NSI48)</f>
        <v>0</v>
      </c>
      <c r="NTA48" s="108" t="s">
        <v>99</v>
      </c>
      <c r="NTC48" s="108" t="s">
        <v>63</v>
      </c>
      <c r="NTP48" s="108">
        <f t="shared" ref="NTP48:NTP49" si="315">SUM(NTD48:NTO48)</f>
        <v>0</v>
      </c>
      <c r="NUG48" s="108" t="s">
        <v>99</v>
      </c>
      <c r="NUI48" s="108" t="s">
        <v>63</v>
      </c>
      <c r="NUV48" s="108">
        <f t="shared" ref="NUV48:NUV49" si="316">SUM(NUJ48:NUU48)</f>
        <v>0</v>
      </c>
      <c r="NVM48" s="108" t="s">
        <v>99</v>
      </c>
      <c r="NVO48" s="108" t="s">
        <v>63</v>
      </c>
      <c r="NWB48" s="108">
        <f t="shared" ref="NWB48:NWB49" si="317">SUM(NVP48:NWA48)</f>
        <v>0</v>
      </c>
      <c r="NWS48" s="108" t="s">
        <v>99</v>
      </c>
      <c r="NWU48" s="108" t="s">
        <v>63</v>
      </c>
      <c r="NXH48" s="108">
        <f t="shared" ref="NXH48:NXH49" si="318">SUM(NWV48:NXG48)</f>
        <v>0</v>
      </c>
      <c r="NXY48" s="108" t="s">
        <v>99</v>
      </c>
      <c r="NYA48" s="108" t="s">
        <v>63</v>
      </c>
      <c r="NYN48" s="108">
        <f t="shared" ref="NYN48:NYN49" si="319">SUM(NYB48:NYM48)</f>
        <v>0</v>
      </c>
      <c r="NZE48" s="108" t="s">
        <v>99</v>
      </c>
      <c r="NZG48" s="108" t="s">
        <v>63</v>
      </c>
      <c r="NZT48" s="108">
        <f t="shared" ref="NZT48:NZT49" si="320">SUM(NZH48:NZS48)</f>
        <v>0</v>
      </c>
      <c r="OAK48" s="108" t="s">
        <v>99</v>
      </c>
      <c r="OAM48" s="108" t="s">
        <v>63</v>
      </c>
      <c r="OAZ48" s="108">
        <f t="shared" ref="OAZ48:OAZ49" si="321">SUM(OAN48:OAY48)</f>
        <v>0</v>
      </c>
      <c r="OBQ48" s="108" t="s">
        <v>99</v>
      </c>
      <c r="OBS48" s="108" t="s">
        <v>63</v>
      </c>
      <c r="OCF48" s="108">
        <f t="shared" ref="OCF48:OCF49" si="322">SUM(OBT48:OCE48)</f>
        <v>0</v>
      </c>
      <c r="OCW48" s="108" t="s">
        <v>99</v>
      </c>
      <c r="OCY48" s="108" t="s">
        <v>63</v>
      </c>
      <c r="ODL48" s="108">
        <f t="shared" ref="ODL48:ODL49" si="323">SUM(OCZ48:ODK48)</f>
        <v>0</v>
      </c>
      <c r="OEC48" s="108" t="s">
        <v>99</v>
      </c>
      <c r="OEE48" s="108" t="s">
        <v>63</v>
      </c>
      <c r="OER48" s="108">
        <f t="shared" ref="OER48:OER49" si="324">SUM(OEF48:OEQ48)</f>
        <v>0</v>
      </c>
      <c r="OFI48" s="108" t="s">
        <v>99</v>
      </c>
      <c r="OFK48" s="108" t="s">
        <v>63</v>
      </c>
      <c r="OFX48" s="108">
        <f t="shared" ref="OFX48:OFX49" si="325">SUM(OFL48:OFW48)</f>
        <v>0</v>
      </c>
      <c r="OGO48" s="108" t="s">
        <v>99</v>
      </c>
      <c r="OGQ48" s="108" t="s">
        <v>63</v>
      </c>
      <c r="OHD48" s="108">
        <f t="shared" ref="OHD48:OHD49" si="326">SUM(OGR48:OHC48)</f>
        <v>0</v>
      </c>
      <c r="OHU48" s="108" t="s">
        <v>99</v>
      </c>
      <c r="OHW48" s="108" t="s">
        <v>63</v>
      </c>
      <c r="OIJ48" s="108">
        <f t="shared" ref="OIJ48:OIJ49" si="327">SUM(OHX48:OII48)</f>
        <v>0</v>
      </c>
      <c r="OJA48" s="108" t="s">
        <v>99</v>
      </c>
      <c r="OJC48" s="108" t="s">
        <v>63</v>
      </c>
      <c r="OJP48" s="108">
        <f t="shared" ref="OJP48:OJP49" si="328">SUM(OJD48:OJO48)</f>
        <v>0</v>
      </c>
      <c r="OKG48" s="108" t="s">
        <v>99</v>
      </c>
      <c r="OKI48" s="108" t="s">
        <v>63</v>
      </c>
      <c r="OKV48" s="108">
        <f t="shared" ref="OKV48:OKV49" si="329">SUM(OKJ48:OKU48)</f>
        <v>0</v>
      </c>
      <c r="OLM48" s="108" t="s">
        <v>99</v>
      </c>
      <c r="OLO48" s="108" t="s">
        <v>63</v>
      </c>
      <c r="OMB48" s="108">
        <f t="shared" ref="OMB48:OMB49" si="330">SUM(OLP48:OMA48)</f>
        <v>0</v>
      </c>
      <c r="OMS48" s="108" t="s">
        <v>99</v>
      </c>
      <c r="OMU48" s="108" t="s">
        <v>63</v>
      </c>
      <c r="ONH48" s="108">
        <f t="shared" ref="ONH48:ONH49" si="331">SUM(OMV48:ONG48)</f>
        <v>0</v>
      </c>
      <c r="ONY48" s="108" t="s">
        <v>99</v>
      </c>
      <c r="OOA48" s="108" t="s">
        <v>63</v>
      </c>
      <c r="OON48" s="108">
        <f t="shared" ref="OON48:OON49" si="332">SUM(OOB48:OOM48)</f>
        <v>0</v>
      </c>
      <c r="OPE48" s="108" t="s">
        <v>99</v>
      </c>
      <c r="OPG48" s="108" t="s">
        <v>63</v>
      </c>
      <c r="OPT48" s="108">
        <f t="shared" ref="OPT48:OPT49" si="333">SUM(OPH48:OPS48)</f>
        <v>0</v>
      </c>
      <c r="OQK48" s="108" t="s">
        <v>99</v>
      </c>
      <c r="OQM48" s="108" t="s">
        <v>63</v>
      </c>
      <c r="OQZ48" s="108">
        <f t="shared" ref="OQZ48:OQZ49" si="334">SUM(OQN48:OQY48)</f>
        <v>0</v>
      </c>
      <c r="ORQ48" s="108" t="s">
        <v>99</v>
      </c>
      <c r="ORS48" s="108" t="s">
        <v>63</v>
      </c>
      <c r="OSF48" s="108">
        <f t="shared" ref="OSF48:OSF49" si="335">SUM(ORT48:OSE48)</f>
        <v>0</v>
      </c>
      <c r="OSW48" s="108" t="s">
        <v>99</v>
      </c>
      <c r="OSY48" s="108" t="s">
        <v>63</v>
      </c>
      <c r="OTL48" s="108">
        <f t="shared" ref="OTL48:OTL49" si="336">SUM(OSZ48:OTK48)</f>
        <v>0</v>
      </c>
      <c r="OUC48" s="108" t="s">
        <v>99</v>
      </c>
      <c r="OUE48" s="108" t="s">
        <v>63</v>
      </c>
      <c r="OUR48" s="108">
        <f t="shared" ref="OUR48:OUR49" si="337">SUM(OUF48:OUQ48)</f>
        <v>0</v>
      </c>
      <c r="OVI48" s="108" t="s">
        <v>99</v>
      </c>
      <c r="OVK48" s="108" t="s">
        <v>63</v>
      </c>
      <c r="OVX48" s="108">
        <f t="shared" ref="OVX48:OVX49" si="338">SUM(OVL48:OVW48)</f>
        <v>0</v>
      </c>
      <c r="OWO48" s="108" t="s">
        <v>99</v>
      </c>
      <c r="OWQ48" s="108" t="s">
        <v>63</v>
      </c>
      <c r="OXD48" s="108">
        <f t="shared" ref="OXD48:OXD49" si="339">SUM(OWR48:OXC48)</f>
        <v>0</v>
      </c>
      <c r="OXU48" s="108" t="s">
        <v>99</v>
      </c>
      <c r="OXW48" s="108" t="s">
        <v>63</v>
      </c>
      <c r="OYJ48" s="108">
        <f t="shared" ref="OYJ48:OYJ49" si="340">SUM(OXX48:OYI48)</f>
        <v>0</v>
      </c>
      <c r="OZA48" s="108" t="s">
        <v>99</v>
      </c>
      <c r="OZC48" s="108" t="s">
        <v>63</v>
      </c>
      <c r="OZP48" s="108">
        <f t="shared" ref="OZP48:OZP49" si="341">SUM(OZD48:OZO48)</f>
        <v>0</v>
      </c>
      <c r="PAG48" s="108" t="s">
        <v>99</v>
      </c>
      <c r="PAI48" s="108" t="s">
        <v>63</v>
      </c>
      <c r="PAV48" s="108">
        <f t="shared" ref="PAV48:PAV49" si="342">SUM(PAJ48:PAU48)</f>
        <v>0</v>
      </c>
      <c r="PBM48" s="108" t="s">
        <v>99</v>
      </c>
      <c r="PBO48" s="108" t="s">
        <v>63</v>
      </c>
      <c r="PCB48" s="108">
        <f t="shared" ref="PCB48:PCB49" si="343">SUM(PBP48:PCA48)</f>
        <v>0</v>
      </c>
      <c r="PCS48" s="108" t="s">
        <v>99</v>
      </c>
      <c r="PCU48" s="108" t="s">
        <v>63</v>
      </c>
      <c r="PDH48" s="108">
        <f t="shared" ref="PDH48:PDH49" si="344">SUM(PCV48:PDG48)</f>
        <v>0</v>
      </c>
      <c r="PDY48" s="108" t="s">
        <v>99</v>
      </c>
      <c r="PEA48" s="108" t="s">
        <v>63</v>
      </c>
      <c r="PEN48" s="108">
        <f t="shared" ref="PEN48:PEN49" si="345">SUM(PEB48:PEM48)</f>
        <v>0</v>
      </c>
      <c r="PFE48" s="108" t="s">
        <v>99</v>
      </c>
      <c r="PFG48" s="108" t="s">
        <v>63</v>
      </c>
      <c r="PFT48" s="108">
        <f t="shared" ref="PFT48:PFT49" si="346">SUM(PFH48:PFS48)</f>
        <v>0</v>
      </c>
      <c r="PGK48" s="108" t="s">
        <v>99</v>
      </c>
      <c r="PGM48" s="108" t="s">
        <v>63</v>
      </c>
      <c r="PGZ48" s="108">
        <f t="shared" ref="PGZ48:PGZ49" si="347">SUM(PGN48:PGY48)</f>
        <v>0</v>
      </c>
      <c r="PHQ48" s="108" t="s">
        <v>99</v>
      </c>
      <c r="PHS48" s="108" t="s">
        <v>63</v>
      </c>
      <c r="PIF48" s="108">
        <f t="shared" ref="PIF48:PIF49" si="348">SUM(PHT48:PIE48)</f>
        <v>0</v>
      </c>
      <c r="PIW48" s="108" t="s">
        <v>99</v>
      </c>
      <c r="PIY48" s="108" t="s">
        <v>63</v>
      </c>
      <c r="PJL48" s="108">
        <f t="shared" ref="PJL48:PJL49" si="349">SUM(PIZ48:PJK48)</f>
        <v>0</v>
      </c>
      <c r="PKC48" s="108" t="s">
        <v>99</v>
      </c>
      <c r="PKE48" s="108" t="s">
        <v>63</v>
      </c>
      <c r="PKR48" s="108">
        <f t="shared" ref="PKR48:PKR49" si="350">SUM(PKF48:PKQ48)</f>
        <v>0</v>
      </c>
      <c r="PLI48" s="108" t="s">
        <v>99</v>
      </c>
      <c r="PLK48" s="108" t="s">
        <v>63</v>
      </c>
      <c r="PLX48" s="108">
        <f t="shared" ref="PLX48:PLX49" si="351">SUM(PLL48:PLW48)</f>
        <v>0</v>
      </c>
      <c r="PMO48" s="108" t="s">
        <v>99</v>
      </c>
      <c r="PMQ48" s="108" t="s">
        <v>63</v>
      </c>
      <c r="PND48" s="108">
        <f t="shared" ref="PND48:PND49" si="352">SUM(PMR48:PNC48)</f>
        <v>0</v>
      </c>
      <c r="PNU48" s="108" t="s">
        <v>99</v>
      </c>
      <c r="PNW48" s="108" t="s">
        <v>63</v>
      </c>
      <c r="POJ48" s="108">
        <f t="shared" ref="POJ48:POJ49" si="353">SUM(PNX48:POI48)</f>
        <v>0</v>
      </c>
      <c r="PPA48" s="108" t="s">
        <v>99</v>
      </c>
      <c r="PPC48" s="108" t="s">
        <v>63</v>
      </c>
      <c r="PPP48" s="108">
        <f t="shared" ref="PPP48:PPP49" si="354">SUM(PPD48:PPO48)</f>
        <v>0</v>
      </c>
      <c r="PQG48" s="108" t="s">
        <v>99</v>
      </c>
      <c r="PQI48" s="108" t="s">
        <v>63</v>
      </c>
      <c r="PQV48" s="108">
        <f t="shared" ref="PQV48:PQV49" si="355">SUM(PQJ48:PQU48)</f>
        <v>0</v>
      </c>
      <c r="PRM48" s="108" t="s">
        <v>99</v>
      </c>
      <c r="PRO48" s="108" t="s">
        <v>63</v>
      </c>
      <c r="PSB48" s="108">
        <f t="shared" ref="PSB48:PSB49" si="356">SUM(PRP48:PSA48)</f>
        <v>0</v>
      </c>
      <c r="PSS48" s="108" t="s">
        <v>99</v>
      </c>
      <c r="PSU48" s="108" t="s">
        <v>63</v>
      </c>
      <c r="PTH48" s="108">
        <f t="shared" ref="PTH48:PTH49" si="357">SUM(PSV48:PTG48)</f>
        <v>0</v>
      </c>
      <c r="PTY48" s="108" t="s">
        <v>99</v>
      </c>
      <c r="PUA48" s="108" t="s">
        <v>63</v>
      </c>
      <c r="PUN48" s="108">
        <f t="shared" ref="PUN48:PUN49" si="358">SUM(PUB48:PUM48)</f>
        <v>0</v>
      </c>
      <c r="PVE48" s="108" t="s">
        <v>99</v>
      </c>
      <c r="PVG48" s="108" t="s">
        <v>63</v>
      </c>
      <c r="PVT48" s="108">
        <f t="shared" ref="PVT48:PVT49" si="359">SUM(PVH48:PVS48)</f>
        <v>0</v>
      </c>
      <c r="PWK48" s="108" t="s">
        <v>99</v>
      </c>
      <c r="PWM48" s="108" t="s">
        <v>63</v>
      </c>
      <c r="PWZ48" s="108">
        <f t="shared" ref="PWZ48:PWZ49" si="360">SUM(PWN48:PWY48)</f>
        <v>0</v>
      </c>
      <c r="PXQ48" s="108" t="s">
        <v>99</v>
      </c>
      <c r="PXS48" s="108" t="s">
        <v>63</v>
      </c>
      <c r="PYF48" s="108">
        <f t="shared" ref="PYF48:PYF49" si="361">SUM(PXT48:PYE48)</f>
        <v>0</v>
      </c>
      <c r="PYW48" s="108" t="s">
        <v>99</v>
      </c>
      <c r="PYY48" s="108" t="s">
        <v>63</v>
      </c>
      <c r="PZL48" s="108">
        <f t="shared" ref="PZL48:PZL49" si="362">SUM(PYZ48:PZK48)</f>
        <v>0</v>
      </c>
      <c r="QAC48" s="108" t="s">
        <v>99</v>
      </c>
      <c r="QAE48" s="108" t="s">
        <v>63</v>
      </c>
      <c r="QAR48" s="108">
        <f t="shared" ref="QAR48:QAR49" si="363">SUM(QAF48:QAQ48)</f>
        <v>0</v>
      </c>
      <c r="QBI48" s="108" t="s">
        <v>99</v>
      </c>
      <c r="QBK48" s="108" t="s">
        <v>63</v>
      </c>
      <c r="QBX48" s="108">
        <f t="shared" ref="QBX48:QBX49" si="364">SUM(QBL48:QBW48)</f>
        <v>0</v>
      </c>
      <c r="QCO48" s="108" t="s">
        <v>99</v>
      </c>
      <c r="QCQ48" s="108" t="s">
        <v>63</v>
      </c>
      <c r="QDD48" s="108">
        <f t="shared" ref="QDD48:QDD49" si="365">SUM(QCR48:QDC48)</f>
        <v>0</v>
      </c>
      <c r="QDU48" s="108" t="s">
        <v>99</v>
      </c>
      <c r="QDW48" s="108" t="s">
        <v>63</v>
      </c>
      <c r="QEJ48" s="108">
        <f t="shared" ref="QEJ48:QEJ49" si="366">SUM(QDX48:QEI48)</f>
        <v>0</v>
      </c>
      <c r="QFA48" s="108" t="s">
        <v>99</v>
      </c>
      <c r="QFC48" s="108" t="s">
        <v>63</v>
      </c>
      <c r="QFP48" s="108">
        <f t="shared" ref="QFP48:QFP49" si="367">SUM(QFD48:QFO48)</f>
        <v>0</v>
      </c>
      <c r="QGG48" s="108" t="s">
        <v>99</v>
      </c>
      <c r="QGI48" s="108" t="s">
        <v>63</v>
      </c>
      <c r="QGV48" s="108">
        <f t="shared" ref="QGV48:QGV49" si="368">SUM(QGJ48:QGU48)</f>
        <v>0</v>
      </c>
      <c r="QHM48" s="108" t="s">
        <v>99</v>
      </c>
      <c r="QHO48" s="108" t="s">
        <v>63</v>
      </c>
      <c r="QIB48" s="108">
        <f t="shared" ref="QIB48:QIB49" si="369">SUM(QHP48:QIA48)</f>
        <v>0</v>
      </c>
      <c r="QIS48" s="108" t="s">
        <v>99</v>
      </c>
      <c r="QIU48" s="108" t="s">
        <v>63</v>
      </c>
      <c r="QJH48" s="108">
        <f t="shared" ref="QJH48:QJH49" si="370">SUM(QIV48:QJG48)</f>
        <v>0</v>
      </c>
      <c r="QJY48" s="108" t="s">
        <v>99</v>
      </c>
      <c r="QKA48" s="108" t="s">
        <v>63</v>
      </c>
      <c r="QKN48" s="108">
        <f t="shared" ref="QKN48:QKN49" si="371">SUM(QKB48:QKM48)</f>
        <v>0</v>
      </c>
      <c r="QLE48" s="108" t="s">
        <v>99</v>
      </c>
      <c r="QLG48" s="108" t="s">
        <v>63</v>
      </c>
      <c r="QLT48" s="108">
        <f t="shared" ref="QLT48:QLT49" si="372">SUM(QLH48:QLS48)</f>
        <v>0</v>
      </c>
      <c r="QMK48" s="108" t="s">
        <v>99</v>
      </c>
      <c r="QMM48" s="108" t="s">
        <v>63</v>
      </c>
      <c r="QMZ48" s="108">
        <f t="shared" ref="QMZ48:QMZ49" si="373">SUM(QMN48:QMY48)</f>
        <v>0</v>
      </c>
      <c r="QNQ48" s="108" t="s">
        <v>99</v>
      </c>
      <c r="QNS48" s="108" t="s">
        <v>63</v>
      </c>
      <c r="QOF48" s="108">
        <f t="shared" ref="QOF48:QOF49" si="374">SUM(QNT48:QOE48)</f>
        <v>0</v>
      </c>
      <c r="QOW48" s="108" t="s">
        <v>99</v>
      </c>
      <c r="QOY48" s="108" t="s">
        <v>63</v>
      </c>
      <c r="QPL48" s="108">
        <f t="shared" ref="QPL48:QPL49" si="375">SUM(QOZ48:QPK48)</f>
        <v>0</v>
      </c>
      <c r="QQC48" s="108" t="s">
        <v>99</v>
      </c>
      <c r="QQE48" s="108" t="s">
        <v>63</v>
      </c>
      <c r="QQR48" s="108">
        <f t="shared" ref="QQR48:QQR49" si="376">SUM(QQF48:QQQ48)</f>
        <v>0</v>
      </c>
      <c r="QRI48" s="108" t="s">
        <v>99</v>
      </c>
      <c r="QRK48" s="108" t="s">
        <v>63</v>
      </c>
      <c r="QRX48" s="108">
        <f t="shared" ref="QRX48:QRX49" si="377">SUM(QRL48:QRW48)</f>
        <v>0</v>
      </c>
      <c r="QSO48" s="108" t="s">
        <v>99</v>
      </c>
      <c r="QSQ48" s="108" t="s">
        <v>63</v>
      </c>
      <c r="QTD48" s="108">
        <f t="shared" ref="QTD48:QTD49" si="378">SUM(QSR48:QTC48)</f>
        <v>0</v>
      </c>
      <c r="QTU48" s="108" t="s">
        <v>99</v>
      </c>
      <c r="QTW48" s="108" t="s">
        <v>63</v>
      </c>
      <c r="QUJ48" s="108">
        <f t="shared" ref="QUJ48:QUJ49" si="379">SUM(QTX48:QUI48)</f>
        <v>0</v>
      </c>
      <c r="QVA48" s="108" t="s">
        <v>99</v>
      </c>
      <c r="QVC48" s="108" t="s">
        <v>63</v>
      </c>
      <c r="QVP48" s="108">
        <f t="shared" ref="QVP48:QVP49" si="380">SUM(QVD48:QVO48)</f>
        <v>0</v>
      </c>
      <c r="QWG48" s="108" t="s">
        <v>99</v>
      </c>
      <c r="QWI48" s="108" t="s">
        <v>63</v>
      </c>
      <c r="QWV48" s="108">
        <f t="shared" ref="QWV48:QWV49" si="381">SUM(QWJ48:QWU48)</f>
        <v>0</v>
      </c>
      <c r="QXM48" s="108" t="s">
        <v>99</v>
      </c>
      <c r="QXO48" s="108" t="s">
        <v>63</v>
      </c>
      <c r="QYB48" s="108">
        <f t="shared" ref="QYB48:QYB49" si="382">SUM(QXP48:QYA48)</f>
        <v>0</v>
      </c>
      <c r="QYS48" s="108" t="s">
        <v>99</v>
      </c>
      <c r="QYU48" s="108" t="s">
        <v>63</v>
      </c>
      <c r="QZH48" s="108">
        <f t="shared" ref="QZH48:QZH49" si="383">SUM(QYV48:QZG48)</f>
        <v>0</v>
      </c>
      <c r="QZY48" s="108" t="s">
        <v>99</v>
      </c>
      <c r="RAA48" s="108" t="s">
        <v>63</v>
      </c>
      <c r="RAN48" s="108">
        <f t="shared" ref="RAN48:RAN49" si="384">SUM(RAB48:RAM48)</f>
        <v>0</v>
      </c>
      <c r="RBE48" s="108" t="s">
        <v>99</v>
      </c>
      <c r="RBG48" s="108" t="s">
        <v>63</v>
      </c>
      <c r="RBT48" s="108">
        <f t="shared" ref="RBT48:RBT49" si="385">SUM(RBH48:RBS48)</f>
        <v>0</v>
      </c>
      <c r="RCK48" s="108" t="s">
        <v>99</v>
      </c>
      <c r="RCM48" s="108" t="s">
        <v>63</v>
      </c>
      <c r="RCZ48" s="108">
        <f t="shared" ref="RCZ48:RCZ49" si="386">SUM(RCN48:RCY48)</f>
        <v>0</v>
      </c>
      <c r="RDQ48" s="108" t="s">
        <v>99</v>
      </c>
      <c r="RDS48" s="108" t="s">
        <v>63</v>
      </c>
      <c r="REF48" s="108">
        <f t="shared" ref="REF48:REF49" si="387">SUM(RDT48:REE48)</f>
        <v>0</v>
      </c>
      <c r="REW48" s="108" t="s">
        <v>99</v>
      </c>
      <c r="REY48" s="108" t="s">
        <v>63</v>
      </c>
      <c r="RFL48" s="108">
        <f t="shared" ref="RFL48:RFL49" si="388">SUM(REZ48:RFK48)</f>
        <v>0</v>
      </c>
      <c r="RGC48" s="108" t="s">
        <v>99</v>
      </c>
      <c r="RGE48" s="108" t="s">
        <v>63</v>
      </c>
      <c r="RGR48" s="108">
        <f t="shared" ref="RGR48:RGR49" si="389">SUM(RGF48:RGQ48)</f>
        <v>0</v>
      </c>
      <c r="RHI48" s="108" t="s">
        <v>99</v>
      </c>
      <c r="RHK48" s="108" t="s">
        <v>63</v>
      </c>
      <c r="RHX48" s="108">
        <f t="shared" ref="RHX48:RHX49" si="390">SUM(RHL48:RHW48)</f>
        <v>0</v>
      </c>
      <c r="RIO48" s="108" t="s">
        <v>99</v>
      </c>
      <c r="RIQ48" s="108" t="s">
        <v>63</v>
      </c>
      <c r="RJD48" s="108">
        <f t="shared" ref="RJD48:RJD49" si="391">SUM(RIR48:RJC48)</f>
        <v>0</v>
      </c>
      <c r="RJU48" s="108" t="s">
        <v>99</v>
      </c>
      <c r="RJW48" s="108" t="s">
        <v>63</v>
      </c>
      <c r="RKJ48" s="108">
        <f t="shared" ref="RKJ48:RKJ49" si="392">SUM(RJX48:RKI48)</f>
        <v>0</v>
      </c>
      <c r="RLA48" s="108" t="s">
        <v>99</v>
      </c>
      <c r="RLC48" s="108" t="s">
        <v>63</v>
      </c>
      <c r="RLP48" s="108">
        <f t="shared" ref="RLP48:RLP49" si="393">SUM(RLD48:RLO48)</f>
        <v>0</v>
      </c>
      <c r="RMG48" s="108" t="s">
        <v>99</v>
      </c>
      <c r="RMI48" s="108" t="s">
        <v>63</v>
      </c>
      <c r="RMV48" s="108">
        <f t="shared" ref="RMV48:RMV49" si="394">SUM(RMJ48:RMU48)</f>
        <v>0</v>
      </c>
      <c r="RNM48" s="108" t="s">
        <v>99</v>
      </c>
      <c r="RNO48" s="108" t="s">
        <v>63</v>
      </c>
      <c r="ROB48" s="108">
        <f t="shared" ref="ROB48:ROB49" si="395">SUM(RNP48:ROA48)</f>
        <v>0</v>
      </c>
      <c r="ROS48" s="108" t="s">
        <v>99</v>
      </c>
      <c r="ROU48" s="108" t="s">
        <v>63</v>
      </c>
      <c r="RPH48" s="108">
        <f t="shared" ref="RPH48:RPH49" si="396">SUM(ROV48:RPG48)</f>
        <v>0</v>
      </c>
      <c r="RPY48" s="108" t="s">
        <v>99</v>
      </c>
      <c r="RQA48" s="108" t="s">
        <v>63</v>
      </c>
      <c r="RQN48" s="108">
        <f t="shared" ref="RQN48:RQN49" si="397">SUM(RQB48:RQM48)</f>
        <v>0</v>
      </c>
      <c r="RRE48" s="108" t="s">
        <v>99</v>
      </c>
      <c r="RRG48" s="108" t="s">
        <v>63</v>
      </c>
      <c r="RRT48" s="108">
        <f t="shared" ref="RRT48:RRT49" si="398">SUM(RRH48:RRS48)</f>
        <v>0</v>
      </c>
      <c r="RSK48" s="108" t="s">
        <v>99</v>
      </c>
      <c r="RSM48" s="108" t="s">
        <v>63</v>
      </c>
      <c r="RSZ48" s="108">
        <f t="shared" ref="RSZ48:RSZ49" si="399">SUM(RSN48:RSY48)</f>
        <v>0</v>
      </c>
      <c r="RTQ48" s="108" t="s">
        <v>99</v>
      </c>
      <c r="RTS48" s="108" t="s">
        <v>63</v>
      </c>
      <c r="RUF48" s="108">
        <f t="shared" ref="RUF48:RUF49" si="400">SUM(RTT48:RUE48)</f>
        <v>0</v>
      </c>
      <c r="RUW48" s="108" t="s">
        <v>99</v>
      </c>
      <c r="RUY48" s="108" t="s">
        <v>63</v>
      </c>
      <c r="RVL48" s="108">
        <f t="shared" ref="RVL48:RVL49" si="401">SUM(RUZ48:RVK48)</f>
        <v>0</v>
      </c>
      <c r="RWC48" s="108" t="s">
        <v>99</v>
      </c>
      <c r="RWE48" s="108" t="s">
        <v>63</v>
      </c>
      <c r="RWR48" s="108">
        <f t="shared" ref="RWR48:RWR49" si="402">SUM(RWF48:RWQ48)</f>
        <v>0</v>
      </c>
      <c r="RXI48" s="108" t="s">
        <v>99</v>
      </c>
      <c r="RXK48" s="108" t="s">
        <v>63</v>
      </c>
      <c r="RXX48" s="108">
        <f t="shared" ref="RXX48:RXX49" si="403">SUM(RXL48:RXW48)</f>
        <v>0</v>
      </c>
      <c r="RYO48" s="108" t="s">
        <v>99</v>
      </c>
      <c r="RYQ48" s="108" t="s">
        <v>63</v>
      </c>
      <c r="RZD48" s="108">
        <f t="shared" ref="RZD48:RZD49" si="404">SUM(RYR48:RZC48)</f>
        <v>0</v>
      </c>
      <c r="RZU48" s="108" t="s">
        <v>99</v>
      </c>
      <c r="RZW48" s="108" t="s">
        <v>63</v>
      </c>
      <c r="SAJ48" s="108">
        <f t="shared" ref="SAJ48:SAJ49" si="405">SUM(RZX48:SAI48)</f>
        <v>0</v>
      </c>
      <c r="SBA48" s="108" t="s">
        <v>99</v>
      </c>
      <c r="SBC48" s="108" t="s">
        <v>63</v>
      </c>
      <c r="SBP48" s="108">
        <f t="shared" ref="SBP48:SBP49" si="406">SUM(SBD48:SBO48)</f>
        <v>0</v>
      </c>
      <c r="SCG48" s="108" t="s">
        <v>99</v>
      </c>
      <c r="SCI48" s="108" t="s">
        <v>63</v>
      </c>
      <c r="SCV48" s="108">
        <f t="shared" ref="SCV48:SCV49" si="407">SUM(SCJ48:SCU48)</f>
        <v>0</v>
      </c>
      <c r="SDM48" s="108" t="s">
        <v>99</v>
      </c>
      <c r="SDO48" s="108" t="s">
        <v>63</v>
      </c>
      <c r="SEB48" s="108">
        <f t="shared" ref="SEB48:SEB49" si="408">SUM(SDP48:SEA48)</f>
        <v>0</v>
      </c>
      <c r="SES48" s="108" t="s">
        <v>99</v>
      </c>
      <c r="SEU48" s="108" t="s">
        <v>63</v>
      </c>
      <c r="SFH48" s="108">
        <f t="shared" ref="SFH48:SFH49" si="409">SUM(SEV48:SFG48)</f>
        <v>0</v>
      </c>
      <c r="SFY48" s="108" t="s">
        <v>99</v>
      </c>
      <c r="SGA48" s="108" t="s">
        <v>63</v>
      </c>
      <c r="SGN48" s="108">
        <f t="shared" ref="SGN48:SGN49" si="410">SUM(SGB48:SGM48)</f>
        <v>0</v>
      </c>
      <c r="SHE48" s="108" t="s">
        <v>99</v>
      </c>
      <c r="SHG48" s="108" t="s">
        <v>63</v>
      </c>
      <c r="SHT48" s="108">
        <f t="shared" ref="SHT48:SHT49" si="411">SUM(SHH48:SHS48)</f>
        <v>0</v>
      </c>
      <c r="SIK48" s="108" t="s">
        <v>99</v>
      </c>
      <c r="SIM48" s="108" t="s">
        <v>63</v>
      </c>
      <c r="SIZ48" s="108">
        <f t="shared" ref="SIZ48:SIZ49" si="412">SUM(SIN48:SIY48)</f>
        <v>0</v>
      </c>
      <c r="SJQ48" s="108" t="s">
        <v>99</v>
      </c>
      <c r="SJS48" s="108" t="s">
        <v>63</v>
      </c>
      <c r="SKF48" s="108">
        <f t="shared" ref="SKF48:SKF49" si="413">SUM(SJT48:SKE48)</f>
        <v>0</v>
      </c>
      <c r="SKW48" s="108" t="s">
        <v>99</v>
      </c>
      <c r="SKY48" s="108" t="s">
        <v>63</v>
      </c>
      <c r="SLL48" s="108">
        <f t="shared" ref="SLL48:SLL49" si="414">SUM(SKZ48:SLK48)</f>
        <v>0</v>
      </c>
      <c r="SMC48" s="108" t="s">
        <v>99</v>
      </c>
      <c r="SME48" s="108" t="s">
        <v>63</v>
      </c>
      <c r="SMR48" s="108">
        <f t="shared" ref="SMR48:SMR49" si="415">SUM(SMF48:SMQ48)</f>
        <v>0</v>
      </c>
      <c r="SNI48" s="108" t="s">
        <v>99</v>
      </c>
      <c r="SNK48" s="108" t="s">
        <v>63</v>
      </c>
      <c r="SNX48" s="108">
        <f t="shared" ref="SNX48:SNX49" si="416">SUM(SNL48:SNW48)</f>
        <v>0</v>
      </c>
      <c r="SOO48" s="108" t="s">
        <v>99</v>
      </c>
      <c r="SOQ48" s="108" t="s">
        <v>63</v>
      </c>
      <c r="SPD48" s="108">
        <f t="shared" ref="SPD48:SPD49" si="417">SUM(SOR48:SPC48)</f>
        <v>0</v>
      </c>
      <c r="SPU48" s="108" t="s">
        <v>99</v>
      </c>
      <c r="SPW48" s="108" t="s">
        <v>63</v>
      </c>
      <c r="SQJ48" s="108">
        <f t="shared" ref="SQJ48:SQJ49" si="418">SUM(SPX48:SQI48)</f>
        <v>0</v>
      </c>
      <c r="SRA48" s="108" t="s">
        <v>99</v>
      </c>
      <c r="SRC48" s="108" t="s">
        <v>63</v>
      </c>
      <c r="SRP48" s="108">
        <f t="shared" ref="SRP48:SRP49" si="419">SUM(SRD48:SRO48)</f>
        <v>0</v>
      </c>
      <c r="SSG48" s="108" t="s">
        <v>99</v>
      </c>
      <c r="SSI48" s="108" t="s">
        <v>63</v>
      </c>
      <c r="SSV48" s="108">
        <f t="shared" ref="SSV48:SSV49" si="420">SUM(SSJ48:SSU48)</f>
        <v>0</v>
      </c>
      <c r="STM48" s="108" t="s">
        <v>99</v>
      </c>
      <c r="STO48" s="108" t="s">
        <v>63</v>
      </c>
      <c r="SUB48" s="108">
        <f t="shared" ref="SUB48:SUB49" si="421">SUM(STP48:SUA48)</f>
        <v>0</v>
      </c>
      <c r="SUS48" s="108" t="s">
        <v>99</v>
      </c>
      <c r="SUU48" s="108" t="s">
        <v>63</v>
      </c>
      <c r="SVH48" s="108">
        <f t="shared" ref="SVH48:SVH49" si="422">SUM(SUV48:SVG48)</f>
        <v>0</v>
      </c>
      <c r="SVY48" s="108" t="s">
        <v>99</v>
      </c>
      <c r="SWA48" s="108" t="s">
        <v>63</v>
      </c>
      <c r="SWN48" s="108">
        <f t="shared" ref="SWN48:SWN49" si="423">SUM(SWB48:SWM48)</f>
        <v>0</v>
      </c>
      <c r="SXE48" s="108" t="s">
        <v>99</v>
      </c>
      <c r="SXG48" s="108" t="s">
        <v>63</v>
      </c>
      <c r="SXT48" s="108">
        <f t="shared" ref="SXT48:SXT49" si="424">SUM(SXH48:SXS48)</f>
        <v>0</v>
      </c>
      <c r="SYK48" s="108" t="s">
        <v>99</v>
      </c>
      <c r="SYM48" s="108" t="s">
        <v>63</v>
      </c>
      <c r="SYZ48" s="108">
        <f t="shared" ref="SYZ48:SYZ49" si="425">SUM(SYN48:SYY48)</f>
        <v>0</v>
      </c>
      <c r="SZQ48" s="108" t="s">
        <v>99</v>
      </c>
      <c r="SZS48" s="108" t="s">
        <v>63</v>
      </c>
      <c r="TAF48" s="108">
        <f t="shared" ref="TAF48:TAF49" si="426">SUM(SZT48:TAE48)</f>
        <v>0</v>
      </c>
      <c r="TAW48" s="108" t="s">
        <v>99</v>
      </c>
      <c r="TAY48" s="108" t="s">
        <v>63</v>
      </c>
      <c r="TBL48" s="108">
        <f t="shared" ref="TBL48:TBL49" si="427">SUM(TAZ48:TBK48)</f>
        <v>0</v>
      </c>
      <c r="TCC48" s="108" t="s">
        <v>99</v>
      </c>
      <c r="TCE48" s="108" t="s">
        <v>63</v>
      </c>
      <c r="TCR48" s="108">
        <f t="shared" ref="TCR48:TCR49" si="428">SUM(TCF48:TCQ48)</f>
        <v>0</v>
      </c>
      <c r="TDI48" s="108" t="s">
        <v>99</v>
      </c>
      <c r="TDK48" s="108" t="s">
        <v>63</v>
      </c>
      <c r="TDX48" s="108">
        <f t="shared" ref="TDX48:TDX49" si="429">SUM(TDL48:TDW48)</f>
        <v>0</v>
      </c>
      <c r="TEO48" s="108" t="s">
        <v>99</v>
      </c>
      <c r="TEQ48" s="108" t="s">
        <v>63</v>
      </c>
      <c r="TFD48" s="108">
        <f t="shared" ref="TFD48:TFD49" si="430">SUM(TER48:TFC48)</f>
        <v>0</v>
      </c>
      <c r="TFU48" s="108" t="s">
        <v>99</v>
      </c>
      <c r="TFW48" s="108" t="s">
        <v>63</v>
      </c>
      <c r="TGJ48" s="108">
        <f t="shared" ref="TGJ48:TGJ49" si="431">SUM(TFX48:TGI48)</f>
        <v>0</v>
      </c>
      <c r="THA48" s="108" t="s">
        <v>99</v>
      </c>
      <c r="THC48" s="108" t="s">
        <v>63</v>
      </c>
      <c r="THP48" s="108">
        <f t="shared" ref="THP48:THP49" si="432">SUM(THD48:THO48)</f>
        <v>0</v>
      </c>
      <c r="TIG48" s="108" t="s">
        <v>99</v>
      </c>
      <c r="TII48" s="108" t="s">
        <v>63</v>
      </c>
      <c r="TIV48" s="108">
        <f t="shared" ref="TIV48:TIV49" si="433">SUM(TIJ48:TIU48)</f>
        <v>0</v>
      </c>
      <c r="TJM48" s="108" t="s">
        <v>99</v>
      </c>
      <c r="TJO48" s="108" t="s">
        <v>63</v>
      </c>
      <c r="TKB48" s="108">
        <f t="shared" ref="TKB48:TKB49" si="434">SUM(TJP48:TKA48)</f>
        <v>0</v>
      </c>
      <c r="TKS48" s="108" t="s">
        <v>99</v>
      </c>
      <c r="TKU48" s="108" t="s">
        <v>63</v>
      </c>
      <c r="TLH48" s="108">
        <f t="shared" ref="TLH48:TLH49" si="435">SUM(TKV48:TLG48)</f>
        <v>0</v>
      </c>
      <c r="TLY48" s="108" t="s">
        <v>99</v>
      </c>
      <c r="TMA48" s="108" t="s">
        <v>63</v>
      </c>
      <c r="TMN48" s="108">
        <f t="shared" ref="TMN48:TMN49" si="436">SUM(TMB48:TMM48)</f>
        <v>0</v>
      </c>
      <c r="TNE48" s="108" t="s">
        <v>99</v>
      </c>
      <c r="TNG48" s="108" t="s">
        <v>63</v>
      </c>
      <c r="TNT48" s="108">
        <f t="shared" ref="TNT48:TNT49" si="437">SUM(TNH48:TNS48)</f>
        <v>0</v>
      </c>
      <c r="TOK48" s="108" t="s">
        <v>99</v>
      </c>
      <c r="TOM48" s="108" t="s">
        <v>63</v>
      </c>
      <c r="TOZ48" s="108">
        <f t="shared" ref="TOZ48:TOZ49" si="438">SUM(TON48:TOY48)</f>
        <v>0</v>
      </c>
      <c r="TPQ48" s="108" t="s">
        <v>99</v>
      </c>
      <c r="TPS48" s="108" t="s">
        <v>63</v>
      </c>
      <c r="TQF48" s="108">
        <f t="shared" ref="TQF48:TQF49" si="439">SUM(TPT48:TQE48)</f>
        <v>0</v>
      </c>
      <c r="TQW48" s="108" t="s">
        <v>99</v>
      </c>
      <c r="TQY48" s="108" t="s">
        <v>63</v>
      </c>
      <c r="TRL48" s="108">
        <f t="shared" ref="TRL48:TRL49" si="440">SUM(TQZ48:TRK48)</f>
        <v>0</v>
      </c>
      <c r="TSC48" s="108" t="s">
        <v>99</v>
      </c>
      <c r="TSE48" s="108" t="s">
        <v>63</v>
      </c>
      <c r="TSR48" s="108">
        <f t="shared" ref="TSR48:TSR49" si="441">SUM(TSF48:TSQ48)</f>
        <v>0</v>
      </c>
      <c r="TTI48" s="108" t="s">
        <v>99</v>
      </c>
      <c r="TTK48" s="108" t="s">
        <v>63</v>
      </c>
      <c r="TTX48" s="108">
        <f t="shared" ref="TTX48:TTX49" si="442">SUM(TTL48:TTW48)</f>
        <v>0</v>
      </c>
      <c r="TUO48" s="108" t="s">
        <v>99</v>
      </c>
      <c r="TUQ48" s="108" t="s">
        <v>63</v>
      </c>
      <c r="TVD48" s="108">
        <f t="shared" ref="TVD48:TVD49" si="443">SUM(TUR48:TVC48)</f>
        <v>0</v>
      </c>
      <c r="TVU48" s="108" t="s">
        <v>99</v>
      </c>
      <c r="TVW48" s="108" t="s">
        <v>63</v>
      </c>
      <c r="TWJ48" s="108">
        <f t="shared" ref="TWJ48:TWJ49" si="444">SUM(TVX48:TWI48)</f>
        <v>0</v>
      </c>
      <c r="TXA48" s="108" t="s">
        <v>99</v>
      </c>
      <c r="TXC48" s="108" t="s">
        <v>63</v>
      </c>
      <c r="TXP48" s="108">
        <f t="shared" ref="TXP48:TXP49" si="445">SUM(TXD48:TXO48)</f>
        <v>0</v>
      </c>
      <c r="TYG48" s="108" t="s">
        <v>99</v>
      </c>
      <c r="TYI48" s="108" t="s">
        <v>63</v>
      </c>
      <c r="TYV48" s="108">
        <f t="shared" ref="TYV48:TYV49" si="446">SUM(TYJ48:TYU48)</f>
        <v>0</v>
      </c>
      <c r="TZM48" s="108" t="s">
        <v>99</v>
      </c>
      <c r="TZO48" s="108" t="s">
        <v>63</v>
      </c>
      <c r="UAB48" s="108">
        <f t="shared" ref="UAB48:UAB49" si="447">SUM(TZP48:UAA48)</f>
        <v>0</v>
      </c>
      <c r="UAS48" s="108" t="s">
        <v>99</v>
      </c>
      <c r="UAU48" s="108" t="s">
        <v>63</v>
      </c>
      <c r="UBH48" s="108">
        <f t="shared" ref="UBH48:UBH49" si="448">SUM(UAV48:UBG48)</f>
        <v>0</v>
      </c>
      <c r="UBY48" s="108" t="s">
        <v>99</v>
      </c>
      <c r="UCA48" s="108" t="s">
        <v>63</v>
      </c>
      <c r="UCN48" s="108">
        <f t="shared" ref="UCN48:UCN49" si="449">SUM(UCB48:UCM48)</f>
        <v>0</v>
      </c>
      <c r="UDE48" s="108" t="s">
        <v>99</v>
      </c>
      <c r="UDG48" s="108" t="s">
        <v>63</v>
      </c>
      <c r="UDT48" s="108">
        <f t="shared" ref="UDT48:UDT49" si="450">SUM(UDH48:UDS48)</f>
        <v>0</v>
      </c>
      <c r="UEK48" s="108" t="s">
        <v>99</v>
      </c>
      <c r="UEM48" s="108" t="s">
        <v>63</v>
      </c>
      <c r="UEZ48" s="108">
        <f t="shared" ref="UEZ48:UEZ49" si="451">SUM(UEN48:UEY48)</f>
        <v>0</v>
      </c>
      <c r="UFQ48" s="108" t="s">
        <v>99</v>
      </c>
      <c r="UFS48" s="108" t="s">
        <v>63</v>
      </c>
      <c r="UGF48" s="108">
        <f t="shared" ref="UGF48:UGF49" si="452">SUM(UFT48:UGE48)</f>
        <v>0</v>
      </c>
      <c r="UGW48" s="108" t="s">
        <v>99</v>
      </c>
      <c r="UGY48" s="108" t="s">
        <v>63</v>
      </c>
      <c r="UHL48" s="108">
        <f t="shared" ref="UHL48:UHL49" si="453">SUM(UGZ48:UHK48)</f>
        <v>0</v>
      </c>
      <c r="UIC48" s="108" t="s">
        <v>99</v>
      </c>
      <c r="UIE48" s="108" t="s">
        <v>63</v>
      </c>
      <c r="UIR48" s="108">
        <f t="shared" ref="UIR48:UIR49" si="454">SUM(UIF48:UIQ48)</f>
        <v>0</v>
      </c>
      <c r="UJI48" s="108" t="s">
        <v>99</v>
      </c>
      <c r="UJK48" s="108" t="s">
        <v>63</v>
      </c>
      <c r="UJX48" s="108">
        <f t="shared" ref="UJX48:UJX49" si="455">SUM(UJL48:UJW48)</f>
        <v>0</v>
      </c>
      <c r="UKO48" s="108" t="s">
        <v>99</v>
      </c>
      <c r="UKQ48" s="108" t="s">
        <v>63</v>
      </c>
      <c r="ULD48" s="108">
        <f t="shared" ref="ULD48:ULD49" si="456">SUM(UKR48:ULC48)</f>
        <v>0</v>
      </c>
      <c r="ULU48" s="108" t="s">
        <v>99</v>
      </c>
      <c r="ULW48" s="108" t="s">
        <v>63</v>
      </c>
      <c r="UMJ48" s="108">
        <f t="shared" ref="UMJ48:UMJ49" si="457">SUM(ULX48:UMI48)</f>
        <v>0</v>
      </c>
      <c r="UNA48" s="108" t="s">
        <v>99</v>
      </c>
      <c r="UNC48" s="108" t="s">
        <v>63</v>
      </c>
      <c r="UNP48" s="108">
        <f t="shared" ref="UNP48:UNP49" si="458">SUM(UND48:UNO48)</f>
        <v>0</v>
      </c>
      <c r="UOG48" s="108" t="s">
        <v>99</v>
      </c>
      <c r="UOI48" s="108" t="s">
        <v>63</v>
      </c>
      <c r="UOV48" s="108">
        <f t="shared" ref="UOV48:UOV49" si="459">SUM(UOJ48:UOU48)</f>
        <v>0</v>
      </c>
      <c r="UPM48" s="108" t="s">
        <v>99</v>
      </c>
      <c r="UPO48" s="108" t="s">
        <v>63</v>
      </c>
      <c r="UQB48" s="108">
        <f t="shared" ref="UQB48:UQB49" si="460">SUM(UPP48:UQA48)</f>
        <v>0</v>
      </c>
      <c r="UQS48" s="108" t="s">
        <v>99</v>
      </c>
      <c r="UQU48" s="108" t="s">
        <v>63</v>
      </c>
      <c r="URH48" s="108">
        <f t="shared" ref="URH48:URH49" si="461">SUM(UQV48:URG48)</f>
        <v>0</v>
      </c>
      <c r="URY48" s="108" t="s">
        <v>99</v>
      </c>
      <c r="USA48" s="108" t="s">
        <v>63</v>
      </c>
      <c r="USN48" s="108">
        <f t="shared" ref="USN48:USN49" si="462">SUM(USB48:USM48)</f>
        <v>0</v>
      </c>
      <c r="UTE48" s="108" t="s">
        <v>99</v>
      </c>
      <c r="UTG48" s="108" t="s">
        <v>63</v>
      </c>
      <c r="UTT48" s="108">
        <f t="shared" ref="UTT48:UTT49" si="463">SUM(UTH48:UTS48)</f>
        <v>0</v>
      </c>
      <c r="UUK48" s="108" t="s">
        <v>99</v>
      </c>
      <c r="UUM48" s="108" t="s">
        <v>63</v>
      </c>
      <c r="UUZ48" s="108">
        <f t="shared" ref="UUZ48:UUZ49" si="464">SUM(UUN48:UUY48)</f>
        <v>0</v>
      </c>
      <c r="UVQ48" s="108" t="s">
        <v>99</v>
      </c>
      <c r="UVS48" s="108" t="s">
        <v>63</v>
      </c>
      <c r="UWF48" s="108">
        <f t="shared" ref="UWF48:UWF49" si="465">SUM(UVT48:UWE48)</f>
        <v>0</v>
      </c>
      <c r="UWW48" s="108" t="s">
        <v>99</v>
      </c>
      <c r="UWY48" s="108" t="s">
        <v>63</v>
      </c>
      <c r="UXL48" s="108">
        <f t="shared" ref="UXL48:UXL49" si="466">SUM(UWZ48:UXK48)</f>
        <v>0</v>
      </c>
      <c r="UYC48" s="108" t="s">
        <v>99</v>
      </c>
      <c r="UYE48" s="108" t="s">
        <v>63</v>
      </c>
      <c r="UYR48" s="108">
        <f t="shared" ref="UYR48:UYR49" si="467">SUM(UYF48:UYQ48)</f>
        <v>0</v>
      </c>
      <c r="UZI48" s="108" t="s">
        <v>99</v>
      </c>
      <c r="UZK48" s="108" t="s">
        <v>63</v>
      </c>
      <c r="UZX48" s="108">
        <f t="shared" ref="UZX48:UZX49" si="468">SUM(UZL48:UZW48)</f>
        <v>0</v>
      </c>
      <c r="VAO48" s="108" t="s">
        <v>99</v>
      </c>
      <c r="VAQ48" s="108" t="s">
        <v>63</v>
      </c>
      <c r="VBD48" s="108">
        <f t="shared" ref="VBD48:VBD49" si="469">SUM(VAR48:VBC48)</f>
        <v>0</v>
      </c>
      <c r="VBU48" s="108" t="s">
        <v>99</v>
      </c>
      <c r="VBW48" s="108" t="s">
        <v>63</v>
      </c>
      <c r="VCJ48" s="108">
        <f t="shared" ref="VCJ48:VCJ49" si="470">SUM(VBX48:VCI48)</f>
        <v>0</v>
      </c>
      <c r="VDA48" s="108" t="s">
        <v>99</v>
      </c>
      <c r="VDC48" s="108" t="s">
        <v>63</v>
      </c>
      <c r="VDP48" s="108">
        <f t="shared" ref="VDP48:VDP49" si="471">SUM(VDD48:VDO48)</f>
        <v>0</v>
      </c>
      <c r="VEG48" s="108" t="s">
        <v>99</v>
      </c>
      <c r="VEI48" s="108" t="s">
        <v>63</v>
      </c>
      <c r="VEV48" s="108">
        <f t="shared" ref="VEV48:VEV49" si="472">SUM(VEJ48:VEU48)</f>
        <v>0</v>
      </c>
      <c r="VFM48" s="108" t="s">
        <v>99</v>
      </c>
      <c r="VFO48" s="108" t="s">
        <v>63</v>
      </c>
      <c r="VGB48" s="108">
        <f t="shared" ref="VGB48:VGB49" si="473">SUM(VFP48:VGA48)</f>
        <v>0</v>
      </c>
      <c r="VGS48" s="108" t="s">
        <v>99</v>
      </c>
      <c r="VGU48" s="108" t="s">
        <v>63</v>
      </c>
      <c r="VHH48" s="108">
        <f t="shared" ref="VHH48:VHH49" si="474">SUM(VGV48:VHG48)</f>
        <v>0</v>
      </c>
      <c r="VHY48" s="108" t="s">
        <v>99</v>
      </c>
      <c r="VIA48" s="108" t="s">
        <v>63</v>
      </c>
      <c r="VIN48" s="108">
        <f t="shared" ref="VIN48:VIN49" si="475">SUM(VIB48:VIM48)</f>
        <v>0</v>
      </c>
      <c r="VJE48" s="108" t="s">
        <v>99</v>
      </c>
      <c r="VJG48" s="108" t="s">
        <v>63</v>
      </c>
      <c r="VJT48" s="108">
        <f t="shared" ref="VJT48:VJT49" si="476">SUM(VJH48:VJS48)</f>
        <v>0</v>
      </c>
      <c r="VKK48" s="108" t="s">
        <v>99</v>
      </c>
      <c r="VKM48" s="108" t="s">
        <v>63</v>
      </c>
      <c r="VKZ48" s="108">
        <f t="shared" ref="VKZ48:VKZ49" si="477">SUM(VKN48:VKY48)</f>
        <v>0</v>
      </c>
      <c r="VLQ48" s="108" t="s">
        <v>99</v>
      </c>
      <c r="VLS48" s="108" t="s">
        <v>63</v>
      </c>
      <c r="VMF48" s="108">
        <f t="shared" ref="VMF48:VMF49" si="478">SUM(VLT48:VME48)</f>
        <v>0</v>
      </c>
      <c r="VMW48" s="108" t="s">
        <v>99</v>
      </c>
      <c r="VMY48" s="108" t="s">
        <v>63</v>
      </c>
      <c r="VNL48" s="108">
        <f t="shared" ref="VNL48:VNL49" si="479">SUM(VMZ48:VNK48)</f>
        <v>0</v>
      </c>
      <c r="VOC48" s="108" t="s">
        <v>99</v>
      </c>
      <c r="VOE48" s="108" t="s">
        <v>63</v>
      </c>
      <c r="VOR48" s="108">
        <f t="shared" ref="VOR48:VOR49" si="480">SUM(VOF48:VOQ48)</f>
        <v>0</v>
      </c>
      <c r="VPI48" s="108" t="s">
        <v>99</v>
      </c>
      <c r="VPK48" s="108" t="s">
        <v>63</v>
      </c>
      <c r="VPX48" s="108">
        <f t="shared" ref="VPX48:VPX49" si="481">SUM(VPL48:VPW48)</f>
        <v>0</v>
      </c>
      <c r="VQO48" s="108" t="s">
        <v>99</v>
      </c>
      <c r="VQQ48" s="108" t="s">
        <v>63</v>
      </c>
      <c r="VRD48" s="108">
        <f t="shared" ref="VRD48:VRD49" si="482">SUM(VQR48:VRC48)</f>
        <v>0</v>
      </c>
      <c r="VRU48" s="108" t="s">
        <v>99</v>
      </c>
      <c r="VRW48" s="108" t="s">
        <v>63</v>
      </c>
      <c r="VSJ48" s="108">
        <f t="shared" ref="VSJ48:VSJ49" si="483">SUM(VRX48:VSI48)</f>
        <v>0</v>
      </c>
      <c r="VTA48" s="108" t="s">
        <v>99</v>
      </c>
      <c r="VTC48" s="108" t="s">
        <v>63</v>
      </c>
      <c r="VTP48" s="108">
        <f t="shared" ref="VTP48:VTP49" si="484">SUM(VTD48:VTO48)</f>
        <v>0</v>
      </c>
      <c r="VUG48" s="108" t="s">
        <v>99</v>
      </c>
      <c r="VUI48" s="108" t="s">
        <v>63</v>
      </c>
      <c r="VUV48" s="108">
        <f t="shared" ref="VUV48:VUV49" si="485">SUM(VUJ48:VUU48)</f>
        <v>0</v>
      </c>
      <c r="VVM48" s="108" t="s">
        <v>99</v>
      </c>
      <c r="VVO48" s="108" t="s">
        <v>63</v>
      </c>
      <c r="VWB48" s="108">
        <f t="shared" ref="VWB48:VWB49" si="486">SUM(VVP48:VWA48)</f>
        <v>0</v>
      </c>
      <c r="VWS48" s="108" t="s">
        <v>99</v>
      </c>
      <c r="VWU48" s="108" t="s">
        <v>63</v>
      </c>
      <c r="VXH48" s="108">
        <f t="shared" ref="VXH48:VXH49" si="487">SUM(VWV48:VXG48)</f>
        <v>0</v>
      </c>
      <c r="VXY48" s="108" t="s">
        <v>99</v>
      </c>
      <c r="VYA48" s="108" t="s">
        <v>63</v>
      </c>
      <c r="VYN48" s="108">
        <f t="shared" ref="VYN48:VYN49" si="488">SUM(VYB48:VYM48)</f>
        <v>0</v>
      </c>
      <c r="VZE48" s="108" t="s">
        <v>99</v>
      </c>
      <c r="VZG48" s="108" t="s">
        <v>63</v>
      </c>
      <c r="VZT48" s="108">
        <f t="shared" ref="VZT48:VZT49" si="489">SUM(VZH48:VZS48)</f>
        <v>0</v>
      </c>
      <c r="WAK48" s="108" t="s">
        <v>99</v>
      </c>
      <c r="WAM48" s="108" t="s">
        <v>63</v>
      </c>
      <c r="WAZ48" s="108">
        <f t="shared" ref="WAZ48:WAZ49" si="490">SUM(WAN48:WAY48)</f>
        <v>0</v>
      </c>
      <c r="WBQ48" s="108" t="s">
        <v>99</v>
      </c>
      <c r="WBS48" s="108" t="s">
        <v>63</v>
      </c>
      <c r="WCF48" s="108">
        <f t="shared" ref="WCF48:WCF49" si="491">SUM(WBT48:WCE48)</f>
        <v>0</v>
      </c>
      <c r="WCW48" s="108" t="s">
        <v>99</v>
      </c>
      <c r="WCY48" s="108" t="s">
        <v>63</v>
      </c>
      <c r="WDL48" s="108">
        <f t="shared" ref="WDL48:WDL49" si="492">SUM(WCZ48:WDK48)</f>
        <v>0</v>
      </c>
      <c r="WEC48" s="108" t="s">
        <v>99</v>
      </c>
      <c r="WEE48" s="108" t="s">
        <v>63</v>
      </c>
      <c r="WER48" s="108">
        <f t="shared" ref="WER48:WER49" si="493">SUM(WEF48:WEQ48)</f>
        <v>0</v>
      </c>
      <c r="WFI48" s="108" t="s">
        <v>99</v>
      </c>
      <c r="WFK48" s="108" t="s">
        <v>63</v>
      </c>
      <c r="WFX48" s="108">
        <f t="shared" ref="WFX48:WFX49" si="494">SUM(WFL48:WFW48)</f>
        <v>0</v>
      </c>
      <c r="WGO48" s="108" t="s">
        <v>99</v>
      </c>
      <c r="WGQ48" s="108" t="s">
        <v>63</v>
      </c>
      <c r="WHD48" s="108">
        <f t="shared" ref="WHD48:WHD49" si="495">SUM(WGR48:WHC48)</f>
        <v>0</v>
      </c>
      <c r="WHU48" s="108" t="s">
        <v>99</v>
      </c>
      <c r="WHW48" s="108" t="s">
        <v>63</v>
      </c>
      <c r="WIJ48" s="108">
        <f t="shared" ref="WIJ48:WIJ49" si="496">SUM(WHX48:WII48)</f>
        <v>0</v>
      </c>
      <c r="WJA48" s="108" t="s">
        <v>99</v>
      </c>
      <c r="WJC48" s="108" t="s">
        <v>63</v>
      </c>
      <c r="WJP48" s="108">
        <f t="shared" ref="WJP48:WJP49" si="497">SUM(WJD48:WJO48)</f>
        <v>0</v>
      </c>
      <c r="WKG48" s="108" t="s">
        <v>99</v>
      </c>
      <c r="WKI48" s="108" t="s">
        <v>63</v>
      </c>
      <c r="WKV48" s="108">
        <f t="shared" ref="WKV48:WKV49" si="498">SUM(WKJ48:WKU48)</f>
        <v>0</v>
      </c>
      <c r="WLM48" s="108" t="s">
        <v>99</v>
      </c>
      <c r="WLO48" s="108" t="s">
        <v>63</v>
      </c>
      <c r="WMB48" s="108">
        <f t="shared" ref="WMB48:WMB49" si="499">SUM(WLP48:WMA48)</f>
        <v>0</v>
      </c>
      <c r="WMS48" s="108" t="s">
        <v>99</v>
      </c>
      <c r="WMU48" s="108" t="s">
        <v>63</v>
      </c>
      <c r="WNH48" s="108">
        <f t="shared" ref="WNH48:WNH49" si="500">SUM(WMV48:WNG48)</f>
        <v>0</v>
      </c>
      <c r="WNY48" s="108" t="s">
        <v>99</v>
      </c>
      <c r="WOA48" s="108" t="s">
        <v>63</v>
      </c>
      <c r="WON48" s="108">
        <f t="shared" ref="WON48:WON49" si="501">SUM(WOB48:WOM48)</f>
        <v>0</v>
      </c>
      <c r="WPE48" s="108" t="s">
        <v>99</v>
      </c>
      <c r="WPG48" s="108" t="s">
        <v>63</v>
      </c>
      <c r="WPT48" s="108">
        <f t="shared" ref="WPT48:WPT49" si="502">SUM(WPH48:WPS48)</f>
        <v>0</v>
      </c>
      <c r="WQK48" s="108" t="s">
        <v>99</v>
      </c>
      <c r="WQM48" s="108" t="s">
        <v>63</v>
      </c>
      <c r="WQZ48" s="108">
        <f t="shared" ref="WQZ48:WQZ49" si="503">SUM(WQN48:WQY48)</f>
        <v>0</v>
      </c>
      <c r="WRQ48" s="108" t="s">
        <v>99</v>
      </c>
      <c r="WRS48" s="108" t="s">
        <v>63</v>
      </c>
      <c r="WSF48" s="108">
        <f t="shared" ref="WSF48:WSF49" si="504">SUM(WRT48:WSE48)</f>
        <v>0</v>
      </c>
      <c r="WSW48" s="108" t="s">
        <v>99</v>
      </c>
      <c r="WSY48" s="108" t="s">
        <v>63</v>
      </c>
      <c r="WTL48" s="108">
        <f t="shared" ref="WTL48:WTL49" si="505">SUM(WSZ48:WTK48)</f>
        <v>0</v>
      </c>
      <c r="WUC48" s="108" t="s">
        <v>99</v>
      </c>
      <c r="WUE48" s="108" t="s">
        <v>63</v>
      </c>
      <c r="WUR48" s="108">
        <f t="shared" ref="WUR48:WUR49" si="506">SUM(WUF48:WUQ48)</f>
        <v>0</v>
      </c>
      <c r="WVI48" s="108" t="s">
        <v>99</v>
      </c>
      <c r="WVK48" s="108" t="s">
        <v>63</v>
      </c>
      <c r="WVX48" s="108">
        <f t="shared" ref="WVX48:WVX49" si="507">SUM(WVL48:WVW48)</f>
        <v>0</v>
      </c>
      <c r="WWO48" s="108" t="s">
        <v>99</v>
      </c>
      <c r="WWQ48" s="108" t="s">
        <v>63</v>
      </c>
      <c r="WXD48" s="108">
        <f t="shared" ref="WXD48:WXD49" si="508">SUM(WWR48:WXC48)</f>
        <v>0</v>
      </c>
      <c r="WXU48" s="108" t="s">
        <v>99</v>
      </c>
      <c r="WXW48" s="108" t="s">
        <v>63</v>
      </c>
      <c r="WYJ48" s="108">
        <f t="shared" ref="WYJ48:WYJ49" si="509">SUM(WXX48:WYI48)</f>
        <v>0</v>
      </c>
      <c r="WZA48" s="108" t="s">
        <v>99</v>
      </c>
      <c r="WZC48" s="108" t="s">
        <v>63</v>
      </c>
      <c r="WZP48" s="108">
        <f t="shared" ref="WZP48:WZP49" si="510">SUM(WZD48:WZO48)</f>
        <v>0</v>
      </c>
      <c r="XAG48" s="108" t="s">
        <v>99</v>
      </c>
      <c r="XAI48" s="108" t="s">
        <v>63</v>
      </c>
      <c r="XAV48" s="108">
        <f t="shared" ref="XAV48:XAV49" si="511">SUM(XAJ48:XAU48)</f>
        <v>0</v>
      </c>
      <c r="XBM48" s="108" t="s">
        <v>99</v>
      </c>
      <c r="XBO48" s="108" t="s">
        <v>63</v>
      </c>
      <c r="XCB48" s="108">
        <f t="shared" ref="XCB48:XCB49" si="512">SUM(XBP48:XCA48)</f>
        <v>0</v>
      </c>
      <c r="XCS48" s="108" t="s">
        <v>99</v>
      </c>
      <c r="XCU48" s="108" t="s">
        <v>63</v>
      </c>
      <c r="XDH48" s="108">
        <f t="shared" ref="XDH48:XDH49" si="513">SUM(XCV48:XDG48)</f>
        <v>0</v>
      </c>
      <c r="XDY48" s="108" t="s">
        <v>99</v>
      </c>
      <c r="XEA48" s="108" t="s">
        <v>63</v>
      </c>
      <c r="XEN48" s="108">
        <f t="shared" ref="XEN48:XEN49" si="514">SUM(XEB48:XEM48)</f>
        <v>0</v>
      </c>
    </row>
    <row r="49" spans="1:1008 1025:2032 2049:3056 3073:4080 4097:5104 5121:6128 6145:7152 7169:8176 8193:9200 9217:10224 10241:11248 11265:12272 12289:13296 13313:14320 14337:15344 15361:16368" ht="114.75" customHeight="1" x14ac:dyDescent="0.25">
      <c r="A49" s="468"/>
      <c r="B49" s="469"/>
      <c r="C49" s="99" t="s">
        <v>67</v>
      </c>
      <c r="D49" s="100">
        <v>0</v>
      </c>
      <c r="E49" s="100">
        <v>0.1</v>
      </c>
      <c r="F49" s="100">
        <v>0.15</v>
      </c>
      <c r="G49" s="100">
        <v>0.15</v>
      </c>
      <c r="H49" s="100">
        <v>0.15</v>
      </c>
      <c r="I49" s="100">
        <v>0.05</v>
      </c>
      <c r="J49" s="100">
        <v>0.05</v>
      </c>
      <c r="K49" s="100"/>
      <c r="L49" s="104"/>
      <c r="M49" s="104"/>
      <c r="N49" s="104"/>
      <c r="O49" s="104"/>
      <c r="P49" s="101">
        <f t="shared" si="3"/>
        <v>0.65000000000000013</v>
      </c>
      <c r="Q49" s="465"/>
      <c r="R49" s="466"/>
      <c r="S49" s="466"/>
      <c r="T49" s="466"/>
      <c r="U49" s="466"/>
      <c r="V49" s="466"/>
      <c r="W49" s="466"/>
      <c r="X49" s="466"/>
      <c r="Y49" s="466"/>
      <c r="Z49" s="466"/>
      <c r="AA49" s="466"/>
      <c r="AB49" s="466"/>
      <c r="AC49" s="466"/>
      <c r="AD49" s="467"/>
      <c r="AE49" s="97"/>
      <c r="AI49" s="108" t="s">
        <v>67</v>
      </c>
      <c r="AV49" s="108">
        <f t="shared" si="4"/>
        <v>0</v>
      </c>
      <c r="BO49" s="108" t="s">
        <v>67</v>
      </c>
      <c r="CB49" s="108">
        <f t="shared" si="5"/>
        <v>0</v>
      </c>
      <c r="CU49" s="108" t="s">
        <v>67</v>
      </c>
      <c r="DH49" s="108">
        <f t="shared" si="6"/>
        <v>0</v>
      </c>
      <c r="EA49" s="108" t="s">
        <v>67</v>
      </c>
      <c r="EN49" s="108">
        <f t="shared" si="7"/>
        <v>0</v>
      </c>
      <c r="FG49" s="108" t="s">
        <v>67</v>
      </c>
      <c r="FT49" s="108">
        <f t="shared" si="8"/>
        <v>0</v>
      </c>
      <c r="GM49" s="108" t="s">
        <v>67</v>
      </c>
      <c r="GZ49" s="108">
        <f t="shared" si="9"/>
        <v>0</v>
      </c>
      <c r="HS49" s="108" t="s">
        <v>67</v>
      </c>
      <c r="IF49" s="108">
        <f t="shared" si="10"/>
        <v>0</v>
      </c>
      <c r="IY49" s="108" t="s">
        <v>67</v>
      </c>
      <c r="JL49" s="108">
        <f t="shared" si="11"/>
        <v>0</v>
      </c>
      <c r="KE49" s="108" t="s">
        <v>67</v>
      </c>
      <c r="KR49" s="108">
        <f t="shared" si="12"/>
        <v>0</v>
      </c>
      <c r="LK49" s="108" t="s">
        <v>67</v>
      </c>
      <c r="LX49" s="108">
        <f t="shared" si="13"/>
        <v>0</v>
      </c>
      <c r="MQ49" s="108" t="s">
        <v>67</v>
      </c>
      <c r="ND49" s="108">
        <f t="shared" si="14"/>
        <v>0</v>
      </c>
      <c r="NW49" s="108" t="s">
        <v>67</v>
      </c>
      <c r="OJ49" s="108">
        <f t="shared" si="15"/>
        <v>0</v>
      </c>
      <c r="PC49" s="108" t="s">
        <v>67</v>
      </c>
      <c r="PP49" s="108">
        <f t="shared" si="16"/>
        <v>0</v>
      </c>
      <c r="QI49" s="108" t="s">
        <v>67</v>
      </c>
      <c r="QV49" s="108">
        <f t="shared" si="17"/>
        <v>0</v>
      </c>
      <c r="RO49" s="108" t="s">
        <v>67</v>
      </c>
      <c r="SB49" s="108">
        <f t="shared" si="18"/>
        <v>0</v>
      </c>
      <c r="SU49" s="108" t="s">
        <v>67</v>
      </c>
      <c r="TH49" s="108">
        <f t="shared" si="19"/>
        <v>0</v>
      </c>
      <c r="UA49" s="108" t="s">
        <v>67</v>
      </c>
      <c r="UN49" s="108">
        <f t="shared" si="20"/>
        <v>0</v>
      </c>
      <c r="VG49" s="108" t="s">
        <v>67</v>
      </c>
      <c r="VT49" s="108">
        <f t="shared" si="21"/>
        <v>0</v>
      </c>
      <c r="WM49" s="108" t="s">
        <v>67</v>
      </c>
      <c r="WZ49" s="108">
        <f t="shared" si="22"/>
        <v>0</v>
      </c>
      <c r="XS49" s="108" t="s">
        <v>67</v>
      </c>
      <c r="YF49" s="108">
        <f t="shared" si="23"/>
        <v>0</v>
      </c>
      <c r="YY49" s="108" t="s">
        <v>67</v>
      </c>
      <c r="ZL49" s="108">
        <f t="shared" si="24"/>
        <v>0</v>
      </c>
      <c r="AAE49" s="108" t="s">
        <v>67</v>
      </c>
      <c r="AAR49" s="108">
        <f t="shared" si="25"/>
        <v>0</v>
      </c>
      <c r="ABK49" s="108" t="s">
        <v>67</v>
      </c>
      <c r="ABX49" s="108">
        <f t="shared" si="26"/>
        <v>0</v>
      </c>
      <c r="ACQ49" s="108" t="s">
        <v>67</v>
      </c>
      <c r="ADD49" s="108">
        <f t="shared" si="27"/>
        <v>0</v>
      </c>
      <c r="ADW49" s="108" t="s">
        <v>67</v>
      </c>
      <c r="AEJ49" s="108">
        <f t="shared" si="28"/>
        <v>0</v>
      </c>
      <c r="AFC49" s="108" t="s">
        <v>67</v>
      </c>
      <c r="AFP49" s="108">
        <f t="shared" si="29"/>
        <v>0</v>
      </c>
      <c r="AGI49" s="108" t="s">
        <v>67</v>
      </c>
      <c r="AGV49" s="108">
        <f t="shared" si="30"/>
        <v>0</v>
      </c>
      <c r="AHO49" s="108" t="s">
        <v>67</v>
      </c>
      <c r="AIB49" s="108">
        <f t="shared" si="31"/>
        <v>0</v>
      </c>
      <c r="AIU49" s="108" t="s">
        <v>67</v>
      </c>
      <c r="AJH49" s="108">
        <f t="shared" si="32"/>
        <v>0</v>
      </c>
      <c r="AKA49" s="108" t="s">
        <v>67</v>
      </c>
      <c r="AKN49" s="108">
        <f t="shared" si="33"/>
        <v>0</v>
      </c>
      <c r="ALG49" s="108" t="s">
        <v>67</v>
      </c>
      <c r="ALT49" s="108">
        <f t="shared" si="34"/>
        <v>0</v>
      </c>
      <c r="AMM49" s="108" t="s">
        <v>67</v>
      </c>
      <c r="AMZ49" s="108">
        <f t="shared" si="35"/>
        <v>0</v>
      </c>
      <c r="ANS49" s="108" t="s">
        <v>67</v>
      </c>
      <c r="AOF49" s="108">
        <f t="shared" si="36"/>
        <v>0</v>
      </c>
      <c r="AOY49" s="108" t="s">
        <v>67</v>
      </c>
      <c r="APL49" s="108">
        <f t="shared" si="37"/>
        <v>0</v>
      </c>
      <c r="AQE49" s="108" t="s">
        <v>67</v>
      </c>
      <c r="AQR49" s="108">
        <f t="shared" si="38"/>
        <v>0</v>
      </c>
      <c r="ARK49" s="108" t="s">
        <v>67</v>
      </c>
      <c r="ARX49" s="108">
        <f t="shared" si="39"/>
        <v>0</v>
      </c>
      <c r="ASQ49" s="108" t="s">
        <v>67</v>
      </c>
      <c r="ATD49" s="108">
        <f t="shared" si="40"/>
        <v>0</v>
      </c>
      <c r="ATW49" s="108" t="s">
        <v>67</v>
      </c>
      <c r="AUJ49" s="108">
        <f t="shared" si="41"/>
        <v>0</v>
      </c>
      <c r="AVC49" s="108" t="s">
        <v>67</v>
      </c>
      <c r="AVP49" s="108">
        <f t="shared" si="42"/>
        <v>0</v>
      </c>
      <c r="AWI49" s="108" t="s">
        <v>67</v>
      </c>
      <c r="AWV49" s="108">
        <f t="shared" si="43"/>
        <v>0</v>
      </c>
      <c r="AXO49" s="108" t="s">
        <v>67</v>
      </c>
      <c r="AYB49" s="108">
        <f t="shared" si="44"/>
        <v>0</v>
      </c>
      <c r="AYU49" s="108" t="s">
        <v>67</v>
      </c>
      <c r="AZH49" s="108">
        <f t="shared" si="45"/>
        <v>0</v>
      </c>
      <c r="BAA49" s="108" t="s">
        <v>67</v>
      </c>
      <c r="BAN49" s="108">
        <f t="shared" si="46"/>
        <v>0</v>
      </c>
      <c r="BBG49" s="108" t="s">
        <v>67</v>
      </c>
      <c r="BBT49" s="108">
        <f t="shared" si="47"/>
        <v>0</v>
      </c>
      <c r="BCM49" s="108" t="s">
        <v>67</v>
      </c>
      <c r="BCZ49" s="108">
        <f t="shared" si="48"/>
        <v>0</v>
      </c>
      <c r="BDS49" s="108" t="s">
        <v>67</v>
      </c>
      <c r="BEF49" s="108">
        <f t="shared" si="49"/>
        <v>0</v>
      </c>
      <c r="BEY49" s="108" t="s">
        <v>67</v>
      </c>
      <c r="BFL49" s="108">
        <f t="shared" si="50"/>
        <v>0</v>
      </c>
      <c r="BGE49" s="108" t="s">
        <v>67</v>
      </c>
      <c r="BGR49" s="108">
        <f t="shared" si="51"/>
        <v>0</v>
      </c>
      <c r="BHK49" s="108" t="s">
        <v>67</v>
      </c>
      <c r="BHX49" s="108">
        <f t="shared" si="52"/>
        <v>0</v>
      </c>
      <c r="BIQ49" s="108" t="s">
        <v>67</v>
      </c>
      <c r="BJD49" s="108">
        <f t="shared" si="53"/>
        <v>0</v>
      </c>
      <c r="BJW49" s="108" t="s">
        <v>67</v>
      </c>
      <c r="BKJ49" s="108">
        <f t="shared" si="54"/>
        <v>0</v>
      </c>
      <c r="BLC49" s="108" t="s">
        <v>67</v>
      </c>
      <c r="BLP49" s="108">
        <f t="shared" si="55"/>
        <v>0</v>
      </c>
      <c r="BMI49" s="108" t="s">
        <v>67</v>
      </c>
      <c r="BMV49" s="108">
        <f t="shared" si="56"/>
        <v>0</v>
      </c>
      <c r="BNO49" s="108" t="s">
        <v>67</v>
      </c>
      <c r="BOB49" s="108">
        <f t="shared" si="57"/>
        <v>0</v>
      </c>
      <c r="BOU49" s="108" t="s">
        <v>67</v>
      </c>
      <c r="BPH49" s="108">
        <f t="shared" si="58"/>
        <v>0</v>
      </c>
      <c r="BQA49" s="108" t="s">
        <v>67</v>
      </c>
      <c r="BQN49" s="108">
        <f t="shared" si="59"/>
        <v>0</v>
      </c>
      <c r="BRG49" s="108" t="s">
        <v>67</v>
      </c>
      <c r="BRT49" s="108">
        <f t="shared" si="60"/>
        <v>0</v>
      </c>
      <c r="BSM49" s="108" t="s">
        <v>67</v>
      </c>
      <c r="BSZ49" s="108">
        <f t="shared" si="61"/>
        <v>0</v>
      </c>
      <c r="BTS49" s="108" t="s">
        <v>67</v>
      </c>
      <c r="BUF49" s="108">
        <f t="shared" si="62"/>
        <v>0</v>
      </c>
      <c r="BUY49" s="108" t="s">
        <v>67</v>
      </c>
      <c r="BVL49" s="108">
        <f t="shared" si="63"/>
        <v>0</v>
      </c>
      <c r="BWE49" s="108" t="s">
        <v>67</v>
      </c>
      <c r="BWR49" s="108">
        <f t="shared" si="64"/>
        <v>0</v>
      </c>
      <c r="BXK49" s="108" t="s">
        <v>67</v>
      </c>
      <c r="BXX49" s="108">
        <f t="shared" si="65"/>
        <v>0</v>
      </c>
      <c r="BYQ49" s="108" t="s">
        <v>67</v>
      </c>
      <c r="BZD49" s="108">
        <f t="shared" si="66"/>
        <v>0</v>
      </c>
      <c r="BZW49" s="108" t="s">
        <v>67</v>
      </c>
      <c r="CAJ49" s="108">
        <f t="shared" si="67"/>
        <v>0</v>
      </c>
      <c r="CBC49" s="108" t="s">
        <v>67</v>
      </c>
      <c r="CBP49" s="108">
        <f t="shared" si="68"/>
        <v>0</v>
      </c>
      <c r="CCI49" s="108" t="s">
        <v>67</v>
      </c>
      <c r="CCV49" s="108">
        <f t="shared" si="69"/>
        <v>0</v>
      </c>
      <c r="CDO49" s="108" t="s">
        <v>67</v>
      </c>
      <c r="CEB49" s="108">
        <f t="shared" si="70"/>
        <v>0</v>
      </c>
      <c r="CEU49" s="108" t="s">
        <v>67</v>
      </c>
      <c r="CFH49" s="108">
        <f t="shared" si="71"/>
        <v>0</v>
      </c>
      <c r="CGA49" s="108" t="s">
        <v>67</v>
      </c>
      <c r="CGN49" s="108">
        <f t="shared" si="72"/>
        <v>0</v>
      </c>
      <c r="CHG49" s="108" t="s">
        <v>67</v>
      </c>
      <c r="CHT49" s="108">
        <f t="shared" si="73"/>
        <v>0</v>
      </c>
      <c r="CIM49" s="108" t="s">
        <v>67</v>
      </c>
      <c r="CIZ49" s="108">
        <f t="shared" si="74"/>
        <v>0</v>
      </c>
      <c r="CJS49" s="108" t="s">
        <v>67</v>
      </c>
      <c r="CKF49" s="108">
        <f t="shared" si="75"/>
        <v>0</v>
      </c>
      <c r="CKY49" s="108" t="s">
        <v>67</v>
      </c>
      <c r="CLL49" s="108">
        <f t="shared" si="76"/>
        <v>0</v>
      </c>
      <c r="CME49" s="108" t="s">
        <v>67</v>
      </c>
      <c r="CMR49" s="108">
        <f t="shared" si="77"/>
        <v>0</v>
      </c>
      <c r="CNK49" s="108" t="s">
        <v>67</v>
      </c>
      <c r="CNX49" s="108">
        <f t="shared" si="78"/>
        <v>0</v>
      </c>
      <c r="COQ49" s="108" t="s">
        <v>67</v>
      </c>
      <c r="CPD49" s="108">
        <f t="shared" si="79"/>
        <v>0</v>
      </c>
      <c r="CPW49" s="108" t="s">
        <v>67</v>
      </c>
      <c r="CQJ49" s="108">
        <f t="shared" si="80"/>
        <v>0</v>
      </c>
      <c r="CRC49" s="108" t="s">
        <v>67</v>
      </c>
      <c r="CRP49" s="108">
        <f t="shared" si="81"/>
        <v>0</v>
      </c>
      <c r="CSI49" s="108" t="s">
        <v>67</v>
      </c>
      <c r="CSV49" s="108">
        <f t="shared" si="82"/>
        <v>0</v>
      </c>
      <c r="CTO49" s="108" t="s">
        <v>67</v>
      </c>
      <c r="CUB49" s="108">
        <f t="shared" si="83"/>
        <v>0</v>
      </c>
      <c r="CUU49" s="108" t="s">
        <v>67</v>
      </c>
      <c r="CVH49" s="108">
        <f t="shared" si="84"/>
        <v>0</v>
      </c>
      <c r="CWA49" s="108" t="s">
        <v>67</v>
      </c>
      <c r="CWN49" s="108">
        <f t="shared" si="85"/>
        <v>0</v>
      </c>
      <c r="CXG49" s="108" t="s">
        <v>67</v>
      </c>
      <c r="CXT49" s="108">
        <f t="shared" si="86"/>
        <v>0</v>
      </c>
      <c r="CYM49" s="108" t="s">
        <v>67</v>
      </c>
      <c r="CYZ49" s="108">
        <f t="shared" si="87"/>
        <v>0</v>
      </c>
      <c r="CZS49" s="108" t="s">
        <v>67</v>
      </c>
      <c r="DAF49" s="108">
        <f t="shared" si="88"/>
        <v>0</v>
      </c>
      <c r="DAY49" s="108" t="s">
        <v>67</v>
      </c>
      <c r="DBL49" s="108">
        <f t="shared" si="89"/>
        <v>0</v>
      </c>
      <c r="DCE49" s="108" t="s">
        <v>67</v>
      </c>
      <c r="DCR49" s="108">
        <f t="shared" si="90"/>
        <v>0</v>
      </c>
      <c r="DDK49" s="108" t="s">
        <v>67</v>
      </c>
      <c r="DDX49" s="108">
        <f t="shared" si="91"/>
        <v>0</v>
      </c>
      <c r="DEQ49" s="108" t="s">
        <v>67</v>
      </c>
      <c r="DFD49" s="108">
        <f t="shared" si="92"/>
        <v>0</v>
      </c>
      <c r="DFW49" s="108" t="s">
        <v>67</v>
      </c>
      <c r="DGJ49" s="108">
        <f t="shared" si="93"/>
        <v>0</v>
      </c>
      <c r="DHC49" s="108" t="s">
        <v>67</v>
      </c>
      <c r="DHP49" s="108">
        <f t="shared" si="94"/>
        <v>0</v>
      </c>
      <c r="DII49" s="108" t="s">
        <v>67</v>
      </c>
      <c r="DIV49" s="108">
        <f t="shared" si="95"/>
        <v>0</v>
      </c>
      <c r="DJO49" s="108" t="s">
        <v>67</v>
      </c>
      <c r="DKB49" s="108">
        <f t="shared" si="96"/>
        <v>0</v>
      </c>
      <c r="DKU49" s="108" t="s">
        <v>67</v>
      </c>
      <c r="DLH49" s="108">
        <f t="shared" si="97"/>
        <v>0</v>
      </c>
      <c r="DMA49" s="108" t="s">
        <v>67</v>
      </c>
      <c r="DMN49" s="108">
        <f t="shared" si="98"/>
        <v>0</v>
      </c>
      <c r="DNG49" s="108" t="s">
        <v>67</v>
      </c>
      <c r="DNT49" s="108">
        <f t="shared" si="99"/>
        <v>0</v>
      </c>
      <c r="DOM49" s="108" t="s">
        <v>67</v>
      </c>
      <c r="DOZ49" s="108">
        <f t="shared" si="100"/>
        <v>0</v>
      </c>
      <c r="DPS49" s="108" t="s">
        <v>67</v>
      </c>
      <c r="DQF49" s="108">
        <f t="shared" si="101"/>
        <v>0</v>
      </c>
      <c r="DQY49" s="108" t="s">
        <v>67</v>
      </c>
      <c r="DRL49" s="108">
        <f t="shared" si="102"/>
        <v>0</v>
      </c>
      <c r="DSE49" s="108" t="s">
        <v>67</v>
      </c>
      <c r="DSR49" s="108">
        <f t="shared" si="103"/>
        <v>0</v>
      </c>
      <c r="DTK49" s="108" t="s">
        <v>67</v>
      </c>
      <c r="DTX49" s="108">
        <f t="shared" si="104"/>
        <v>0</v>
      </c>
      <c r="DUQ49" s="108" t="s">
        <v>67</v>
      </c>
      <c r="DVD49" s="108">
        <f t="shared" si="105"/>
        <v>0</v>
      </c>
      <c r="DVW49" s="108" t="s">
        <v>67</v>
      </c>
      <c r="DWJ49" s="108">
        <f t="shared" si="106"/>
        <v>0</v>
      </c>
      <c r="DXC49" s="108" t="s">
        <v>67</v>
      </c>
      <c r="DXP49" s="108">
        <f t="shared" si="107"/>
        <v>0</v>
      </c>
      <c r="DYI49" s="108" t="s">
        <v>67</v>
      </c>
      <c r="DYV49" s="108">
        <f t="shared" si="108"/>
        <v>0</v>
      </c>
      <c r="DZO49" s="108" t="s">
        <v>67</v>
      </c>
      <c r="EAB49" s="108">
        <f t="shared" si="109"/>
        <v>0</v>
      </c>
      <c r="EAU49" s="108" t="s">
        <v>67</v>
      </c>
      <c r="EBH49" s="108">
        <f t="shared" si="110"/>
        <v>0</v>
      </c>
      <c r="ECA49" s="108" t="s">
        <v>67</v>
      </c>
      <c r="ECN49" s="108">
        <f t="shared" si="111"/>
        <v>0</v>
      </c>
      <c r="EDG49" s="108" t="s">
        <v>67</v>
      </c>
      <c r="EDT49" s="108">
        <f t="shared" si="112"/>
        <v>0</v>
      </c>
      <c r="EEM49" s="108" t="s">
        <v>67</v>
      </c>
      <c r="EEZ49" s="108">
        <f t="shared" si="113"/>
        <v>0</v>
      </c>
      <c r="EFS49" s="108" t="s">
        <v>67</v>
      </c>
      <c r="EGF49" s="108">
        <f t="shared" si="114"/>
        <v>0</v>
      </c>
      <c r="EGY49" s="108" t="s">
        <v>67</v>
      </c>
      <c r="EHL49" s="108">
        <f t="shared" si="115"/>
        <v>0</v>
      </c>
      <c r="EIE49" s="108" t="s">
        <v>67</v>
      </c>
      <c r="EIR49" s="108">
        <f t="shared" si="116"/>
        <v>0</v>
      </c>
      <c r="EJK49" s="108" t="s">
        <v>67</v>
      </c>
      <c r="EJX49" s="108">
        <f t="shared" si="117"/>
        <v>0</v>
      </c>
      <c r="EKQ49" s="108" t="s">
        <v>67</v>
      </c>
      <c r="ELD49" s="108">
        <f t="shared" si="118"/>
        <v>0</v>
      </c>
      <c r="ELW49" s="108" t="s">
        <v>67</v>
      </c>
      <c r="EMJ49" s="108">
        <f t="shared" si="119"/>
        <v>0</v>
      </c>
      <c r="ENC49" s="108" t="s">
        <v>67</v>
      </c>
      <c r="ENP49" s="108">
        <f t="shared" si="120"/>
        <v>0</v>
      </c>
      <c r="EOI49" s="108" t="s">
        <v>67</v>
      </c>
      <c r="EOV49" s="108">
        <f t="shared" si="121"/>
        <v>0</v>
      </c>
      <c r="EPO49" s="108" t="s">
        <v>67</v>
      </c>
      <c r="EQB49" s="108">
        <f t="shared" si="122"/>
        <v>0</v>
      </c>
      <c r="EQU49" s="108" t="s">
        <v>67</v>
      </c>
      <c r="ERH49" s="108">
        <f t="shared" si="123"/>
        <v>0</v>
      </c>
      <c r="ESA49" s="108" t="s">
        <v>67</v>
      </c>
      <c r="ESN49" s="108">
        <f t="shared" si="124"/>
        <v>0</v>
      </c>
      <c r="ETG49" s="108" t="s">
        <v>67</v>
      </c>
      <c r="ETT49" s="108">
        <f t="shared" si="125"/>
        <v>0</v>
      </c>
      <c r="EUM49" s="108" t="s">
        <v>67</v>
      </c>
      <c r="EUZ49" s="108">
        <f t="shared" si="126"/>
        <v>0</v>
      </c>
      <c r="EVS49" s="108" t="s">
        <v>67</v>
      </c>
      <c r="EWF49" s="108">
        <f t="shared" si="127"/>
        <v>0</v>
      </c>
      <c r="EWY49" s="108" t="s">
        <v>67</v>
      </c>
      <c r="EXL49" s="108">
        <f t="shared" si="128"/>
        <v>0</v>
      </c>
      <c r="EYE49" s="108" t="s">
        <v>67</v>
      </c>
      <c r="EYR49" s="108">
        <f t="shared" si="129"/>
        <v>0</v>
      </c>
      <c r="EZK49" s="108" t="s">
        <v>67</v>
      </c>
      <c r="EZX49" s="108">
        <f t="shared" si="130"/>
        <v>0</v>
      </c>
      <c r="FAQ49" s="108" t="s">
        <v>67</v>
      </c>
      <c r="FBD49" s="108">
        <f t="shared" si="131"/>
        <v>0</v>
      </c>
      <c r="FBW49" s="108" t="s">
        <v>67</v>
      </c>
      <c r="FCJ49" s="108">
        <f t="shared" si="132"/>
        <v>0</v>
      </c>
      <c r="FDC49" s="108" t="s">
        <v>67</v>
      </c>
      <c r="FDP49" s="108">
        <f t="shared" si="133"/>
        <v>0</v>
      </c>
      <c r="FEI49" s="108" t="s">
        <v>67</v>
      </c>
      <c r="FEV49" s="108">
        <f t="shared" si="134"/>
        <v>0</v>
      </c>
      <c r="FFO49" s="108" t="s">
        <v>67</v>
      </c>
      <c r="FGB49" s="108">
        <f t="shared" si="135"/>
        <v>0</v>
      </c>
      <c r="FGU49" s="108" t="s">
        <v>67</v>
      </c>
      <c r="FHH49" s="108">
        <f t="shared" si="136"/>
        <v>0</v>
      </c>
      <c r="FIA49" s="108" t="s">
        <v>67</v>
      </c>
      <c r="FIN49" s="108">
        <f t="shared" si="137"/>
        <v>0</v>
      </c>
      <c r="FJG49" s="108" t="s">
        <v>67</v>
      </c>
      <c r="FJT49" s="108">
        <f t="shared" si="138"/>
        <v>0</v>
      </c>
      <c r="FKM49" s="108" t="s">
        <v>67</v>
      </c>
      <c r="FKZ49" s="108">
        <f t="shared" si="139"/>
        <v>0</v>
      </c>
      <c r="FLS49" s="108" t="s">
        <v>67</v>
      </c>
      <c r="FMF49" s="108">
        <f t="shared" si="140"/>
        <v>0</v>
      </c>
      <c r="FMY49" s="108" t="s">
        <v>67</v>
      </c>
      <c r="FNL49" s="108">
        <f t="shared" si="141"/>
        <v>0</v>
      </c>
      <c r="FOE49" s="108" t="s">
        <v>67</v>
      </c>
      <c r="FOR49" s="108">
        <f t="shared" si="142"/>
        <v>0</v>
      </c>
      <c r="FPK49" s="108" t="s">
        <v>67</v>
      </c>
      <c r="FPX49" s="108">
        <f t="shared" si="143"/>
        <v>0</v>
      </c>
      <c r="FQQ49" s="108" t="s">
        <v>67</v>
      </c>
      <c r="FRD49" s="108">
        <f t="shared" si="144"/>
        <v>0</v>
      </c>
      <c r="FRW49" s="108" t="s">
        <v>67</v>
      </c>
      <c r="FSJ49" s="108">
        <f t="shared" si="145"/>
        <v>0</v>
      </c>
      <c r="FTC49" s="108" t="s">
        <v>67</v>
      </c>
      <c r="FTP49" s="108">
        <f t="shared" si="146"/>
        <v>0</v>
      </c>
      <c r="FUI49" s="108" t="s">
        <v>67</v>
      </c>
      <c r="FUV49" s="108">
        <f t="shared" si="147"/>
        <v>0</v>
      </c>
      <c r="FVO49" s="108" t="s">
        <v>67</v>
      </c>
      <c r="FWB49" s="108">
        <f t="shared" si="148"/>
        <v>0</v>
      </c>
      <c r="FWU49" s="108" t="s">
        <v>67</v>
      </c>
      <c r="FXH49" s="108">
        <f t="shared" si="149"/>
        <v>0</v>
      </c>
      <c r="FYA49" s="108" t="s">
        <v>67</v>
      </c>
      <c r="FYN49" s="108">
        <f t="shared" si="150"/>
        <v>0</v>
      </c>
      <c r="FZG49" s="108" t="s">
        <v>67</v>
      </c>
      <c r="FZT49" s="108">
        <f t="shared" si="151"/>
        <v>0</v>
      </c>
      <c r="GAM49" s="108" t="s">
        <v>67</v>
      </c>
      <c r="GAZ49" s="108">
        <f t="shared" si="152"/>
        <v>0</v>
      </c>
      <c r="GBS49" s="108" t="s">
        <v>67</v>
      </c>
      <c r="GCF49" s="108">
        <f t="shared" si="153"/>
        <v>0</v>
      </c>
      <c r="GCY49" s="108" t="s">
        <v>67</v>
      </c>
      <c r="GDL49" s="108">
        <f t="shared" si="154"/>
        <v>0</v>
      </c>
      <c r="GEE49" s="108" t="s">
        <v>67</v>
      </c>
      <c r="GER49" s="108">
        <f t="shared" si="155"/>
        <v>0</v>
      </c>
      <c r="GFK49" s="108" t="s">
        <v>67</v>
      </c>
      <c r="GFX49" s="108">
        <f t="shared" si="156"/>
        <v>0</v>
      </c>
      <c r="GGQ49" s="108" t="s">
        <v>67</v>
      </c>
      <c r="GHD49" s="108">
        <f t="shared" si="157"/>
        <v>0</v>
      </c>
      <c r="GHW49" s="108" t="s">
        <v>67</v>
      </c>
      <c r="GIJ49" s="108">
        <f t="shared" si="158"/>
        <v>0</v>
      </c>
      <c r="GJC49" s="108" t="s">
        <v>67</v>
      </c>
      <c r="GJP49" s="108">
        <f t="shared" si="159"/>
        <v>0</v>
      </c>
      <c r="GKI49" s="108" t="s">
        <v>67</v>
      </c>
      <c r="GKV49" s="108">
        <f t="shared" si="160"/>
        <v>0</v>
      </c>
      <c r="GLO49" s="108" t="s">
        <v>67</v>
      </c>
      <c r="GMB49" s="108">
        <f t="shared" si="161"/>
        <v>0</v>
      </c>
      <c r="GMU49" s="108" t="s">
        <v>67</v>
      </c>
      <c r="GNH49" s="108">
        <f t="shared" si="162"/>
        <v>0</v>
      </c>
      <c r="GOA49" s="108" t="s">
        <v>67</v>
      </c>
      <c r="GON49" s="108">
        <f t="shared" si="163"/>
        <v>0</v>
      </c>
      <c r="GPG49" s="108" t="s">
        <v>67</v>
      </c>
      <c r="GPT49" s="108">
        <f t="shared" si="164"/>
        <v>0</v>
      </c>
      <c r="GQM49" s="108" t="s">
        <v>67</v>
      </c>
      <c r="GQZ49" s="108">
        <f t="shared" si="165"/>
        <v>0</v>
      </c>
      <c r="GRS49" s="108" t="s">
        <v>67</v>
      </c>
      <c r="GSF49" s="108">
        <f t="shared" si="166"/>
        <v>0</v>
      </c>
      <c r="GSY49" s="108" t="s">
        <v>67</v>
      </c>
      <c r="GTL49" s="108">
        <f t="shared" si="167"/>
        <v>0</v>
      </c>
      <c r="GUE49" s="108" t="s">
        <v>67</v>
      </c>
      <c r="GUR49" s="108">
        <f t="shared" si="168"/>
        <v>0</v>
      </c>
      <c r="GVK49" s="108" t="s">
        <v>67</v>
      </c>
      <c r="GVX49" s="108">
        <f t="shared" si="169"/>
        <v>0</v>
      </c>
      <c r="GWQ49" s="108" t="s">
        <v>67</v>
      </c>
      <c r="GXD49" s="108">
        <f t="shared" si="170"/>
        <v>0</v>
      </c>
      <c r="GXW49" s="108" t="s">
        <v>67</v>
      </c>
      <c r="GYJ49" s="108">
        <f t="shared" si="171"/>
        <v>0</v>
      </c>
      <c r="GZC49" s="108" t="s">
        <v>67</v>
      </c>
      <c r="GZP49" s="108">
        <f t="shared" si="172"/>
        <v>0</v>
      </c>
      <c r="HAI49" s="108" t="s">
        <v>67</v>
      </c>
      <c r="HAV49" s="108">
        <f t="shared" si="173"/>
        <v>0</v>
      </c>
      <c r="HBO49" s="108" t="s">
        <v>67</v>
      </c>
      <c r="HCB49" s="108">
        <f t="shared" si="174"/>
        <v>0</v>
      </c>
      <c r="HCU49" s="108" t="s">
        <v>67</v>
      </c>
      <c r="HDH49" s="108">
        <f t="shared" si="175"/>
        <v>0</v>
      </c>
      <c r="HEA49" s="108" t="s">
        <v>67</v>
      </c>
      <c r="HEN49" s="108">
        <f t="shared" si="176"/>
        <v>0</v>
      </c>
      <c r="HFG49" s="108" t="s">
        <v>67</v>
      </c>
      <c r="HFT49" s="108">
        <f t="shared" si="177"/>
        <v>0</v>
      </c>
      <c r="HGM49" s="108" t="s">
        <v>67</v>
      </c>
      <c r="HGZ49" s="108">
        <f t="shared" si="178"/>
        <v>0</v>
      </c>
      <c r="HHS49" s="108" t="s">
        <v>67</v>
      </c>
      <c r="HIF49" s="108">
        <f t="shared" si="179"/>
        <v>0</v>
      </c>
      <c r="HIY49" s="108" t="s">
        <v>67</v>
      </c>
      <c r="HJL49" s="108">
        <f t="shared" si="180"/>
        <v>0</v>
      </c>
      <c r="HKE49" s="108" t="s">
        <v>67</v>
      </c>
      <c r="HKR49" s="108">
        <f t="shared" si="181"/>
        <v>0</v>
      </c>
      <c r="HLK49" s="108" t="s">
        <v>67</v>
      </c>
      <c r="HLX49" s="108">
        <f t="shared" si="182"/>
        <v>0</v>
      </c>
      <c r="HMQ49" s="108" t="s">
        <v>67</v>
      </c>
      <c r="HND49" s="108">
        <f t="shared" si="183"/>
        <v>0</v>
      </c>
      <c r="HNW49" s="108" t="s">
        <v>67</v>
      </c>
      <c r="HOJ49" s="108">
        <f t="shared" si="184"/>
        <v>0</v>
      </c>
      <c r="HPC49" s="108" t="s">
        <v>67</v>
      </c>
      <c r="HPP49" s="108">
        <f t="shared" si="185"/>
        <v>0</v>
      </c>
      <c r="HQI49" s="108" t="s">
        <v>67</v>
      </c>
      <c r="HQV49" s="108">
        <f t="shared" si="186"/>
        <v>0</v>
      </c>
      <c r="HRO49" s="108" t="s">
        <v>67</v>
      </c>
      <c r="HSB49" s="108">
        <f t="shared" si="187"/>
        <v>0</v>
      </c>
      <c r="HSU49" s="108" t="s">
        <v>67</v>
      </c>
      <c r="HTH49" s="108">
        <f t="shared" si="188"/>
        <v>0</v>
      </c>
      <c r="HUA49" s="108" t="s">
        <v>67</v>
      </c>
      <c r="HUN49" s="108">
        <f t="shared" si="189"/>
        <v>0</v>
      </c>
      <c r="HVG49" s="108" t="s">
        <v>67</v>
      </c>
      <c r="HVT49" s="108">
        <f t="shared" si="190"/>
        <v>0</v>
      </c>
      <c r="HWM49" s="108" t="s">
        <v>67</v>
      </c>
      <c r="HWZ49" s="108">
        <f t="shared" si="191"/>
        <v>0</v>
      </c>
      <c r="HXS49" s="108" t="s">
        <v>67</v>
      </c>
      <c r="HYF49" s="108">
        <f t="shared" si="192"/>
        <v>0</v>
      </c>
      <c r="HYY49" s="108" t="s">
        <v>67</v>
      </c>
      <c r="HZL49" s="108">
        <f t="shared" si="193"/>
        <v>0</v>
      </c>
      <c r="IAE49" s="108" t="s">
        <v>67</v>
      </c>
      <c r="IAR49" s="108">
        <f t="shared" si="194"/>
        <v>0</v>
      </c>
      <c r="IBK49" s="108" t="s">
        <v>67</v>
      </c>
      <c r="IBX49" s="108">
        <f t="shared" si="195"/>
        <v>0</v>
      </c>
      <c r="ICQ49" s="108" t="s">
        <v>67</v>
      </c>
      <c r="IDD49" s="108">
        <f t="shared" si="196"/>
        <v>0</v>
      </c>
      <c r="IDW49" s="108" t="s">
        <v>67</v>
      </c>
      <c r="IEJ49" s="108">
        <f t="shared" si="197"/>
        <v>0</v>
      </c>
      <c r="IFC49" s="108" t="s">
        <v>67</v>
      </c>
      <c r="IFP49" s="108">
        <f t="shared" si="198"/>
        <v>0</v>
      </c>
      <c r="IGI49" s="108" t="s">
        <v>67</v>
      </c>
      <c r="IGV49" s="108">
        <f t="shared" si="199"/>
        <v>0</v>
      </c>
      <c r="IHO49" s="108" t="s">
        <v>67</v>
      </c>
      <c r="IIB49" s="108">
        <f t="shared" si="200"/>
        <v>0</v>
      </c>
      <c r="IIU49" s="108" t="s">
        <v>67</v>
      </c>
      <c r="IJH49" s="108">
        <f t="shared" si="201"/>
        <v>0</v>
      </c>
      <c r="IKA49" s="108" t="s">
        <v>67</v>
      </c>
      <c r="IKN49" s="108">
        <f t="shared" si="202"/>
        <v>0</v>
      </c>
      <c r="ILG49" s="108" t="s">
        <v>67</v>
      </c>
      <c r="ILT49" s="108">
        <f t="shared" si="203"/>
        <v>0</v>
      </c>
      <c r="IMM49" s="108" t="s">
        <v>67</v>
      </c>
      <c r="IMZ49" s="108">
        <f t="shared" si="204"/>
        <v>0</v>
      </c>
      <c r="INS49" s="108" t="s">
        <v>67</v>
      </c>
      <c r="IOF49" s="108">
        <f t="shared" si="205"/>
        <v>0</v>
      </c>
      <c r="IOY49" s="108" t="s">
        <v>67</v>
      </c>
      <c r="IPL49" s="108">
        <f t="shared" si="206"/>
        <v>0</v>
      </c>
      <c r="IQE49" s="108" t="s">
        <v>67</v>
      </c>
      <c r="IQR49" s="108">
        <f t="shared" si="207"/>
        <v>0</v>
      </c>
      <c r="IRK49" s="108" t="s">
        <v>67</v>
      </c>
      <c r="IRX49" s="108">
        <f t="shared" si="208"/>
        <v>0</v>
      </c>
      <c r="ISQ49" s="108" t="s">
        <v>67</v>
      </c>
      <c r="ITD49" s="108">
        <f t="shared" si="209"/>
        <v>0</v>
      </c>
      <c r="ITW49" s="108" t="s">
        <v>67</v>
      </c>
      <c r="IUJ49" s="108">
        <f t="shared" si="210"/>
        <v>0</v>
      </c>
      <c r="IVC49" s="108" t="s">
        <v>67</v>
      </c>
      <c r="IVP49" s="108">
        <f t="shared" si="211"/>
        <v>0</v>
      </c>
      <c r="IWI49" s="108" t="s">
        <v>67</v>
      </c>
      <c r="IWV49" s="108">
        <f t="shared" si="212"/>
        <v>0</v>
      </c>
      <c r="IXO49" s="108" t="s">
        <v>67</v>
      </c>
      <c r="IYB49" s="108">
        <f t="shared" si="213"/>
        <v>0</v>
      </c>
      <c r="IYU49" s="108" t="s">
        <v>67</v>
      </c>
      <c r="IZH49" s="108">
        <f t="shared" si="214"/>
        <v>0</v>
      </c>
      <c r="JAA49" s="108" t="s">
        <v>67</v>
      </c>
      <c r="JAN49" s="108">
        <f t="shared" si="215"/>
        <v>0</v>
      </c>
      <c r="JBG49" s="108" t="s">
        <v>67</v>
      </c>
      <c r="JBT49" s="108">
        <f t="shared" si="216"/>
        <v>0</v>
      </c>
      <c r="JCM49" s="108" t="s">
        <v>67</v>
      </c>
      <c r="JCZ49" s="108">
        <f t="shared" si="217"/>
        <v>0</v>
      </c>
      <c r="JDS49" s="108" t="s">
        <v>67</v>
      </c>
      <c r="JEF49" s="108">
        <f t="shared" si="218"/>
        <v>0</v>
      </c>
      <c r="JEY49" s="108" t="s">
        <v>67</v>
      </c>
      <c r="JFL49" s="108">
        <f t="shared" si="219"/>
        <v>0</v>
      </c>
      <c r="JGE49" s="108" t="s">
        <v>67</v>
      </c>
      <c r="JGR49" s="108">
        <f t="shared" si="220"/>
        <v>0</v>
      </c>
      <c r="JHK49" s="108" t="s">
        <v>67</v>
      </c>
      <c r="JHX49" s="108">
        <f t="shared" si="221"/>
        <v>0</v>
      </c>
      <c r="JIQ49" s="108" t="s">
        <v>67</v>
      </c>
      <c r="JJD49" s="108">
        <f t="shared" si="222"/>
        <v>0</v>
      </c>
      <c r="JJW49" s="108" t="s">
        <v>67</v>
      </c>
      <c r="JKJ49" s="108">
        <f t="shared" si="223"/>
        <v>0</v>
      </c>
      <c r="JLC49" s="108" t="s">
        <v>67</v>
      </c>
      <c r="JLP49" s="108">
        <f t="shared" si="224"/>
        <v>0</v>
      </c>
      <c r="JMI49" s="108" t="s">
        <v>67</v>
      </c>
      <c r="JMV49" s="108">
        <f t="shared" si="225"/>
        <v>0</v>
      </c>
      <c r="JNO49" s="108" t="s">
        <v>67</v>
      </c>
      <c r="JOB49" s="108">
        <f t="shared" si="226"/>
        <v>0</v>
      </c>
      <c r="JOU49" s="108" t="s">
        <v>67</v>
      </c>
      <c r="JPH49" s="108">
        <f t="shared" si="227"/>
        <v>0</v>
      </c>
      <c r="JQA49" s="108" t="s">
        <v>67</v>
      </c>
      <c r="JQN49" s="108">
        <f t="shared" si="228"/>
        <v>0</v>
      </c>
      <c r="JRG49" s="108" t="s">
        <v>67</v>
      </c>
      <c r="JRT49" s="108">
        <f t="shared" si="229"/>
        <v>0</v>
      </c>
      <c r="JSM49" s="108" t="s">
        <v>67</v>
      </c>
      <c r="JSZ49" s="108">
        <f t="shared" si="230"/>
        <v>0</v>
      </c>
      <c r="JTS49" s="108" t="s">
        <v>67</v>
      </c>
      <c r="JUF49" s="108">
        <f t="shared" si="231"/>
        <v>0</v>
      </c>
      <c r="JUY49" s="108" t="s">
        <v>67</v>
      </c>
      <c r="JVL49" s="108">
        <f t="shared" si="232"/>
        <v>0</v>
      </c>
      <c r="JWE49" s="108" t="s">
        <v>67</v>
      </c>
      <c r="JWR49" s="108">
        <f t="shared" si="233"/>
        <v>0</v>
      </c>
      <c r="JXK49" s="108" t="s">
        <v>67</v>
      </c>
      <c r="JXX49" s="108">
        <f t="shared" si="234"/>
        <v>0</v>
      </c>
      <c r="JYQ49" s="108" t="s">
        <v>67</v>
      </c>
      <c r="JZD49" s="108">
        <f t="shared" si="235"/>
        <v>0</v>
      </c>
      <c r="JZW49" s="108" t="s">
        <v>67</v>
      </c>
      <c r="KAJ49" s="108">
        <f t="shared" si="236"/>
        <v>0</v>
      </c>
      <c r="KBC49" s="108" t="s">
        <v>67</v>
      </c>
      <c r="KBP49" s="108">
        <f t="shared" si="237"/>
        <v>0</v>
      </c>
      <c r="KCI49" s="108" t="s">
        <v>67</v>
      </c>
      <c r="KCV49" s="108">
        <f t="shared" si="238"/>
        <v>0</v>
      </c>
      <c r="KDO49" s="108" t="s">
        <v>67</v>
      </c>
      <c r="KEB49" s="108">
        <f t="shared" si="239"/>
        <v>0</v>
      </c>
      <c r="KEU49" s="108" t="s">
        <v>67</v>
      </c>
      <c r="KFH49" s="108">
        <f t="shared" si="240"/>
        <v>0</v>
      </c>
      <c r="KGA49" s="108" t="s">
        <v>67</v>
      </c>
      <c r="KGN49" s="108">
        <f t="shared" si="241"/>
        <v>0</v>
      </c>
      <c r="KHG49" s="108" t="s">
        <v>67</v>
      </c>
      <c r="KHT49" s="108">
        <f t="shared" si="242"/>
        <v>0</v>
      </c>
      <c r="KIM49" s="108" t="s">
        <v>67</v>
      </c>
      <c r="KIZ49" s="108">
        <f t="shared" si="243"/>
        <v>0</v>
      </c>
      <c r="KJS49" s="108" t="s">
        <v>67</v>
      </c>
      <c r="KKF49" s="108">
        <f t="shared" si="244"/>
        <v>0</v>
      </c>
      <c r="KKY49" s="108" t="s">
        <v>67</v>
      </c>
      <c r="KLL49" s="108">
        <f t="shared" si="245"/>
        <v>0</v>
      </c>
      <c r="KME49" s="108" t="s">
        <v>67</v>
      </c>
      <c r="KMR49" s="108">
        <f t="shared" si="246"/>
        <v>0</v>
      </c>
      <c r="KNK49" s="108" t="s">
        <v>67</v>
      </c>
      <c r="KNX49" s="108">
        <f t="shared" si="247"/>
        <v>0</v>
      </c>
      <c r="KOQ49" s="108" t="s">
        <v>67</v>
      </c>
      <c r="KPD49" s="108">
        <f t="shared" si="248"/>
        <v>0</v>
      </c>
      <c r="KPW49" s="108" t="s">
        <v>67</v>
      </c>
      <c r="KQJ49" s="108">
        <f t="shared" si="249"/>
        <v>0</v>
      </c>
      <c r="KRC49" s="108" t="s">
        <v>67</v>
      </c>
      <c r="KRP49" s="108">
        <f t="shared" si="250"/>
        <v>0</v>
      </c>
      <c r="KSI49" s="108" t="s">
        <v>67</v>
      </c>
      <c r="KSV49" s="108">
        <f t="shared" si="251"/>
        <v>0</v>
      </c>
      <c r="KTO49" s="108" t="s">
        <v>67</v>
      </c>
      <c r="KUB49" s="108">
        <f t="shared" si="252"/>
        <v>0</v>
      </c>
      <c r="KUU49" s="108" t="s">
        <v>67</v>
      </c>
      <c r="KVH49" s="108">
        <f t="shared" si="253"/>
        <v>0</v>
      </c>
      <c r="KWA49" s="108" t="s">
        <v>67</v>
      </c>
      <c r="KWN49" s="108">
        <f t="shared" si="254"/>
        <v>0</v>
      </c>
      <c r="KXG49" s="108" t="s">
        <v>67</v>
      </c>
      <c r="KXT49" s="108">
        <f t="shared" si="255"/>
        <v>0</v>
      </c>
      <c r="KYM49" s="108" t="s">
        <v>67</v>
      </c>
      <c r="KYZ49" s="108">
        <f t="shared" si="256"/>
        <v>0</v>
      </c>
      <c r="KZS49" s="108" t="s">
        <v>67</v>
      </c>
      <c r="LAF49" s="108">
        <f t="shared" si="257"/>
        <v>0</v>
      </c>
      <c r="LAY49" s="108" t="s">
        <v>67</v>
      </c>
      <c r="LBL49" s="108">
        <f t="shared" si="258"/>
        <v>0</v>
      </c>
      <c r="LCE49" s="108" t="s">
        <v>67</v>
      </c>
      <c r="LCR49" s="108">
        <f t="shared" si="259"/>
        <v>0</v>
      </c>
      <c r="LDK49" s="108" t="s">
        <v>67</v>
      </c>
      <c r="LDX49" s="108">
        <f t="shared" si="260"/>
        <v>0</v>
      </c>
      <c r="LEQ49" s="108" t="s">
        <v>67</v>
      </c>
      <c r="LFD49" s="108">
        <f t="shared" si="261"/>
        <v>0</v>
      </c>
      <c r="LFW49" s="108" t="s">
        <v>67</v>
      </c>
      <c r="LGJ49" s="108">
        <f t="shared" si="262"/>
        <v>0</v>
      </c>
      <c r="LHC49" s="108" t="s">
        <v>67</v>
      </c>
      <c r="LHP49" s="108">
        <f t="shared" si="263"/>
        <v>0</v>
      </c>
      <c r="LII49" s="108" t="s">
        <v>67</v>
      </c>
      <c r="LIV49" s="108">
        <f t="shared" si="264"/>
        <v>0</v>
      </c>
      <c r="LJO49" s="108" t="s">
        <v>67</v>
      </c>
      <c r="LKB49" s="108">
        <f t="shared" si="265"/>
        <v>0</v>
      </c>
      <c r="LKU49" s="108" t="s">
        <v>67</v>
      </c>
      <c r="LLH49" s="108">
        <f t="shared" si="266"/>
        <v>0</v>
      </c>
      <c r="LMA49" s="108" t="s">
        <v>67</v>
      </c>
      <c r="LMN49" s="108">
        <f t="shared" si="267"/>
        <v>0</v>
      </c>
      <c r="LNG49" s="108" t="s">
        <v>67</v>
      </c>
      <c r="LNT49" s="108">
        <f t="shared" si="268"/>
        <v>0</v>
      </c>
      <c r="LOM49" s="108" t="s">
        <v>67</v>
      </c>
      <c r="LOZ49" s="108">
        <f t="shared" si="269"/>
        <v>0</v>
      </c>
      <c r="LPS49" s="108" t="s">
        <v>67</v>
      </c>
      <c r="LQF49" s="108">
        <f t="shared" si="270"/>
        <v>0</v>
      </c>
      <c r="LQY49" s="108" t="s">
        <v>67</v>
      </c>
      <c r="LRL49" s="108">
        <f t="shared" si="271"/>
        <v>0</v>
      </c>
      <c r="LSE49" s="108" t="s">
        <v>67</v>
      </c>
      <c r="LSR49" s="108">
        <f t="shared" si="272"/>
        <v>0</v>
      </c>
      <c r="LTK49" s="108" t="s">
        <v>67</v>
      </c>
      <c r="LTX49" s="108">
        <f t="shared" si="273"/>
        <v>0</v>
      </c>
      <c r="LUQ49" s="108" t="s">
        <v>67</v>
      </c>
      <c r="LVD49" s="108">
        <f t="shared" si="274"/>
        <v>0</v>
      </c>
      <c r="LVW49" s="108" t="s">
        <v>67</v>
      </c>
      <c r="LWJ49" s="108">
        <f t="shared" si="275"/>
        <v>0</v>
      </c>
      <c r="LXC49" s="108" t="s">
        <v>67</v>
      </c>
      <c r="LXP49" s="108">
        <f t="shared" si="276"/>
        <v>0</v>
      </c>
      <c r="LYI49" s="108" t="s">
        <v>67</v>
      </c>
      <c r="LYV49" s="108">
        <f t="shared" si="277"/>
        <v>0</v>
      </c>
      <c r="LZO49" s="108" t="s">
        <v>67</v>
      </c>
      <c r="MAB49" s="108">
        <f t="shared" si="278"/>
        <v>0</v>
      </c>
      <c r="MAU49" s="108" t="s">
        <v>67</v>
      </c>
      <c r="MBH49" s="108">
        <f t="shared" si="279"/>
        <v>0</v>
      </c>
      <c r="MCA49" s="108" t="s">
        <v>67</v>
      </c>
      <c r="MCN49" s="108">
        <f t="shared" si="280"/>
        <v>0</v>
      </c>
      <c r="MDG49" s="108" t="s">
        <v>67</v>
      </c>
      <c r="MDT49" s="108">
        <f t="shared" si="281"/>
        <v>0</v>
      </c>
      <c r="MEM49" s="108" t="s">
        <v>67</v>
      </c>
      <c r="MEZ49" s="108">
        <f t="shared" si="282"/>
        <v>0</v>
      </c>
      <c r="MFS49" s="108" t="s">
        <v>67</v>
      </c>
      <c r="MGF49" s="108">
        <f t="shared" si="283"/>
        <v>0</v>
      </c>
      <c r="MGY49" s="108" t="s">
        <v>67</v>
      </c>
      <c r="MHL49" s="108">
        <f t="shared" si="284"/>
        <v>0</v>
      </c>
      <c r="MIE49" s="108" t="s">
        <v>67</v>
      </c>
      <c r="MIR49" s="108">
        <f t="shared" si="285"/>
        <v>0</v>
      </c>
      <c r="MJK49" s="108" t="s">
        <v>67</v>
      </c>
      <c r="MJX49" s="108">
        <f t="shared" si="286"/>
        <v>0</v>
      </c>
      <c r="MKQ49" s="108" t="s">
        <v>67</v>
      </c>
      <c r="MLD49" s="108">
        <f t="shared" si="287"/>
        <v>0</v>
      </c>
      <c r="MLW49" s="108" t="s">
        <v>67</v>
      </c>
      <c r="MMJ49" s="108">
        <f t="shared" si="288"/>
        <v>0</v>
      </c>
      <c r="MNC49" s="108" t="s">
        <v>67</v>
      </c>
      <c r="MNP49" s="108">
        <f t="shared" si="289"/>
        <v>0</v>
      </c>
      <c r="MOI49" s="108" t="s">
        <v>67</v>
      </c>
      <c r="MOV49" s="108">
        <f t="shared" si="290"/>
        <v>0</v>
      </c>
      <c r="MPO49" s="108" t="s">
        <v>67</v>
      </c>
      <c r="MQB49" s="108">
        <f t="shared" si="291"/>
        <v>0</v>
      </c>
      <c r="MQU49" s="108" t="s">
        <v>67</v>
      </c>
      <c r="MRH49" s="108">
        <f t="shared" si="292"/>
        <v>0</v>
      </c>
      <c r="MSA49" s="108" t="s">
        <v>67</v>
      </c>
      <c r="MSN49" s="108">
        <f t="shared" si="293"/>
        <v>0</v>
      </c>
      <c r="MTG49" s="108" t="s">
        <v>67</v>
      </c>
      <c r="MTT49" s="108">
        <f t="shared" si="294"/>
        <v>0</v>
      </c>
      <c r="MUM49" s="108" t="s">
        <v>67</v>
      </c>
      <c r="MUZ49" s="108">
        <f t="shared" si="295"/>
        <v>0</v>
      </c>
      <c r="MVS49" s="108" t="s">
        <v>67</v>
      </c>
      <c r="MWF49" s="108">
        <f t="shared" si="296"/>
        <v>0</v>
      </c>
      <c r="MWY49" s="108" t="s">
        <v>67</v>
      </c>
      <c r="MXL49" s="108">
        <f t="shared" si="297"/>
        <v>0</v>
      </c>
      <c r="MYE49" s="108" t="s">
        <v>67</v>
      </c>
      <c r="MYR49" s="108">
        <f t="shared" si="298"/>
        <v>0</v>
      </c>
      <c r="MZK49" s="108" t="s">
        <v>67</v>
      </c>
      <c r="MZX49" s="108">
        <f t="shared" si="299"/>
        <v>0</v>
      </c>
      <c r="NAQ49" s="108" t="s">
        <v>67</v>
      </c>
      <c r="NBD49" s="108">
        <f t="shared" si="300"/>
        <v>0</v>
      </c>
      <c r="NBW49" s="108" t="s">
        <v>67</v>
      </c>
      <c r="NCJ49" s="108">
        <f t="shared" si="301"/>
        <v>0</v>
      </c>
      <c r="NDC49" s="108" t="s">
        <v>67</v>
      </c>
      <c r="NDP49" s="108">
        <f t="shared" si="302"/>
        <v>0</v>
      </c>
      <c r="NEI49" s="108" t="s">
        <v>67</v>
      </c>
      <c r="NEV49" s="108">
        <f t="shared" si="303"/>
        <v>0</v>
      </c>
      <c r="NFO49" s="108" t="s">
        <v>67</v>
      </c>
      <c r="NGB49" s="108">
        <f t="shared" si="304"/>
        <v>0</v>
      </c>
      <c r="NGU49" s="108" t="s">
        <v>67</v>
      </c>
      <c r="NHH49" s="108">
        <f t="shared" si="305"/>
        <v>0</v>
      </c>
      <c r="NIA49" s="108" t="s">
        <v>67</v>
      </c>
      <c r="NIN49" s="108">
        <f t="shared" si="306"/>
        <v>0</v>
      </c>
      <c r="NJG49" s="108" t="s">
        <v>67</v>
      </c>
      <c r="NJT49" s="108">
        <f t="shared" si="307"/>
        <v>0</v>
      </c>
      <c r="NKM49" s="108" t="s">
        <v>67</v>
      </c>
      <c r="NKZ49" s="108">
        <f t="shared" si="308"/>
        <v>0</v>
      </c>
      <c r="NLS49" s="108" t="s">
        <v>67</v>
      </c>
      <c r="NMF49" s="108">
        <f t="shared" si="309"/>
        <v>0</v>
      </c>
      <c r="NMY49" s="108" t="s">
        <v>67</v>
      </c>
      <c r="NNL49" s="108">
        <f t="shared" si="310"/>
        <v>0</v>
      </c>
      <c r="NOE49" s="108" t="s">
        <v>67</v>
      </c>
      <c r="NOR49" s="108">
        <f t="shared" si="311"/>
        <v>0</v>
      </c>
      <c r="NPK49" s="108" t="s">
        <v>67</v>
      </c>
      <c r="NPX49" s="108">
        <f t="shared" si="312"/>
        <v>0</v>
      </c>
      <c r="NQQ49" s="108" t="s">
        <v>67</v>
      </c>
      <c r="NRD49" s="108">
        <f t="shared" si="313"/>
        <v>0</v>
      </c>
      <c r="NRW49" s="108" t="s">
        <v>67</v>
      </c>
      <c r="NSJ49" s="108">
        <f t="shared" si="314"/>
        <v>0</v>
      </c>
      <c r="NTC49" s="108" t="s">
        <v>67</v>
      </c>
      <c r="NTP49" s="108">
        <f t="shared" si="315"/>
        <v>0</v>
      </c>
      <c r="NUI49" s="108" t="s">
        <v>67</v>
      </c>
      <c r="NUV49" s="108">
        <f t="shared" si="316"/>
        <v>0</v>
      </c>
      <c r="NVO49" s="108" t="s">
        <v>67</v>
      </c>
      <c r="NWB49" s="108">
        <f t="shared" si="317"/>
        <v>0</v>
      </c>
      <c r="NWU49" s="108" t="s">
        <v>67</v>
      </c>
      <c r="NXH49" s="108">
        <f t="shared" si="318"/>
        <v>0</v>
      </c>
      <c r="NYA49" s="108" t="s">
        <v>67</v>
      </c>
      <c r="NYN49" s="108">
        <f t="shared" si="319"/>
        <v>0</v>
      </c>
      <c r="NZG49" s="108" t="s">
        <v>67</v>
      </c>
      <c r="NZT49" s="108">
        <f t="shared" si="320"/>
        <v>0</v>
      </c>
      <c r="OAM49" s="108" t="s">
        <v>67</v>
      </c>
      <c r="OAZ49" s="108">
        <f t="shared" si="321"/>
        <v>0</v>
      </c>
      <c r="OBS49" s="108" t="s">
        <v>67</v>
      </c>
      <c r="OCF49" s="108">
        <f t="shared" si="322"/>
        <v>0</v>
      </c>
      <c r="OCY49" s="108" t="s">
        <v>67</v>
      </c>
      <c r="ODL49" s="108">
        <f t="shared" si="323"/>
        <v>0</v>
      </c>
      <c r="OEE49" s="108" t="s">
        <v>67</v>
      </c>
      <c r="OER49" s="108">
        <f t="shared" si="324"/>
        <v>0</v>
      </c>
      <c r="OFK49" s="108" t="s">
        <v>67</v>
      </c>
      <c r="OFX49" s="108">
        <f t="shared" si="325"/>
        <v>0</v>
      </c>
      <c r="OGQ49" s="108" t="s">
        <v>67</v>
      </c>
      <c r="OHD49" s="108">
        <f t="shared" si="326"/>
        <v>0</v>
      </c>
      <c r="OHW49" s="108" t="s">
        <v>67</v>
      </c>
      <c r="OIJ49" s="108">
        <f t="shared" si="327"/>
        <v>0</v>
      </c>
      <c r="OJC49" s="108" t="s">
        <v>67</v>
      </c>
      <c r="OJP49" s="108">
        <f t="shared" si="328"/>
        <v>0</v>
      </c>
      <c r="OKI49" s="108" t="s">
        <v>67</v>
      </c>
      <c r="OKV49" s="108">
        <f t="shared" si="329"/>
        <v>0</v>
      </c>
      <c r="OLO49" s="108" t="s">
        <v>67</v>
      </c>
      <c r="OMB49" s="108">
        <f t="shared" si="330"/>
        <v>0</v>
      </c>
      <c r="OMU49" s="108" t="s">
        <v>67</v>
      </c>
      <c r="ONH49" s="108">
        <f t="shared" si="331"/>
        <v>0</v>
      </c>
      <c r="OOA49" s="108" t="s">
        <v>67</v>
      </c>
      <c r="OON49" s="108">
        <f t="shared" si="332"/>
        <v>0</v>
      </c>
      <c r="OPG49" s="108" t="s">
        <v>67</v>
      </c>
      <c r="OPT49" s="108">
        <f t="shared" si="333"/>
        <v>0</v>
      </c>
      <c r="OQM49" s="108" t="s">
        <v>67</v>
      </c>
      <c r="OQZ49" s="108">
        <f t="shared" si="334"/>
        <v>0</v>
      </c>
      <c r="ORS49" s="108" t="s">
        <v>67</v>
      </c>
      <c r="OSF49" s="108">
        <f t="shared" si="335"/>
        <v>0</v>
      </c>
      <c r="OSY49" s="108" t="s">
        <v>67</v>
      </c>
      <c r="OTL49" s="108">
        <f t="shared" si="336"/>
        <v>0</v>
      </c>
      <c r="OUE49" s="108" t="s">
        <v>67</v>
      </c>
      <c r="OUR49" s="108">
        <f t="shared" si="337"/>
        <v>0</v>
      </c>
      <c r="OVK49" s="108" t="s">
        <v>67</v>
      </c>
      <c r="OVX49" s="108">
        <f t="shared" si="338"/>
        <v>0</v>
      </c>
      <c r="OWQ49" s="108" t="s">
        <v>67</v>
      </c>
      <c r="OXD49" s="108">
        <f t="shared" si="339"/>
        <v>0</v>
      </c>
      <c r="OXW49" s="108" t="s">
        <v>67</v>
      </c>
      <c r="OYJ49" s="108">
        <f t="shared" si="340"/>
        <v>0</v>
      </c>
      <c r="OZC49" s="108" t="s">
        <v>67</v>
      </c>
      <c r="OZP49" s="108">
        <f t="shared" si="341"/>
        <v>0</v>
      </c>
      <c r="PAI49" s="108" t="s">
        <v>67</v>
      </c>
      <c r="PAV49" s="108">
        <f t="shared" si="342"/>
        <v>0</v>
      </c>
      <c r="PBO49" s="108" t="s">
        <v>67</v>
      </c>
      <c r="PCB49" s="108">
        <f t="shared" si="343"/>
        <v>0</v>
      </c>
      <c r="PCU49" s="108" t="s">
        <v>67</v>
      </c>
      <c r="PDH49" s="108">
        <f t="shared" si="344"/>
        <v>0</v>
      </c>
      <c r="PEA49" s="108" t="s">
        <v>67</v>
      </c>
      <c r="PEN49" s="108">
        <f t="shared" si="345"/>
        <v>0</v>
      </c>
      <c r="PFG49" s="108" t="s">
        <v>67</v>
      </c>
      <c r="PFT49" s="108">
        <f t="shared" si="346"/>
        <v>0</v>
      </c>
      <c r="PGM49" s="108" t="s">
        <v>67</v>
      </c>
      <c r="PGZ49" s="108">
        <f t="shared" si="347"/>
        <v>0</v>
      </c>
      <c r="PHS49" s="108" t="s">
        <v>67</v>
      </c>
      <c r="PIF49" s="108">
        <f t="shared" si="348"/>
        <v>0</v>
      </c>
      <c r="PIY49" s="108" t="s">
        <v>67</v>
      </c>
      <c r="PJL49" s="108">
        <f t="shared" si="349"/>
        <v>0</v>
      </c>
      <c r="PKE49" s="108" t="s">
        <v>67</v>
      </c>
      <c r="PKR49" s="108">
        <f t="shared" si="350"/>
        <v>0</v>
      </c>
      <c r="PLK49" s="108" t="s">
        <v>67</v>
      </c>
      <c r="PLX49" s="108">
        <f t="shared" si="351"/>
        <v>0</v>
      </c>
      <c r="PMQ49" s="108" t="s">
        <v>67</v>
      </c>
      <c r="PND49" s="108">
        <f t="shared" si="352"/>
        <v>0</v>
      </c>
      <c r="PNW49" s="108" t="s">
        <v>67</v>
      </c>
      <c r="POJ49" s="108">
        <f t="shared" si="353"/>
        <v>0</v>
      </c>
      <c r="PPC49" s="108" t="s">
        <v>67</v>
      </c>
      <c r="PPP49" s="108">
        <f t="shared" si="354"/>
        <v>0</v>
      </c>
      <c r="PQI49" s="108" t="s">
        <v>67</v>
      </c>
      <c r="PQV49" s="108">
        <f t="shared" si="355"/>
        <v>0</v>
      </c>
      <c r="PRO49" s="108" t="s">
        <v>67</v>
      </c>
      <c r="PSB49" s="108">
        <f t="shared" si="356"/>
        <v>0</v>
      </c>
      <c r="PSU49" s="108" t="s">
        <v>67</v>
      </c>
      <c r="PTH49" s="108">
        <f t="shared" si="357"/>
        <v>0</v>
      </c>
      <c r="PUA49" s="108" t="s">
        <v>67</v>
      </c>
      <c r="PUN49" s="108">
        <f t="shared" si="358"/>
        <v>0</v>
      </c>
      <c r="PVG49" s="108" t="s">
        <v>67</v>
      </c>
      <c r="PVT49" s="108">
        <f t="shared" si="359"/>
        <v>0</v>
      </c>
      <c r="PWM49" s="108" t="s">
        <v>67</v>
      </c>
      <c r="PWZ49" s="108">
        <f t="shared" si="360"/>
        <v>0</v>
      </c>
      <c r="PXS49" s="108" t="s">
        <v>67</v>
      </c>
      <c r="PYF49" s="108">
        <f t="shared" si="361"/>
        <v>0</v>
      </c>
      <c r="PYY49" s="108" t="s">
        <v>67</v>
      </c>
      <c r="PZL49" s="108">
        <f t="shared" si="362"/>
        <v>0</v>
      </c>
      <c r="QAE49" s="108" t="s">
        <v>67</v>
      </c>
      <c r="QAR49" s="108">
        <f t="shared" si="363"/>
        <v>0</v>
      </c>
      <c r="QBK49" s="108" t="s">
        <v>67</v>
      </c>
      <c r="QBX49" s="108">
        <f t="shared" si="364"/>
        <v>0</v>
      </c>
      <c r="QCQ49" s="108" t="s">
        <v>67</v>
      </c>
      <c r="QDD49" s="108">
        <f t="shared" si="365"/>
        <v>0</v>
      </c>
      <c r="QDW49" s="108" t="s">
        <v>67</v>
      </c>
      <c r="QEJ49" s="108">
        <f t="shared" si="366"/>
        <v>0</v>
      </c>
      <c r="QFC49" s="108" t="s">
        <v>67</v>
      </c>
      <c r="QFP49" s="108">
        <f t="shared" si="367"/>
        <v>0</v>
      </c>
      <c r="QGI49" s="108" t="s">
        <v>67</v>
      </c>
      <c r="QGV49" s="108">
        <f t="shared" si="368"/>
        <v>0</v>
      </c>
      <c r="QHO49" s="108" t="s">
        <v>67</v>
      </c>
      <c r="QIB49" s="108">
        <f t="shared" si="369"/>
        <v>0</v>
      </c>
      <c r="QIU49" s="108" t="s">
        <v>67</v>
      </c>
      <c r="QJH49" s="108">
        <f t="shared" si="370"/>
        <v>0</v>
      </c>
      <c r="QKA49" s="108" t="s">
        <v>67</v>
      </c>
      <c r="QKN49" s="108">
        <f t="shared" si="371"/>
        <v>0</v>
      </c>
      <c r="QLG49" s="108" t="s">
        <v>67</v>
      </c>
      <c r="QLT49" s="108">
        <f t="shared" si="372"/>
        <v>0</v>
      </c>
      <c r="QMM49" s="108" t="s">
        <v>67</v>
      </c>
      <c r="QMZ49" s="108">
        <f t="shared" si="373"/>
        <v>0</v>
      </c>
      <c r="QNS49" s="108" t="s">
        <v>67</v>
      </c>
      <c r="QOF49" s="108">
        <f t="shared" si="374"/>
        <v>0</v>
      </c>
      <c r="QOY49" s="108" t="s">
        <v>67</v>
      </c>
      <c r="QPL49" s="108">
        <f t="shared" si="375"/>
        <v>0</v>
      </c>
      <c r="QQE49" s="108" t="s">
        <v>67</v>
      </c>
      <c r="QQR49" s="108">
        <f t="shared" si="376"/>
        <v>0</v>
      </c>
      <c r="QRK49" s="108" t="s">
        <v>67</v>
      </c>
      <c r="QRX49" s="108">
        <f t="shared" si="377"/>
        <v>0</v>
      </c>
      <c r="QSQ49" s="108" t="s">
        <v>67</v>
      </c>
      <c r="QTD49" s="108">
        <f t="shared" si="378"/>
        <v>0</v>
      </c>
      <c r="QTW49" s="108" t="s">
        <v>67</v>
      </c>
      <c r="QUJ49" s="108">
        <f t="shared" si="379"/>
        <v>0</v>
      </c>
      <c r="QVC49" s="108" t="s">
        <v>67</v>
      </c>
      <c r="QVP49" s="108">
        <f t="shared" si="380"/>
        <v>0</v>
      </c>
      <c r="QWI49" s="108" t="s">
        <v>67</v>
      </c>
      <c r="QWV49" s="108">
        <f t="shared" si="381"/>
        <v>0</v>
      </c>
      <c r="QXO49" s="108" t="s">
        <v>67</v>
      </c>
      <c r="QYB49" s="108">
        <f t="shared" si="382"/>
        <v>0</v>
      </c>
      <c r="QYU49" s="108" t="s">
        <v>67</v>
      </c>
      <c r="QZH49" s="108">
        <f t="shared" si="383"/>
        <v>0</v>
      </c>
      <c r="RAA49" s="108" t="s">
        <v>67</v>
      </c>
      <c r="RAN49" s="108">
        <f t="shared" si="384"/>
        <v>0</v>
      </c>
      <c r="RBG49" s="108" t="s">
        <v>67</v>
      </c>
      <c r="RBT49" s="108">
        <f t="shared" si="385"/>
        <v>0</v>
      </c>
      <c r="RCM49" s="108" t="s">
        <v>67</v>
      </c>
      <c r="RCZ49" s="108">
        <f t="shared" si="386"/>
        <v>0</v>
      </c>
      <c r="RDS49" s="108" t="s">
        <v>67</v>
      </c>
      <c r="REF49" s="108">
        <f t="shared" si="387"/>
        <v>0</v>
      </c>
      <c r="REY49" s="108" t="s">
        <v>67</v>
      </c>
      <c r="RFL49" s="108">
        <f t="shared" si="388"/>
        <v>0</v>
      </c>
      <c r="RGE49" s="108" t="s">
        <v>67</v>
      </c>
      <c r="RGR49" s="108">
        <f t="shared" si="389"/>
        <v>0</v>
      </c>
      <c r="RHK49" s="108" t="s">
        <v>67</v>
      </c>
      <c r="RHX49" s="108">
        <f t="shared" si="390"/>
        <v>0</v>
      </c>
      <c r="RIQ49" s="108" t="s">
        <v>67</v>
      </c>
      <c r="RJD49" s="108">
        <f t="shared" si="391"/>
        <v>0</v>
      </c>
      <c r="RJW49" s="108" t="s">
        <v>67</v>
      </c>
      <c r="RKJ49" s="108">
        <f t="shared" si="392"/>
        <v>0</v>
      </c>
      <c r="RLC49" s="108" t="s">
        <v>67</v>
      </c>
      <c r="RLP49" s="108">
        <f t="shared" si="393"/>
        <v>0</v>
      </c>
      <c r="RMI49" s="108" t="s">
        <v>67</v>
      </c>
      <c r="RMV49" s="108">
        <f t="shared" si="394"/>
        <v>0</v>
      </c>
      <c r="RNO49" s="108" t="s">
        <v>67</v>
      </c>
      <c r="ROB49" s="108">
        <f t="shared" si="395"/>
        <v>0</v>
      </c>
      <c r="ROU49" s="108" t="s">
        <v>67</v>
      </c>
      <c r="RPH49" s="108">
        <f t="shared" si="396"/>
        <v>0</v>
      </c>
      <c r="RQA49" s="108" t="s">
        <v>67</v>
      </c>
      <c r="RQN49" s="108">
        <f t="shared" si="397"/>
        <v>0</v>
      </c>
      <c r="RRG49" s="108" t="s">
        <v>67</v>
      </c>
      <c r="RRT49" s="108">
        <f t="shared" si="398"/>
        <v>0</v>
      </c>
      <c r="RSM49" s="108" t="s">
        <v>67</v>
      </c>
      <c r="RSZ49" s="108">
        <f t="shared" si="399"/>
        <v>0</v>
      </c>
      <c r="RTS49" s="108" t="s">
        <v>67</v>
      </c>
      <c r="RUF49" s="108">
        <f t="shared" si="400"/>
        <v>0</v>
      </c>
      <c r="RUY49" s="108" t="s">
        <v>67</v>
      </c>
      <c r="RVL49" s="108">
        <f t="shared" si="401"/>
        <v>0</v>
      </c>
      <c r="RWE49" s="108" t="s">
        <v>67</v>
      </c>
      <c r="RWR49" s="108">
        <f t="shared" si="402"/>
        <v>0</v>
      </c>
      <c r="RXK49" s="108" t="s">
        <v>67</v>
      </c>
      <c r="RXX49" s="108">
        <f t="shared" si="403"/>
        <v>0</v>
      </c>
      <c r="RYQ49" s="108" t="s">
        <v>67</v>
      </c>
      <c r="RZD49" s="108">
        <f t="shared" si="404"/>
        <v>0</v>
      </c>
      <c r="RZW49" s="108" t="s">
        <v>67</v>
      </c>
      <c r="SAJ49" s="108">
        <f t="shared" si="405"/>
        <v>0</v>
      </c>
      <c r="SBC49" s="108" t="s">
        <v>67</v>
      </c>
      <c r="SBP49" s="108">
        <f t="shared" si="406"/>
        <v>0</v>
      </c>
      <c r="SCI49" s="108" t="s">
        <v>67</v>
      </c>
      <c r="SCV49" s="108">
        <f t="shared" si="407"/>
        <v>0</v>
      </c>
      <c r="SDO49" s="108" t="s">
        <v>67</v>
      </c>
      <c r="SEB49" s="108">
        <f t="shared" si="408"/>
        <v>0</v>
      </c>
      <c r="SEU49" s="108" t="s">
        <v>67</v>
      </c>
      <c r="SFH49" s="108">
        <f t="shared" si="409"/>
        <v>0</v>
      </c>
      <c r="SGA49" s="108" t="s">
        <v>67</v>
      </c>
      <c r="SGN49" s="108">
        <f t="shared" si="410"/>
        <v>0</v>
      </c>
      <c r="SHG49" s="108" t="s">
        <v>67</v>
      </c>
      <c r="SHT49" s="108">
        <f t="shared" si="411"/>
        <v>0</v>
      </c>
      <c r="SIM49" s="108" t="s">
        <v>67</v>
      </c>
      <c r="SIZ49" s="108">
        <f t="shared" si="412"/>
        <v>0</v>
      </c>
      <c r="SJS49" s="108" t="s">
        <v>67</v>
      </c>
      <c r="SKF49" s="108">
        <f t="shared" si="413"/>
        <v>0</v>
      </c>
      <c r="SKY49" s="108" t="s">
        <v>67</v>
      </c>
      <c r="SLL49" s="108">
        <f t="shared" si="414"/>
        <v>0</v>
      </c>
      <c r="SME49" s="108" t="s">
        <v>67</v>
      </c>
      <c r="SMR49" s="108">
        <f t="shared" si="415"/>
        <v>0</v>
      </c>
      <c r="SNK49" s="108" t="s">
        <v>67</v>
      </c>
      <c r="SNX49" s="108">
        <f t="shared" si="416"/>
        <v>0</v>
      </c>
      <c r="SOQ49" s="108" t="s">
        <v>67</v>
      </c>
      <c r="SPD49" s="108">
        <f t="shared" si="417"/>
        <v>0</v>
      </c>
      <c r="SPW49" s="108" t="s">
        <v>67</v>
      </c>
      <c r="SQJ49" s="108">
        <f t="shared" si="418"/>
        <v>0</v>
      </c>
      <c r="SRC49" s="108" t="s">
        <v>67</v>
      </c>
      <c r="SRP49" s="108">
        <f t="shared" si="419"/>
        <v>0</v>
      </c>
      <c r="SSI49" s="108" t="s">
        <v>67</v>
      </c>
      <c r="SSV49" s="108">
        <f t="shared" si="420"/>
        <v>0</v>
      </c>
      <c r="STO49" s="108" t="s">
        <v>67</v>
      </c>
      <c r="SUB49" s="108">
        <f t="shared" si="421"/>
        <v>0</v>
      </c>
      <c r="SUU49" s="108" t="s">
        <v>67</v>
      </c>
      <c r="SVH49" s="108">
        <f t="shared" si="422"/>
        <v>0</v>
      </c>
      <c r="SWA49" s="108" t="s">
        <v>67</v>
      </c>
      <c r="SWN49" s="108">
        <f t="shared" si="423"/>
        <v>0</v>
      </c>
      <c r="SXG49" s="108" t="s">
        <v>67</v>
      </c>
      <c r="SXT49" s="108">
        <f t="shared" si="424"/>
        <v>0</v>
      </c>
      <c r="SYM49" s="108" t="s">
        <v>67</v>
      </c>
      <c r="SYZ49" s="108">
        <f t="shared" si="425"/>
        <v>0</v>
      </c>
      <c r="SZS49" s="108" t="s">
        <v>67</v>
      </c>
      <c r="TAF49" s="108">
        <f t="shared" si="426"/>
        <v>0</v>
      </c>
      <c r="TAY49" s="108" t="s">
        <v>67</v>
      </c>
      <c r="TBL49" s="108">
        <f t="shared" si="427"/>
        <v>0</v>
      </c>
      <c r="TCE49" s="108" t="s">
        <v>67</v>
      </c>
      <c r="TCR49" s="108">
        <f t="shared" si="428"/>
        <v>0</v>
      </c>
      <c r="TDK49" s="108" t="s">
        <v>67</v>
      </c>
      <c r="TDX49" s="108">
        <f t="shared" si="429"/>
        <v>0</v>
      </c>
      <c r="TEQ49" s="108" t="s">
        <v>67</v>
      </c>
      <c r="TFD49" s="108">
        <f t="shared" si="430"/>
        <v>0</v>
      </c>
      <c r="TFW49" s="108" t="s">
        <v>67</v>
      </c>
      <c r="TGJ49" s="108">
        <f t="shared" si="431"/>
        <v>0</v>
      </c>
      <c r="THC49" s="108" t="s">
        <v>67</v>
      </c>
      <c r="THP49" s="108">
        <f t="shared" si="432"/>
        <v>0</v>
      </c>
      <c r="TII49" s="108" t="s">
        <v>67</v>
      </c>
      <c r="TIV49" s="108">
        <f t="shared" si="433"/>
        <v>0</v>
      </c>
      <c r="TJO49" s="108" t="s">
        <v>67</v>
      </c>
      <c r="TKB49" s="108">
        <f t="shared" si="434"/>
        <v>0</v>
      </c>
      <c r="TKU49" s="108" t="s">
        <v>67</v>
      </c>
      <c r="TLH49" s="108">
        <f t="shared" si="435"/>
        <v>0</v>
      </c>
      <c r="TMA49" s="108" t="s">
        <v>67</v>
      </c>
      <c r="TMN49" s="108">
        <f t="shared" si="436"/>
        <v>0</v>
      </c>
      <c r="TNG49" s="108" t="s">
        <v>67</v>
      </c>
      <c r="TNT49" s="108">
        <f t="shared" si="437"/>
        <v>0</v>
      </c>
      <c r="TOM49" s="108" t="s">
        <v>67</v>
      </c>
      <c r="TOZ49" s="108">
        <f t="shared" si="438"/>
        <v>0</v>
      </c>
      <c r="TPS49" s="108" t="s">
        <v>67</v>
      </c>
      <c r="TQF49" s="108">
        <f t="shared" si="439"/>
        <v>0</v>
      </c>
      <c r="TQY49" s="108" t="s">
        <v>67</v>
      </c>
      <c r="TRL49" s="108">
        <f t="shared" si="440"/>
        <v>0</v>
      </c>
      <c r="TSE49" s="108" t="s">
        <v>67</v>
      </c>
      <c r="TSR49" s="108">
        <f t="shared" si="441"/>
        <v>0</v>
      </c>
      <c r="TTK49" s="108" t="s">
        <v>67</v>
      </c>
      <c r="TTX49" s="108">
        <f t="shared" si="442"/>
        <v>0</v>
      </c>
      <c r="TUQ49" s="108" t="s">
        <v>67</v>
      </c>
      <c r="TVD49" s="108">
        <f t="shared" si="443"/>
        <v>0</v>
      </c>
      <c r="TVW49" s="108" t="s">
        <v>67</v>
      </c>
      <c r="TWJ49" s="108">
        <f t="shared" si="444"/>
        <v>0</v>
      </c>
      <c r="TXC49" s="108" t="s">
        <v>67</v>
      </c>
      <c r="TXP49" s="108">
        <f t="shared" si="445"/>
        <v>0</v>
      </c>
      <c r="TYI49" s="108" t="s">
        <v>67</v>
      </c>
      <c r="TYV49" s="108">
        <f t="shared" si="446"/>
        <v>0</v>
      </c>
      <c r="TZO49" s="108" t="s">
        <v>67</v>
      </c>
      <c r="UAB49" s="108">
        <f t="shared" si="447"/>
        <v>0</v>
      </c>
      <c r="UAU49" s="108" t="s">
        <v>67</v>
      </c>
      <c r="UBH49" s="108">
        <f t="shared" si="448"/>
        <v>0</v>
      </c>
      <c r="UCA49" s="108" t="s">
        <v>67</v>
      </c>
      <c r="UCN49" s="108">
        <f t="shared" si="449"/>
        <v>0</v>
      </c>
      <c r="UDG49" s="108" t="s">
        <v>67</v>
      </c>
      <c r="UDT49" s="108">
        <f t="shared" si="450"/>
        <v>0</v>
      </c>
      <c r="UEM49" s="108" t="s">
        <v>67</v>
      </c>
      <c r="UEZ49" s="108">
        <f t="shared" si="451"/>
        <v>0</v>
      </c>
      <c r="UFS49" s="108" t="s">
        <v>67</v>
      </c>
      <c r="UGF49" s="108">
        <f t="shared" si="452"/>
        <v>0</v>
      </c>
      <c r="UGY49" s="108" t="s">
        <v>67</v>
      </c>
      <c r="UHL49" s="108">
        <f t="shared" si="453"/>
        <v>0</v>
      </c>
      <c r="UIE49" s="108" t="s">
        <v>67</v>
      </c>
      <c r="UIR49" s="108">
        <f t="shared" si="454"/>
        <v>0</v>
      </c>
      <c r="UJK49" s="108" t="s">
        <v>67</v>
      </c>
      <c r="UJX49" s="108">
        <f t="shared" si="455"/>
        <v>0</v>
      </c>
      <c r="UKQ49" s="108" t="s">
        <v>67</v>
      </c>
      <c r="ULD49" s="108">
        <f t="shared" si="456"/>
        <v>0</v>
      </c>
      <c r="ULW49" s="108" t="s">
        <v>67</v>
      </c>
      <c r="UMJ49" s="108">
        <f t="shared" si="457"/>
        <v>0</v>
      </c>
      <c r="UNC49" s="108" t="s">
        <v>67</v>
      </c>
      <c r="UNP49" s="108">
        <f t="shared" si="458"/>
        <v>0</v>
      </c>
      <c r="UOI49" s="108" t="s">
        <v>67</v>
      </c>
      <c r="UOV49" s="108">
        <f t="shared" si="459"/>
        <v>0</v>
      </c>
      <c r="UPO49" s="108" t="s">
        <v>67</v>
      </c>
      <c r="UQB49" s="108">
        <f t="shared" si="460"/>
        <v>0</v>
      </c>
      <c r="UQU49" s="108" t="s">
        <v>67</v>
      </c>
      <c r="URH49" s="108">
        <f t="shared" si="461"/>
        <v>0</v>
      </c>
      <c r="USA49" s="108" t="s">
        <v>67</v>
      </c>
      <c r="USN49" s="108">
        <f t="shared" si="462"/>
        <v>0</v>
      </c>
      <c r="UTG49" s="108" t="s">
        <v>67</v>
      </c>
      <c r="UTT49" s="108">
        <f t="shared" si="463"/>
        <v>0</v>
      </c>
      <c r="UUM49" s="108" t="s">
        <v>67</v>
      </c>
      <c r="UUZ49" s="108">
        <f t="shared" si="464"/>
        <v>0</v>
      </c>
      <c r="UVS49" s="108" t="s">
        <v>67</v>
      </c>
      <c r="UWF49" s="108">
        <f t="shared" si="465"/>
        <v>0</v>
      </c>
      <c r="UWY49" s="108" t="s">
        <v>67</v>
      </c>
      <c r="UXL49" s="108">
        <f t="shared" si="466"/>
        <v>0</v>
      </c>
      <c r="UYE49" s="108" t="s">
        <v>67</v>
      </c>
      <c r="UYR49" s="108">
        <f t="shared" si="467"/>
        <v>0</v>
      </c>
      <c r="UZK49" s="108" t="s">
        <v>67</v>
      </c>
      <c r="UZX49" s="108">
        <f t="shared" si="468"/>
        <v>0</v>
      </c>
      <c r="VAQ49" s="108" t="s">
        <v>67</v>
      </c>
      <c r="VBD49" s="108">
        <f t="shared" si="469"/>
        <v>0</v>
      </c>
      <c r="VBW49" s="108" t="s">
        <v>67</v>
      </c>
      <c r="VCJ49" s="108">
        <f t="shared" si="470"/>
        <v>0</v>
      </c>
      <c r="VDC49" s="108" t="s">
        <v>67</v>
      </c>
      <c r="VDP49" s="108">
        <f t="shared" si="471"/>
        <v>0</v>
      </c>
      <c r="VEI49" s="108" t="s">
        <v>67</v>
      </c>
      <c r="VEV49" s="108">
        <f t="shared" si="472"/>
        <v>0</v>
      </c>
      <c r="VFO49" s="108" t="s">
        <v>67</v>
      </c>
      <c r="VGB49" s="108">
        <f t="shared" si="473"/>
        <v>0</v>
      </c>
      <c r="VGU49" s="108" t="s">
        <v>67</v>
      </c>
      <c r="VHH49" s="108">
        <f t="shared" si="474"/>
        <v>0</v>
      </c>
      <c r="VIA49" s="108" t="s">
        <v>67</v>
      </c>
      <c r="VIN49" s="108">
        <f t="shared" si="475"/>
        <v>0</v>
      </c>
      <c r="VJG49" s="108" t="s">
        <v>67</v>
      </c>
      <c r="VJT49" s="108">
        <f t="shared" si="476"/>
        <v>0</v>
      </c>
      <c r="VKM49" s="108" t="s">
        <v>67</v>
      </c>
      <c r="VKZ49" s="108">
        <f t="shared" si="477"/>
        <v>0</v>
      </c>
      <c r="VLS49" s="108" t="s">
        <v>67</v>
      </c>
      <c r="VMF49" s="108">
        <f t="shared" si="478"/>
        <v>0</v>
      </c>
      <c r="VMY49" s="108" t="s">
        <v>67</v>
      </c>
      <c r="VNL49" s="108">
        <f t="shared" si="479"/>
        <v>0</v>
      </c>
      <c r="VOE49" s="108" t="s">
        <v>67</v>
      </c>
      <c r="VOR49" s="108">
        <f t="shared" si="480"/>
        <v>0</v>
      </c>
      <c r="VPK49" s="108" t="s">
        <v>67</v>
      </c>
      <c r="VPX49" s="108">
        <f t="shared" si="481"/>
        <v>0</v>
      </c>
      <c r="VQQ49" s="108" t="s">
        <v>67</v>
      </c>
      <c r="VRD49" s="108">
        <f t="shared" si="482"/>
        <v>0</v>
      </c>
      <c r="VRW49" s="108" t="s">
        <v>67</v>
      </c>
      <c r="VSJ49" s="108">
        <f t="shared" si="483"/>
        <v>0</v>
      </c>
      <c r="VTC49" s="108" t="s">
        <v>67</v>
      </c>
      <c r="VTP49" s="108">
        <f t="shared" si="484"/>
        <v>0</v>
      </c>
      <c r="VUI49" s="108" t="s">
        <v>67</v>
      </c>
      <c r="VUV49" s="108">
        <f t="shared" si="485"/>
        <v>0</v>
      </c>
      <c r="VVO49" s="108" t="s">
        <v>67</v>
      </c>
      <c r="VWB49" s="108">
        <f t="shared" si="486"/>
        <v>0</v>
      </c>
      <c r="VWU49" s="108" t="s">
        <v>67</v>
      </c>
      <c r="VXH49" s="108">
        <f t="shared" si="487"/>
        <v>0</v>
      </c>
      <c r="VYA49" s="108" t="s">
        <v>67</v>
      </c>
      <c r="VYN49" s="108">
        <f t="shared" si="488"/>
        <v>0</v>
      </c>
      <c r="VZG49" s="108" t="s">
        <v>67</v>
      </c>
      <c r="VZT49" s="108">
        <f t="shared" si="489"/>
        <v>0</v>
      </c>
      <c r="WAM49" s="108" t="s">
        <v>67</v>
      </c>
      <c r="WAZ49" s="108">
        <f t="shared" si="490"/>
        <v>0</v>
      </c>
      <c r="WBS49" s="108" t="s">
        <v>67</v>
      </c>
      <c r="WCF49" s="108">
        <f t="shared" si="491"/>
        <v>0</v>
      </c>
      <c r="WCY49" s="108" t="s">
        <v>67</v>
      </c>
      <c r="WDL49" s="108">
        <f t="shared" si="492"/>
        <v>0</v>
      </c>
      <c r="WEE49" s="108" t="s">
        <v>67</v>
      </c>
      <c r="WER49" s="108">
        <f t="shared" si="493"/>
        <v>0</v>
      </c>
      <c r="WFK49" s="108" t="s">
        <v>67</v>
      </c>
      <c r="WFX49" s="108">
        <f t="shared" si="494"/>
        <v>0</v>
      </c>
      <c r="WGQ49" s="108" t="s">
        <v>67</v>
      </c>
      <c r="WHD49" s="108">
        <f t="shared" si="495"/>
        <v>0</v>
      </c>
      <c r="WHW49" s="108" t="s">
        <v>67</v>
      </c>
      <c r="WIJ49" s="108">
        <f t="shared" si="496"/>
        <v>0</v>
      </c>
      <c r="WJC49" s="108" t="s">
        <v>67</v>
      </c>
      <c r="WJP49" s="108">
        <f t="shared" si="497"/>
        <v>0</v>
      </c>
      <c r="WKI49" s="108" t="s">
        <v>67</v>
      </c>
      <c r="WKV49" s="108">
        <f t="shared" si="498"/>
        <v>0</v>
      </c>
      <c r="WLO49" s="108" t="s">
        <v>67</v>
      </c>
      <c r="WMB49" s="108">
        <f t="shared" si="499"/>
        <v>0</v>
      </c>
      <c r="WMU49" s="108" t="s">
        <v>67</v>
      </c>
      <c r="WNH49" s="108">
        <f t="shared" si="500"/>
        <v>0</v>
      </c>
      <c r="WOA49" s="108" t="s">
        <v>67</v>
      </c>
      <c r="WON49" s="108">
        <f t="shared" si="501"/>
        <v>0</v>
      </c>
      <c r="WPG49" s="108" t="s">
        <v>67</v>
      </c>
      <c r="WPT49" s="108">
        <f t="shared" si="502"/>
        <v>0</v>
      </c>
      <c r="WQM49" s="108" t="s">
        <v>67</v>
      </c>
      <c r="WQZ49" s="108">
        <f t="shared" si="503"/>
        <v>0</v>
      </c>
      <c r="WRS49" s="108" t="s">
        <v>67</v>
      </c>
      <c r="WSF49" s="108">
        <f t="shared" si="504"/>
        <v>0</v>
      </c>
      <c r="WSY49" s="108" t="s">
        <v>67</v>
      </c>
      <c r="WTL49" s="108">
        <f t="shared" si="505"/>
        <v>0</v>
      </c>
      <c r="WUE49" s="108" t="s">
        <v>67</v>
      </c>
      <c r="WUR49" s="108">
        <f t="shared" si="506"/>
        <v>0</v>
      </c>
      <c r="WVK49" s="108" t="s">
        <v>67</v>
      </c>
      <c r="WVX49" s="108">
        <f t="shared" si="507"/>
        <v>0</v>
      </c>
      <c r="WWQ49" s="108" t="s">
        <v>67</v>
      </c>
      <c r="WXD49" s="108">
        <f t="shared" si="508"/>
        <v>0</v>
      </c>
      <c r="WXW49" s="108" t="s">
        <v>67</v>
      </c>
      <c r="WYJ49" s="108">
        <f t="shared" si="509"/>
        <v>0</v>
      </c>
      <c r="WZC49" s="108" t="s">
        <v>67</v>
      </c>
      <c r="WZP49" s="108">
        <f t="shared" si="510"/>
        <v>0</v>
      </c>
      <c r="XAI49" s="108" t="s">
        <v>67</v>
      </c>
      <c r="XAV49" s="108">
        <f t="shared" si="511"/>
        <v>0</v>
      </c>
      <c r="XBO49" s="108" t="s">
        <v>67</v>
      </c>
      <c r="XCB49" s="108">
        <f t="shared" si="512"/>
        <v>0</v>
      </c>
      <c r="XCU49" s="108" t="s">
        <v>67</v>
      </c>
      <c r="XDH49" s="108">
        <f t="shared" si="513"/>
        <v>0</v>
      </c>
      <c r="XEA49" s="108" t="s">
        <v>67</v>
      </c>
      <c r="XEN49" s="108">
        <f t="shared" si="514"/>
        <v>0</v>
      </c>
    </row>
    <row r="50" spans="1:1008 1025:2032 2049:3056 3073:4080 4097:5104 5121:6128 6145:7152 7169:8176 8193:9200 9217:10224 10241:11248 11265:12272 12289:13296 13313:14320 14337:15344 15361:16368" ht="44.25" customHeight="1" x14ac:dyDescent="0.25">
      <c r="A50" s="468" t="s">
        <v>100</v>
      </c>
      <c r="B50" s="469">
        <v>0.02</v>
      </c>
      <c r="C50" s="102" t="s">
        <v>63</v>
      </c>
      <c r="D50" s="103">
        <v>0</v>
      </c>
      <c r="E50" s="103">
        <v>0</v>
      </c>
      <c r="F50" s="103">
        <v>0</v>
      </c>
      <c r="G50" s="103">
        <v>0</v>
      </c>
      <c r="H50" s="103">
        <v>0</v>
      </c>
      <c r="I50" s="103">
        <v>0</v>
      </c>
      <c r="J50" s="103">
        <v>0</v>
      </c>
      <c r="K50" s="103">
        <v>0</v>
      </c>
      <c r="L50" s="103">
        <v>0</v>
      </c>
      <c r="M50" s="103">
        <v>0</v>
      </c>
      <c r="N50" s="103">
        <v>0.3</v>
      </c>
      <c r="O50" s="103">
        <v>0.7</v>
      </c>
      <c r="P50" s="101">
        <f t="shared" si="3"/>
        <v>1</v>
      </c>
      <c r="Q50" s="470" t="s">
        <v>101</v>
      </c>
      <c r="R50" s="463"/>
      <c r="S50" s="463"/>
      <c r="T50" s="463"/>
      <c r="U50" s="463"/>
      <c r="V50" s="463"/>
      <c r="W50" s="463"/>
      <c r="X50" s="463"/>
      <c r="Y50" s="463"/>
      <c r="Z50" s="463"/>
      <c r="AA50" s="463"/>
      <c r="AB50" s="463"/>
      <c r="AC50" s="463"/>
      <c r="AD50" s="464"/>
      <c r="AE50" s="97"/>
      <c r="AG50" s="108" t="s">
        <v>99</v>
      </c>
      <c r="AI50" s="108" t="s">
        <v>63</v>
      </c>
      <c r="AV50" s="108">
        <f t="shared" ref="AV50:AV51" si="515">SUM(AJ50:AU50)</f>
        <v>0</v>
      </c>
      <c r="BM50" s="108" t="s">
        <v>99</v>
      </c>
      <c r="BO50" s="108" t="s">
        <v>63</v>
      </c>
      <c r="CB50" s="108">
        <f t="shared" ref="CB50:CB51" si="516">SUM(BP50:CA50)</f>
        <v>0</v>
      </c>
      <c r="CS50" s="108" t="s">
        <v>99</v>
      </c>
      <c r="CU50" s="108" t="s">
        <v>63</v>
      </c>
      <c r="DH50" s="108">
        <f t="shared" ref="DH50:DH51" si="517">SUM(CV50:DG50)</f>
        <v>0</v>
      </c>
      <c r="DY50" s="108" t="s">
        <v>99</v>
      </c>
      <c r="EA50" s="108" t="s">
        <v>63</v>
      </c>
      <c r="EN50" s="108">
        <f t="shared" ref="EN50:EN51" si="518">SUM(EB50:EM50)</f>
        <v>0</v>
      </c>
      <c r="FE50" s="108" t="s">
        <v>99</v>
      </c>
      <c r="FG50" s="108" t="s">
        <v>63</v>
      </c>
      <c r="FT50" s="108">
        <f t="shared" ref="FT50:FT51" si="519">SUM(FH50:FS50)</f>
        <v>0</v>
      </c>
      <c r="GK50" s="108" t="s">
        <v>99</v>
      </c>
      <c r="GM50" s="108" t="s">
        <v>63</v>
      </c>
      <c r="GZ50" s="108">
        <f t="shared" ref="GZ50:GZ51" si="520">SUM(GN50:GY50)</f>
        <v>0</v>
      </c>
      <c r="HQ50" s="108" t="s">
        <v>99</v>
      </c>
      <c r="HS50" s="108" t="s">
        <v>63</v>
      </c>
      <c r="IF50" s="108">
        <f t="shared" ref="IF50:IF51" si="521">SUM(HT50:IE50)</f>
        <v>0</v>
      </c>
      <c r="IW50" s="108" t="s">
        <v>99</v>
      </c>
      <c r="IY50" s="108" t="s">
        <v>63</v>
      </c>
      <c r="JL50" s="108">
        <f t="shared" ref="JL50:JL51" si="522">SUM(IZ50:JK50)</f>
        <v>0</v>
      </c>
      <c r="KC50" s="108" t="s">
        <v>99</v>
      </c>
      <c r="KE50" s="108" t="s">
        <v>63</v>
      </c>
      <c r="KR50" s="108">
        <f t="shared" ref="KR50:KR51" si="523">SUM(KF50:KQ50)</f>
        <v>0</v>
      </c>
      <c r="LI50" s="108" t="s">
        <v>99</v>
      </c>
      <c r="LK50" s="108" t="s">
        <v>63</v>
      </c>
      <c r="LX50" s="108">
        <f t="shared" ref="LX50:LX51" si="524">SUM(LL50:LW50)</f>
        <v>0</v>
      </c>
      <c r="MO50" s="108" t="s">
        <v>99</v>
      </c>
      <c r="MQ50" s="108" t="s">
        <v>63</v>
      </c>
      <c r="ND50" s="108">
        <f t="shared" ref="ND50:ND51" si="525">SUM(MR50:NC50)</f>
        <v>0</v>
      </c>
      <c r="NU50" s="108" t="s">
        <v>99</v>
      </c>
      <c r="NW50" s="108" t="s">
        <v>63</v>
      </c>
      <c r="OJ50" s="108">
        <f t="shared" ref="OJ50:OJ51" si="526">SUM(NX50:OI50)</f>
        <v>0</v>
      </c>
      <c r="PA50" s="108" t="s">
        <v>99</v>
      </c>
      <c r="PC50" s="108" t="s">
        <v>63</v>
      </c>
      <c r="PP50" s="108">
        <f t="shared" ref="PP50:PP51" si="527">SUM(PD50:PO50)</f>
        <v>0</v>
      </c>
      <c r="QG50" s="108" t="s">
        <v>99</v>
      </c>
      <c r="QI50" s="108" t="s">
        <v>63</v>
      </c>
      <c r="QV50" s="108">
        <f t="shared" ref="QV50:QV51" si="528">SUM(QJ50:QU50)</f>
        <v>0</v>
      </c>
      <c r="RM50" s="108" t="s">
        <v>99</v>
      </c>
      <c r="RO50" s="108" t="s">
        <v>63</v>
      </c>
      <c r="SB50" s="108">
        <f t="shared" ref="SB50:SB51" si="529">SUM(RP50:SA50)</f>
        <v>0</v>
      </c>
      <c r="SS50" s="108" t="s">
        <v>99</v>
      </c>
      <c r="SU50" s="108" t="s">
        <v>63</v>
      </c>
      <c r="TH50" s="108">
        <f t="shared" ref="TH50:TH51" si="530">SUM(SV50:TG50)</f>
        <v>0</v>
      </c>
      <c r="TY50" s="108" t="s">
        <v>99</v>
      </c>
      <c r="UA50" s="108" t="s">
        <v>63</v>
      </c>
      <c r="UN50" s="108">
        <f t="shared" ref="UN50:UN51" si="531">SUM(UB50:UM50)</f>
        <v>0</v>
      </c>
      <c r="VE50" s="108" t="s">
        <v>99</v>
      </c>
      <c r="VG50" s="108" t="s">
        <v>63</v>
      </c>
      <c r="VT50" s="108">
        <f t="shared" ref="VT50:VT51" si="532">SUM(VH50:VS50)</f>
        <v>0</v>
      </c>
      <c r="WK50" s="108" t="s">
        <v>99</v>
      </c>
      <c r="WM50" s="108" t="s">
        <v>63</v>
      </c>
      <c r="WZ50" s="108">
        <f t="shared" ref="WZ50:WZ51" si="533">SUM(WN50:WY50)</f>
        <v>0</v>
      </c>
      <c r="XQ50" s="108" t="s">
        <v>99</v>
      </c>
      <c r="XS50" s="108" t="s">
        <v>63</v>
      </c>
      <c r="YF50" s="108">
        <f t="shared" ref="YF50:YF51" si="534">SUM(XT50:YE50)</f>
        <v>0</v>
      </c>
      <c r="YW50" s="108" t="s">
        <v>99</v>
      </c>
      <c r="YY50" s="108" t="s">
        <v>63</v>
      </c>
      <c r="ZL50" s="108">
        <f t="shared" ref="ZL50:ZL51" si="535">SUM(YZ50:ZK50)</f>
        <v>0</v>
      </c>
      <c r="AAC50" s="108" t="s">
        <v>99</v>
      </c>
      <c r="AAE50" s="108" t="s">
        <v>63</v>
      </c>
      <c r="AAR50" s="108">
        <f t="shared" ref="AAR50:AAR51" si="536">SUM(AAF50:AAQ50)</f>
        <v>0</v>
      </c>
      <c r="ABI50" s="108" t="s">
        <v>99</v>
      </c>
      <c r="ABK50" s="108" t="s">
        <v>63</v>
      </c>
      <c r="ABX50" s="108">
        <f t="shared" ref="ABX50:ABX51" si="537">SUM(ABL50:ABW50)</f>
        <v>0</v>
      </c>
      <c r="ACO50" s="108" t="s">
        <v>99</v>
      </c>
      <c r="ACQ50" s="108" t="s">
        <v>63</v>
      </c>
      <c r="ADD50" s="108">
        <f t="shared" ref="ADD50:ADD51" si="538">SUM(ACR50:ADC50)</f>
        <v>0</v>
      </c>
      <c r="ADU50" s="108" t="s">
        <v>99</v>
      </c>
      <c r="ADW50" s="108" t="s">
        <v>63</v>
      </c>
      <c r="AEJ50" s="108">
        <f t="shared" ref="AEJ50:AEJ51" si="539">SUM(ADX50:AEI50)</f>
        <v>0</v>
      </c>
      <c r="AFA50" s="108" t="s">
        <v>99</v>
      </c>
      <c r="AFC50" s="108" t="s">
        <v>63</v>
      </c>
      <c r="AFP50" s="108">
        <f t="shared" ref="AFP50:AFP51" si="540">SUM(AFD50:AFO50)</f>
        <v>0</v>
      </c>
      <c r="AGG50" s="108" t="s">
        <v>99</v>
      </c>
      <c r="AGI50" s="108" t="s">
        <v>63</v>
      </c>
      <c r="AGV50" s="108">
        <f t="shared" ref="AGV50:AGV51" si="541">SUM(AGJ50:AGU50)</f>
        <v>0</v>
      </c>
      <c r="AHM50" s="108" t="s">
        <v>99</v>
      </c>
      <c r="AHO50" s="108" t="s">
        <v>63</v>
      </c>
      <c r="AIB50" s="108">
        <f t="shared" ref="AIB50:AIB51" si="542">SUM(AHP50:AIA50)</f>
        <v>0</v>
      </c>
      <c r="AIS50" s="108" t="s">
        <v>99</v>
      </c>
      <c r="AIU50" s="108" t="s">
        <v>63</v>
      </c>
      <c r="AJH50" s="108">
        <f t="shared" ref="AJH50:AJH51" si="543">SUM(AIV50:AJG50)</f>
        <v>0</v>
      </c>
      <c r="AJY50" s="108" t="s">
        <v>99</v>
      </c>
      <c r="AKA50" s="108" t="s">
        <v>63</v>
      </c>
      <c r="AKN50" s="108">
        <f t="shared" ref="AKN50:AKN51" si="544">SUM(AKB50:AKM50)</f>
        <v>0</v>
      </c>
      <c r="ALE50" s="108" t="s">
        <v>99</v>
      </c>
      <c r="ALG50" s="108" t="s">
        <v>63</v>
      </c>
      <c r="ALT50" s="108">
        <f t="shared" ref="ALT50:ALT51" si="545">SUM(ALH50:ALS50)</f>
        <v>0</v>
      </c>
      <c r="AMK50" s="108" t="s">
        <v>99</v>
      </c>
      <c r="AMM50" s="108" t="s">
        <v>63</v>
      </c>
      <c r="AMZ50" s="108">
        <f t="shared" ref="AMZ50:AMZ51" si="546">SUM(AMN50:AMY50)</f>
        <v>0</v>
      </c>
      <c r="ANQ50" s="108" t="s">
        <v>99</v>
      </c>
      <c r="ANS50" s="108" t="s">
        <v>63</v>
      </c>
      <c r="AOF50" s="108">
        <f t="shared" ref="AOF50:AOF51" si="547">SUM(ANT50:AOE50)</f>
        <v>0</v>
      </c>
      <c r="AOW50" s="108" t="s">
        <v>99</v>
      </c>
      <c r="AOY50" s="108" t="s">
        <v>63</v>
      </c>
      <c r="APL50" s="108">
        <f t="shared" ref="APL50:APL51" si="548">SUM(AOZ50:APK50)</f>
        <v>0</v>
      </c>
      <c r="AQC50" s="108" t="s">
        <v>99</v>
      </c>
      <c r="AQE50" s="108" t="s">
        <v>63</v>
      </c>
      <c r="AQR50" s="108">
        <f t="shared" ref="AQR50:AQR51" si="549">SUM(AQF50:AQQ50)</f>
        <v>0</v>
      </c>
      <c r="ARI50" s="108" t="s">
        <v>99</v>
      </c>
      <c r="ARK50" s="108" t="s">
        <v>63</v>
      </c>
      <c r="ARX50" s="108">
        <f t="shared" ref="ARX50:ARX51" si="550">SUM(ARL50:ARW50)</f>
        <v>0</v>
      </c>
      <c r="ASO50" s="108" t="s">
        <v>99</v>
      </c>
      <c r="ASQ50" s="108" t="s">
        <v>63</v>
      </c>
      <c r="ATD50" s="108">
        <f t="shared" ref="ATD50:ATD51" si="551">SUM(ASR50:ATC50)</f>
        <v>0</v>
      </c>
      <c r="ATU50" s="108" t="s">
        <v>99</v>
      </c>
      <c r="ATW50" s="108" t="s">
        <v>63</v>
      </c>
      <c r="AUJ50" s="108">
        <f t="shared" ref="AUJ50:AUJ51" si="552">SUM(ATX50:AUI50)</f>
        <v>0</v>
      </c>
      <c r="AVA50" s="108" t="s">
        <v>99</v>
      </c>
      <c r="AVC50" s="108" t="s">
        <v>63</v>
      </c>
      <c r="AVP50" s="108">
        <f t="shared" ref="AVP50:AVP51" si="553">SUM(AVD50:AVO50)</f>
        <v>0</v>
      </c>
      <c r="AWG50" s="108" t="s">
        <v>99</v>
      </c>
      <c r="AWI50" s="108" t="s">
        <v>63</v>
      </c>
      <c r="AWV50" s="108">
        <f t="shared" ref="AWV50:AWV51" si="554">SUM(AWJ50:AWU50)</f>
        <v>0</v>
      </c>
      <c r="AXM50" s="108" t="s">
        <v>99</v>
      </c>
      <c r="AXO50" s="108" t="s">
        <v>63</v>
      </c>
      <c r="AYB50" s="108">
        <f t="shared" ref="AYB50:AYB51" si="555">SUM(AXP50:AYA50)</f>
        <v>0</v>
      </c>
      <c r="AYS50" s="108" t="s">
        <v>99</v>
      </c>
      <c r="AYU50" s="108" t="s">
        <v>63</v>
      </c>
      <c r="AZH50" s="108">
        <f t="shared" ref="AZH50:AZH51" si="556">SUM(AYV50:AZG50)</f>
        <v>0</v>
      </c>
      <c r="AZY50" s="108" t="s">
        <v>99</v>
      </c>
      <c r="BAA50" s="108" t="s">
        <v>63</v>
      </c>
      <c r="BAN50" s="108">
        <f t="shared" ref="BAN50:BAN51" si="557">SUM(BAB50:BAM50)</f>
        <v>0</v>
      </c>
      <c r="BBE50" s="108" t="s">
        <v>99</v>
      </c>
      <c r="BBG50" s="108" t="s">
        <v>63</v>
      </c>
      <c r="BBT50" s="108">
        <f t="shared" ref="BBT50:BBT51" si="558">SUM(BBH50:BBS50)</f>
        <v>0</v>
      </c>
      <c r="BCK50" s="108" t="s">
        <v>99</v>
      </c>
      <c r="BCM50" s="108" t="s">
        <v>63</v>
      </c>
      <c r="BCZ50" s="108">
        <f t="shared" ref="BCZ50:BCZ51" si="559">SUM(BCN50:BCY50)</f>
        <v>0</v>
      </c>
      <c r="BDQ50" s="108" t="s">
        <v>99</v>
      </c>
      <c r="BDS50" s="108" t="s">
        <v>63</v>
      </c>
      <c r="BEF50" s="108">
        <f t="shared" ref="BEF50:BEF51" si="560">SUM(BDT50:BEE50)</f>
        <v>0</v>
      </c>
      <c r="BEW50" s="108" t="s">
        <v>99</v>
      </c>
      <c r="BEY50" s="108" t="s">
        <v>63</v>
      </c>
      <c r="BFL50" s="108">
        <f t="shared" ref="BFL50:BFL51" si="561">SUM(BEZ50:BFK50)</f>
        <v>0</v>
      </c>
      <c r="BGC50" s="108" t="s">
        <v>99</v>
      </c>
      <c r="BGE50" s="108" t="s">
        <v>63</v>
      </c>
      <c r="BGR50" s="108">
        <f t="shared" ref="BGR50:BGR51" si="562">SUM(BGF50:BGQ50)</f>
        <v>0</v>
      </c>
      <c r="BHI50" s="108" t="s">
        <v>99</v>
      </c>
      <c r="BHK50" s="108" t="s">
        <v>63</v>
      </c>
      <c r="BHX50" s="108">
        <f t="shared" ref="BHX50:BHX51" si="563">SUM(BHL50:BHW50)</f>
        <v>0</v>
      </c>
      <c r="BIO50" s="108" t="s">
        <v>99</v>
      </c>
      <c r="BIQ50" s="108" t="s">
        <v>63</v>
      </c>
      <c r="BJD50" s="108">
        <f t="shared" ref="BJD50:BJD51" si="564">SUM(BIR50:BJC50)</f>
        <v>0</v>
      </c>
      <c r="BJU50" s="108" t="s">
        <v>99</v>
      </c>
      <c r="BJW50" s="108" t="s">
        <v>63</v>
      </c>
      <c r="BKJ50" s="108">
        <f t="shared" ref="BKJ50:BKJ51" si="565">SUM(BJX50:BKI50)</f>
        <v>0</v>
      </c>
      <c r="BLA50" s="108" t="s">
        <v>99</v>
      </c>
      <c r="BLC50" s="108" t="s">
        <v>63</v>
      </c>
      <c r="BLP50" s="108">
        <f t="shared" ref="BLP50:BLP51" si="566">SUM(BLD50:BLO50)</f>
        <v>0</v>
      </c>
      <c r="BMG50" s="108" t="s">
        <v>99</v>
      </c>
      <c r="BMI50" s="108" t="s">
        <v>63</v>
      </c>
      <c r="BMV50" s="108">
        <f t="shared" ref="BMV50:BMV51" si="567">SUM(BMJ50:BMU50)</f>
        <v>0</v>
      </c>
      <c r="BNM50" s="108" t="s">
        <v>99</v>
      </c>
      <c r="BNO50" s="108" t="s">
        <v>63</v>
      </c>
      <c r="BOB50" s="108">
        <f t="shared" ref="BOB50:BOB51" si="568">SUM(BNP50:BOA50)</f>
        <v>0</v>
      </c>
      <c r="BOS50" s="108" t="s">
        <v>99</v>
      </c>
      <c r="BOU50" s="108" t="s">
        <v>63</v>
      </c>
      <c r="BPH50" s="108">
        <f t="shared" ref="BPH50:BPH51" si="569">SUM(BOV50:BPG50)</f>
        <v>0</v>
      </c>
      <c r="BPY50" s="108" t="s">
        <v>99</v>
      </c>
      <c r="BQA50" s="108" t="s">
        <v>63</v>
      </c>
      <c r="BQN50" s="108">
        <f t="shared" ref="BQN50:BQN51" si="570">SUM(BQB50:BQM50)</f>
        <v>0</v>
      </c>
      <c r="BRE50" s="108" t="s">
        <v>99</v>
      </c>
      <c r="BRG50" s="108" t="s">
        <v>63</v>
      </c>
      <c r="BRT50" s="108">
        <f t="shared" ref="BRT50:BRT51" si="571">SUM(BRH50:BRS50)</f>
        <v>0</v>
      </c>
      <c r="BSK50" s="108" t="s">
        <v>99</v>
      </c>
      <c r="BSM50" s="108" t="s">
        <v>63</v>
      </c>
      <c r="BSZ50" s="108">
        <f t="shared" ref="BSZ50:BSZ51" si="572">SUM(BSN50:BSY50)</f>
        <v>0</v>
      </c>
      <c r="BTQ50" s="108" t="s">
        <v>99</v>
      </c>
      <c r="BTS50" s="108" t="s">
        <v>63</v>
      </c>
      <c r="BUF50" s="108">
        <f t="shared" ref="BUF50:BUF51" si="573">SUM(BTT50:BUE50)</f>
        <v>0</v>
      </c>
      <c r="BUW50" s="108" t="s">
        <v>99</v>
      </c>
      <c r="BUY50" s="108" t="s">
        <v>63</v>
      </c>
      <c r="BVL50" s="108">
        <f t="shared" ref="BVL50:BVL51" si="574">SUM(BUZ50:BVK50)</f>
        <v>0</v>
      </c>
      <c r="BWC50" s="108" t="s">
        <v>99</v>
      </c>
      <c r="BWE50" s="108" t="s">
        <v>63</v>
      </c>
      <c r="BWR50" s="108">
        <f t="shared" ref="BWR50:BWR51" si="575">SUM(BWF50:BWQ50)</f>
        <v>0</v>
      </c>
      <c r="BXI50" s="108" t="s">
        <v>99</v>
      </c>
      <c r="BXK50" s="108" t="s">
        <v>63</v>
      </c>
      <c r="BXX50" s="108">
        <f t="shared" ref="BXX50:BXX51" si="576">SUM(BXL50:BXW50)</f>
        <v>0</v>
      </c>
      <c r="BYO50" s="108" t="s">
        <v>99</v>
      </c>
      <c r="BYQ50" s="108" t="s">
        <v>63</v>
      </c>
      <c r="BZD50" s="108">
        <f t="shared" ref="BZD50:BZD51" si="577">SUM(BYR50:BZC50)</f>
        <v>0</v>
      </c>
      <c r="BZU50" s="108" t="s">
        <v>99</v>
      </c>
      <c r="BZW50" s="108" t="s">
        <v>63</v>
      </c>
      <c r="CAJ50" s="108">
        <f t="shared" ref="CAJ50:CAJ51" si="578">SUM(BZX50:CAI50)</f>
        <v>0</v>
      </c>
      <c r="CBA50" s="108" t="s">
        <v>99</v>
      </c>
      <c r="CBC50" s="108" t="s">
        <v>63</v>
      </c>
      <c r="CBP50" s="108">
        <f t="shared" ref="CBP50:CBP51" si="579">SUM(CBD50:CBO50)</f>
        <v>0</v>
      </c>
      <c r="CCG50" s="108" t="s">
        <v>99</v>
      </c>
      <c r="CCI50" s="108" t="s">
        <v>63</v>
      </c>
      <c r="CCV50" s="108">
        <f t="shared" ref="CCV50:CCV51" si="580">SUM(CCJ50:CCU50)</f>
        <v>0</v>
      </c>
      <c r="CDM50" s="108" t="s">
        <v>99</v>
      </c>
      <c r="CDO50" s="108" t="s">
        <v>63</v>
      </c>
      <c r="CEB50" s="108">
        <f t="shared" ref="CEB50:CEB51" si="581">SUM(CDP50:CEA50)</f>
        <v>0</v>
      </c>
      <c r="CES50" s="108" t="s">
        <v>99</v>
      </c>
      <c r="CEU50" s="108" t="s">
        <v>63</v>
      </c>
      <c r="CFH50" s="108">
        <f t="shared" ref="CFH50:CFH51" si="582">SUM(CEV50:CFG50)</f>
        <v>0</v>
      </c>
      <c r="CFY50" s="108" t="s">
        <v>99</v>
      </c>
      <c r="CGA50" s="108" t="s">
        <v>63</v>
      </c>
      <c r="CGN50" s="108">
        <f t="shared" ref="CGN50:CGN51" si="583">SUM(CGB50:CGM50)</f>
        <v>0</v>
      </c>
      <c r="CHE50" s="108" t="s">
        <v>99</v>
      </c>
      <c r="CHG50" s="108" t="s">
        <v>63</v>
      </c>
      <c r="CHT50" s="108">
        <f t="shared" ref="CHT50:CHT51" si="584">SUM(CHH50:CHS50)</f>
        <v>0</v>
      </c>
      <c r="CIK50" s="108" t="s">
        <v>99</v>
      </c>
      <c r="CIM50" s="108" t="s">
        <v>63</v>
      </c>
      <c r="CIZ50" s="108">
        <f t="shared" ref="CIZ50:CIZ51" si="585">SUM(CIN50:CIY50)</f>
        <v>0</v>
      </c>
      <c r="CJQ50" s="108" t="s">
        <v>99</v>
      </c>
      <c r="CJS50" s="108" t="s">
        <v>63</v>
      </c>
      <c r="CKF50" s="108">
        <f t="shared" ref="CKF50:CKF51" si="586">SUM(CJT50:CKE50)</f>
        <v>0</v>
      </c>
      <c r="CKW50" s="108" t="s">
        <v>99</v>
      </c>
      <c r="CKY50" s="108" t="s">
        <v>63</v>
      </c>
      <c r="CLL50" s="108">
        <f t="shared" ref="CLL50:CLL51" si="587">SUM(CKZ50:CLK50)</f>
        <v>0</v>
      </c>
      <c r="CMC50" s="108" t="s">
        <v>99</v>
      </c>
      <c r="CME50" s="108" t="s">
        <v>63</v>
      </c>
      <c r="CMR50" s="108">
        <f t="shared" ref="CMR50:CMR51" si="588">SUM(CMF50:CMQ50)</f>
        <v>0</v>
      </c>
      <c r="CNI50" s="108" t="s">
        <v>99</v>
      </c>
      <c r="CNK50" s="108" t="s">
        <v>63</v>
      </c>
      <c r="CNX50" s="108">
        <f t="shared" ref="CNX50:CNX51" si="589">SUM(CNL50:CNW50)</f>
        <v>0</v>
      </c>
      <c r="COO50" s="108" t="s">
        <v>99</v>
      </c>
      <c r="COQ50" s="108" t="s">
        <v>63</v>
      </c>
      <c r="CPD50" s="108">
        <f t="shared" ref="CPD50:CPD51" si="590">SUM(COR50:CPC50)</f>
        <v>0</v>
      </c>
      <c r="CPU50" s="108" t="s">
        <v>99</v>
      </c>
      <c r="CPW50" s="108" t="s">
        <v>63</v>
      </c>
      <c r="CQJ50" s="108">
        <f t="shared" ref="CQJ50:CQJ51" si="591">SUM(CPX50:CQI50)</f>
        <v>0</v>
      </c>
      <c r="CRA50" s="108" t="s">
        <v>99</v>
      </c>
      <c r="CRC50" s="108" t="s">
        <v>63</v>
      </c>
      <c r="CRP50" s="108">
        <f t="shared" ref="CRP50:CRP51" si="592">SUM(CRD50:CRO50)</f>
        <v>0</v>
      </c>
      <c r="CSG50" s="108" t="s">
        <v>99</v>
      </c>
      <c r="CSI50" s="108" t="s">
        <v>63</v>
      </c>
      <c r="CSV50" s="108">
        <f t="shared" ref="CSV50:CSV51" si="593">SUM(CSJ50:CSU50)</f>
        <v>0</v>
      </c>
      <c r="CTM50" s="108" t="s">
        <v>99</v>
      </c>
      <c r="CTO50" s="108" t="s">
        <v>63</v>
      </c>
      <c r="CUB50" s="108">
        <f t="shared" ref="CUB50:CUB51" si="594">SUM(CTP50:CUA50)</f>
        <v>0</v>
      </c>
      <c r="CUS50" s="108" t="s">
        <v>99</v>
      </c>
      <c r="CUU50" s="108" t="s">
        <v>63</v>
      </c>
      <c r="CVH50" s="108">
        <f t="shared" ref="CVH50:CVH51" si="595">SUM(CUV50:CVG50)</f>
        <v>0</v>
      </c>
      <c r="CVY50" s="108" t="s">
        <v>99</v>
      </c>
      <c r="CWA50" s="108" t="s">
        <v>63</v>
      </c>
      <c r="CWN50" s="108">
        <f t="shared" ref="CWN50:CWN51" si="596">SUM(CWB50:CWM50)</f>
        <v>0</v>
      </c>
      <c r="CXE50" s="108" t="s">
        <v>99</v>
      </c>
      <c r="CXG50" s="108" t="s">
        <v>63</v>
      </c>
      <c r="CXT50" s="108">
        <f t="shared" ref="CXT50:CXT51" si="597">SUM(CXH50:CXS50)</f>
        <v>0</v>
      </c>
      <c r="CYK50" s="108" t="s">
        <v>99</v>
      </c>
      <c r="CYM50" s="108" t="s">
        <v>63</v>
      </c>
      <c r="CYZ50" s="108">
        <f t="shared" ref="CYZ50:CYZ51" si="598">SUM(CYN50:CYY50)</f>
        <v>0</v>
      </c>
      <c r="CZQ50" s="108" t="s">
        <v>99</v>
      </c>
      <c r="CZS50" s="108" t="s">
        <v>63</v>
      </c>
      <c r="DAF50" s="108">
        <f t="shared" ref="DAF50:DAF51" si="599">SUM(CZT50:DAE50)</f>
        <v>0</v>
      </c>
      <c r="DAW50" s="108" t="s">
        <v>99</v>
      </c>
      <c r="DAY50" s="108" t="s">
        <v>63</v>
      </c>
      <c r="DBL50" s="108">
        <f t="shared" ref="DBL50:DBL51" si="600">SUM(DAZ50:DBK50)</f>
        <v>0</v>
      </c>
      <c r="DCC50" s="108" t="s">
        <v>99</v>
      </c>
      <c r="DCE50" s="108" t="s">
        <v>63</v>
      </c>
      <c r="DCR50" s="108">
        <f t="shared" ref="DCR50:DCR51" si="601">SUM(DCF50:DCQ50)</f>
        <v>0</v>
      </c>
      <c r="DDI50" s="108" t="s">
        <v>99</v>
      </c>
      <c r="DDK50" s="108" t="s">
        <v>63</v>
      </c>
      <c r="DDX50" s="108">
        <f t="shared" ref="DDX50:DDX51" si="602">SUM(DDL50:DDW50)</f>
        <v>0</v>
      </c>
      <c r="DEO50" s="108" t="s">
        <v>99</v>
      </c>
      <c r="DEQ50" s="108" t="s">
        <v>63</v>
      </c>
      <c r="DFD50" s="108">
        <f t="shared" ref="DFD50:DFD51" si="603">SUM(DER50:DFC50)</f>
        <v>0</v>
      </c>
      <c r="DFU50" s="108" t="s">
        <v>99</v>
      </c>
      <c r="DFW50" s="108" t="s">
        <v>63</v>
      </c>
      <c r="DGJ50" s="108">
        <f t="shared" ref="DGJ50:DGJ51" si="604">SUM(DFX50:DGI50)</f>
        <v>0</v>
      </c>
      <c r="DHA50" s="108" t="s">
        <v>99</v>
      </c>
      <c r="DHC50" s="108" t="s">
        <v>63</v>
      </c>
      <c r="DHP50" s="108">
        <f t="shared" ref="DHP50:DHP51" si="605">SUM(DHD50:DHO50)</f>
        <v>0</v>
      </c>
      <c r="DIG50" s="108" t="s">
        <v>99</v>
      </c>
      <c r="DII50" s="108" t="s">
        <v>63</v>
      </c>
      <c r="DIV50" s="108">
        <f t="shared" ref="DIV50:DIV51" si="606">SUM(DIJ50:DIU50)</f>
        <v>0</v>
      </c>
      <c r="DJM50" s="108" t="s">
        <v>99</v>
      </c>
      <c r="DJO50" s="108" t="s">
        <v>63</v>
      </c>
      <c r="DKB50" s="108">
        <f t="shared" ref="DKB50:DKB51" si="607">SUM(DJP50:DKA50)</f>
        <v>0</v>
      </c>
      <c r="DKS50" s="108" t="s">
        <v>99</v>
      </c>
      <c r="DKU50" s="108" t="s">
        <v>63</v>
      </c>
      <c r="DLH50" s="108">
        <f t="shared" ref="DLH50:DLH51" si="608">SUM(DKV50:DLG50)</f>
        <v>0</v>
      </c>
      <c r="DLY50" s="108" t="s">
        <v>99</v>
      </c>
      <c r="DMA50" s="108" t="s">
        <v>63</v>
      </c>
      <c r="DMN50" s="108">
        <f t="shared" ref="DMN50:DMN51" si="609">SUM(DMB50:DMM50)</f>
        <v>0</v>
      </c>
      <c r="DNE50" s="108" t="s">
        <v>99</v>
      </c>
      <c r="DNG50" s="108" t="s">
        <v>63</v>
      </c>
      <c r="DNT50" s="108">
        <f t="shared" ref="DNT50:DNT51" si="610">SUM(DNH50:DNS50)</f>
        <v>0</v>
      </c>
      <c r="DOK50" s="108" t="s">
        <v>99</v>
      </c>
      <c r="DOM50" s="108" t="s">
        <v>63</v>
      </c>
      <c r="DOZ50" s="108">
        <f t="shared" ref="DOZ50:DOZ51" si="611">SUM(DON50:DOY50)</f>
        <v>0</v>
      </c>
      <c r="DPQ50" s="108" t="s">
        <v>99</v>
      </c>
      <c r="DPS50" s="108" t="s">
        <v>63</v>
      </c>
      <c r="DQF50" s="108">
        <f t="shared" ref="DQF50:DQF51" si="612">SUM(DPT50:DQE50)</f>
        <v>0</v>
      </c>
      <c r="DQW50" s="108" t="s">
        <v>99</v>
      </c>
      <c r="DQY50" s="108" t="s">
        <v>63</v>
      </c>
      <c r="DRL50" s="108">
        <f t="shared" ref="DRL50:DRL51" si="613">SUM(DQZ50:DRK50)</f>
        <v>0</v>
      </c>
      <c r="DSC50" s="108" t="s">
        <v>99</v>
      </c>
      <c r="DSE50" s="108" t="s">
        <v>63</v>
      </c>
      <c r="DSR50" s="108">
        <f t="shared" ref="DSR50:DSR51" si="614">SUM(DSF50:DSQ50)</f>
        <v>0</v>
      </c>
      <c r="DTI50" s="108" t="s">
        <v>99</v>
      </c>
      <c r="DTK50" s="108" t="s">
        <v>63</v>
      </c>
      <c r="DTX50" s="108">
        <f t="shared" ref="DTX50:DTX51" si="615">SUM(DTL50:DTW50)</f>
        <v>0</v>
      </c>
      <c r="DUO50" s="108" t="s">
        <v>99</v>
      </c>
      <c r="DUQ50" s="108" t="s">
        <v>63</v>
      </c>
      <c r="DVD50" s="108">
        <f t="shared" ref="DVD50:DVD51" si="616">SUM(DUR50:DVC50)</f>
        <v>0</v>
      </c>
      <c r="DVU50" s="108" t="s">
        <v>99</v>
      </c>
      <c r="DVW50" s="108" t="s">
        <v>63</v>
      </c>
      <c r="DWJ50" s="108">
        <f t="shared" ref="DWJ50:DWJ51" si="617">SUM(DVX50:DWI50)</f>
        <v>0</v>
      </c>
      <c r="DXA50" s="108" t="s">
        <v>99</v>
      </c>
      <c r="DXC50" s="108" t="s">
        <v>63</v>
      </c>
      <c r="DXP50" s="108">
        <f t="shared" ref="DXP50:DXP51" si="618">SUM(DXD50:DXO50)</f>
        <v>0</v>
      </c>
      <c r="DYG50" s="108" t="s">
        <v>99</v>
      </c>
      <c r="DYI50" s="108" t="s">
        <v>63</v>
      </c>
      <c r="DYV50" s="108">
        <f t="shared" ref="DYV50:DYV51" si="619">SUM(DYJ50:DYU50)</f>
        <v>0</v>
      </c>
      <c r="DZM50" s="108" t="s">
        <v>99</v>
      </c>
      <c r="DZO50" s="108" t="s">
        <v>63</v>
      </c>
      <c r="EAB50" s="108">
        <f t="shared" ref="EAB50:EAB51" si="620">SUM(DZP50:EAA50)</f>
        <v>0</v>
      </c>
      <c r="EAS50" s="108" t="s">
        <v>99</v>
      </c>
      <c r="EAU50" s="108" t="s">
        <v>63</v>
      </c>
      <c r="EBH50" s="108">
        <f t="shared" ref="EBH50:EBH51" si="621">SUM(EAV50:EBG50)</f>
        <v>0</v>
      </c>
      <c r="EBY50" s="108" t="s">
        <v>99</v>
      </c>
      <c r="ECA50" s="108" t="s">
        <v>63</v>
      </c>
      <c r="ECN50" s="108">
        <f t="shared" ref="ECN50:ECN51" si="622">SUM(ECB50:ECM50)</f>
        <v>0</v>
      </c>
      <c r="EDE50" s="108" t="s">
        <v>99</v>
      </c>
      <c r="EDG50" s="108" t="s">
        <v>63</v>
      </c>
      <c r="EDT50" s="108">
        <f t="shared" ref="EDT50:EDT51" si="623">SUM(EDH50:EDS50)</f>
        <v>0</v>
      </c>
      <c r="EEK50" s="108" t="s">
        <v>99</v>
      </c>
      <c r="EEM50" s="108" t="s">
        <v>63</v>
      </c>
      <c r="EEZ50" s="108">
        <f t="shared" ref="EEZ50:EEZ51" si="624">SUM(EEN50:EEY50)</f>
        <v>0</v>
      </c>
      <c r="EFQ50" s="108" t="s">
        <v>99</v>
      </c>
      <c r="EFS50" s="108" t="s">
        <v>63</v>
      </c>
      <c r="EGF50" s="108">
        <f t="shared" ref="EGF50:EGF51" si="625">SUM(EFT50:EGE50)</f>
        <v>0</v>
      </c>
      <c r="EGW50" s="108" t="s">
        <v>99</v>
      </c>
      <c r="EGY50" s="108" t="s">
        <v>63</v>
      </c>
      <c r="EHL50" s="108">
        <f t="shared" ref="EHL50:EHL51" si="626">SUM(EGZ50:EHK50)</f>
        <v>0</v>
      </c>
      <c r="EIC50" s="108" t="s">
        <v>99</v>
      </c>
      <c r="EIE50" s="108" t="s">
        <v>63</v>
      </c>
      <c r="EIR50" s="108">
        <f t="shared" ref="EIR50:EIR51" si="627">SUM(EIF50:EIQ50)</f>
        <v>0</v>
      </c>
      <c r="EJI50" s="108" t="s">
        <v>99</v>
      </c>
      <c r="EJK50" s="108" t="s">
        <v>63</v>
      </c>
      <c r="EJX50" s="108">
        <f t="shared" ref="EJX50:EJX51" si="628">SUM(EJL50:EJW50)</f>
        <v>0</v>
      </c>
      <c r="EKO50" s="108" t="s">
        <v>99</v>
      </c>
      <c r="EKQ50" s="108" t="s">
        <v>63</v>
      </c>
      <c r="ELD50" s="108">
        <f t="shared" ref="ELD50:ELD51" si="629">SUM(EKR50:ELC50)</f>
        <v>0</v>
      </c>
      <c r="ELU50" s="108" t="s">
        <v>99</v>
      </c>
      <c r="ELW50" s="108" t="s">
        <v>63</v>
      </c>
      <c r="EMJ50" s="108">
        <f t="shared" ref="EMJ50:EMJ51" si="630">SUM(ELX50:EMI50)</f>
        <v>0</v>
      </c>
      <c r="ENA50" s="108" t="s">
        <v>99</v>
      </c>
      <c r="ENC50" s="108" t="s">
        <v>63</v>
      </c>
      <c r="ENP50" s="108">
        <f t="shared" ref="ENP50:ENP51" si="631">SUM(END50:ENO50)</f>
        <v>0</v>
      </c>
      <c r="EOG50" s="108" t="s">
        <v>99</v>
      </c>
      <c r="EOI50" s="108" t="s">
        <v>63</v>
      </c>
      <c r="EOV50" s="108">
        <f t="shared" ref="EOV50:EOV51" si="632">SUM(EOJ50:EOU50)</f>
        <v>0</v>
      </c>
      <c r="EPM50" s="108" t="s">
        <v>99</v>
      </c>
      <c r="EPO50" s="108" t="s">
        <v>63</v>
      </c>
      <c r="EQB50" s="108">
        <f t="shared" ref="EQB50:EQB51" si="633">SUM(EPP50:EQA50)</f>
        <v>0</v>
      </c>
      <c r="EQS50" s="108" t="s">
        <v>99</v>
      </c>
      <c r="EQU50" s="108" t="s">
        <v>63</v>
      </c>
      <c r="ERH50" s="108">
        <f t="shared" ref="ERH50:ERH51" si="634">SUM(EQV50:ERG50)</f>
        <v>0</v>
      </c>
      <c r="ERY50" s="108" t="s">
        <v>99</v>
      </c>
      <c r="ESA50" s="108" t="s">
        <v>63</v>
      </c>
      <c r="ESN50" s="108">
        <f t="shared" ref="ESN50:ESN51" si="635">SUM(ESB50:ESM50)</f>
        <v>0</v>
      </c>
      <c r="ETE50" s="108" t="s">
        <v>99</v>
      </c>
      <c r="ETG50" s="108" t="s">
        <v>63</v>
      </c>
      <c r="ETT50" s="108">
        <f t="shared" ref="ETT50:ETT51" si="636">SUM(ETH50:ETS50)</f>
        <v>0</v>
      </c>
      <c r="EUK50" s="108" t="s">
        <v>99</v>
      </c>
      <c r="EUM50" s="108" t="s">
        <v>63</v>
      </c>
      <c r="EUZ50" s="108">
        <f t="shared" ref="EUZ50:EUZ51" si="637">SUM(EUN50:EUY50)</f>
        <v>0</v>
      </c>
      <c r="EVQ50" s="108" t="s">
        <v>99</v>
      </c>
      <c r="EVS50" s="108" t="s">
        <v>63</v>
      </c>
      <c r="EWF50" s="108">
        <f t="shared" ref="EWF50:EWF51" si="638">SUM(EVT50:EWE50)</f>
        <v>0</v>
      </c>
      <c r="EWW50" s="108" t="s">
        <v>99</v>
      </c>
      <c r="EWY50" s="108" t="s">
        <v>63</v>
      </c>
      <c r="EXL50" s="108">
        <f t="shared" ref="EXL50:EXL51" si="639">SUM(EWZ50:EXK50)</f>
        <v>0</v>
      </c>
      <c r="EYC50" s="108" t="s">
        <v>99</v>
      </c>
      <c r="EYE50" s="108" t="s">
        <v>63</v>
      </c>
      <c r="EYR50" s="108">
        <f t="shared" ref="EYR50:EYR51" si="640">SUM(EYF50:EYQ50)</f>
        <v>0</v>
      </c>
      <c r="EZI50" s="108" t="s">
        <v>99</v>
      </c>
      <c r="EZK50" s="108" t="s">
        <v>63</v>
      </c>
      <c r="EZX50" s="108">
        <f t="shared" ref="EZX50:EZX51" si="641">SUM(EZL50:EZW50)</f>
        <v>0</v>
      </c>
      <c r="FAO50" s="108" t="s">
        <v>99</v>
      </c>
      <c r="FAQ50" s="108" t="s">
        <v>63</v>
      </c>
      <c r="FBD50" s="108">
        <f t="shared" ref="FBD50:FBD51" si="642">SUM(FAR50:FBC50)</f>
        <v>0</v>
      </c>
      <c r="FBU50" s="108" t="s">
        <v>99</v>
      </c>
      <c r="FBW50" s="108" t="s">
        <v>63</v>
      </c>
      <c r="FCJ50" s="108">
        <f t="shared" ref="FCJ50:FCJ51" si="643">SUM(FBX50:FCI50)</f>
        <v>0</v>
      </c>
      <c r="FDA50" s="108" t="s">
        <v>99</v>
      </c>
      <c r="FDC50" s="108" t="s">
        <v>63</v>
      </c>
      <c r="FDP50" s="108">
        <f t="shared" ref="FDP50:FDP51" si="644">SUM(FDD50:FDO50)</f>
        <v>0</v>
      </c>
      <c r="FEG50" s="108" t="s">
        <v>99</v>
      </c>
      <c r="FEI50" s="108" t="s">
        <v>63</v>
      </c>
      <c r="FEV50" s="108">
        <f t="shared" ref="FEV50:FEV51" si="645">SUM(FEJ50:FEU50)</f>
        <v>0</v>
      </c>
      <c r="FFM50" s="108" t="s">
        <v>99</v>
      </c>
      <c r="FFO50" s="108" t="s">
        <v>63</v>
      </c>
      <c r="FGB50" s="108">
        <f t="shared" ref="FGB50:FGB51" si="646">SUM(FFP50:FGA50)</f>
        <v>0</v>
      </c>
      <c r="FGS50" s="108" t="s">
        <v>99</v>
      </c>
      <c r="FGU50" s="108" t="s">
        <v>63</v>
      </c>
      <c r="FHH50" s="108">
        <f t="shared" ref="FHH50:FHH51" si="647">SUM(FGV50:FHG50)</f>
        <v>0</v>
      </c>
      <c r="FHY50" s="108" t="s">
        <v>99</v>
      </c>
      <c r="FIA50" s="108" t="s">
        <v>63</v>
      </c>
      <c r="FIN50" s="108">
        <f t="shared" ref="FIN50:FIN51" si="648">SUM(FIB50:FIM50)</f>
        <v>0</v>
      </c>
      <c r="FJE50" s="108" t="s">
        <v>99</v>
      </c>
      <c r="FJG50" s="108" t="s">
        <v>63</v>
      </c>
      <c r="FJT50" s="108">
        <f t="shared" ref="FJT50:FJT51" si="649">SUM(FJH50:FJS50)</f>
        <v>0</v>
      </c>
      <c r="FKK50" s="108" t="s">
        <v>99</v>
      </c>
      <c r="FKM50" s="108" t="s">
        <v>63</v>
      </c>
      <c r="FKZ50" s="108">
        <f t="shared" ref="FKZ50:FKZ51" si="650">SUM(FKN50:FKY50)</f>
        <v>0</v>
      </c>
      <c r="FLQ50" s="108" t="s">
        <v>99</v>
      </c>
      <c r="FLS50" s="108" t="s">
        <v>63</v>
      </c>
      <c r="FMF50" s="108">
        <f t="shared" ref="FMF50:FMF51" si="651">SUM(FLT50:FME50)</f>
        <v>0</v>
      </c>
      <c r="FMW50" s="108" t="s">
        <v>99</v>
      </c>
      <c r="FMY50" s="108" t="s">
        <v>63</v>
      </c>
      <c r="FNL50" s="108">
        <f t="shared" ref="FNL50:FNL51" si="652">SUM(FMZ50:FNK50)</f>
        <v>0</v>
      </c>
      <c r="FOC50" s="108" t="s">
        <v>99</v>
      </c>
      <c r="FOE50" s="108" t="s">
        <v>63</v>
      </c>
      <c r="FOR50" s="108">
        <f t="shared" ref="FOR50:FOR51" si="653">SUM(FOF50:FOQ50)</f>
        <v>0</v>
      </c>
      <c r="FPI50" s="108" t="s">
        <v>99</v>
      </c>
      <c r="FPK50" s="108" t="s">
        <v>63</v>
      </c>
      <c r="FPX50" s="108">
        <f t="shared" ref="FPX50:FPX51" si="654">SUM(FPL50:FPW50)</f>
        <v>0</v>
      </c>
      <c r="FQO50" s="108" t="s">
        <v>99</v>
      </c>
      <c r="FQQ50" s="108" t="s">
        <v>63</v>
      </c>
      <c r="FRD50" s="108">
        <f t="shared" ref="FRD50:FRD51" si="655">SUM(FQR50:FRC50)</f>
        <v>0</v>
      </c>
      <c r="FRU50" s="108" t="s">
        <v>99</v>
      </c>
      <c r="FRW50" s="108" t="s">
        <v>63</v>
      </c>
      <c r="FSJ50" s="108">
        <f t="shared" ref="FSJ50:FSJ51" si="656">SUM(FRX50:FSI50)</f>
        <v>0</v>
      </c>
      <c r="FTA50" s="108" t="s">
        <v>99</v>
      </c>
      <c r="FTC50" s="108" t="s">
        <v>63</v>
      </c>
      <c r="FTP50" s="108">
        <f t="shared" ref="FTP50:FTP51" si="657">SUM(FTD50:FTO50)</f>
        <v>0</v>
      </c>
      <c r="FUG50" s="108" t="s">
        <v>99</v>
      </c>
      <c r="FUI50" s="108" t="s">
        <v>63</v>
      </c>
      <c r="FUV50" s="108">
        <f t="shared" ref="FUV50:FUV51" si="658">SUM(FUJ50:FUU50)</f>
        <v>0</v>
      </c>
      <c r="FVM50" s="108" t="s">
        <v>99</v>
      </c>
      <c r="FVO50" s="108" t="s">
        <v>63</v>
      </c>
      <c r="FWB50" s="108">
        <f t="shared" ref="FWB50:FWB51" si="659">SUM(FVP50:FWA50)</f>
        <v>0</v>
      </c>
      <c r="FWS50" s="108" t="s">
        <v>99</v>
      </c>
      <c r="FWU50" s="108" t="s">
        <v>63</v>
      </c>
      <c r="FXH50" s="108">
        <f t="shared" ref="FXH50:FXH51" si="660">SUM(FWV50:FXG50)</f>
        <v>0</v>
      </c>
      <c r="FXY50" s="108" t="s">
        <v>99</v>
      </c>
      <c r="FYA50" s="108" t="s">
        <v>63</v>
      </c>
      <c r="FYN50" s="108">
        <f t="shared" ref="FYN50:FYN51" si="661">SUM(FYB50:FYM50)</f>
        <v>0</v>
      </c>
      <c r="FZE50" s="108" t="s">
        <v>99</v>
      </c>
      <c r="FZG50" s="108" t="s">
        <v>63</v>
      </c>
      <c r="FZT50" s="108">
        <f t="shared" ref="FZT50:FZT51" si="662">SUM(FZH50:FZS50)</f>
        <v>0</v>
      </c>
      <c r="GAK50" s="108" t="s">
        <v>99</v>
      </c>
      <c r="GAM50" s="108" t="s">
        <v>63</v>
      </c>
      <c r="GAZ50" s="108">
        <f t="shared" ref="GAZ50:GAZ51" si="663">SUM(GAN50:GAY50)</f>
        <v>0</v>
      </c>
      <c r="GBQ50" s="108" t="s">
        <v>99</v>
      </c>
      <c r="GBS50" s="108" t="s">
        <v>63</v>
      </c>
      <c r="GCF50" s="108">
        <f t="shared" ref="GCF50:GCF51" si="664">SUM(GBT50:GCE50)</f>
        <v>0</v>
      </c>
      <c r="GCW50" s="108" t="s">
        <v>99</v>
      </c>
      <c r="GCY50" s="108" t="s">
        <v>63</v>
      </c>
      <c r="GDL50" s="108">
        <f t="shared" ref="GDL50:GDL51" si="665">SUM(GCZ50:GDK50)</f>
        <v>0</v>
      </c>
      <c r="GEC50" s="108" t="s">
        <v>99</v>
      </c>
      <c r="GEE50" s="108" t="s">
        <v>63</v>
      </c>
      <c r="GER50" s="108">
        <f t="shared" ref="GER50:GER51" si="666">SUM(GEF50:GEQ50)</f>
        <v>0</v>
      </c>
      <c r="GFI50" s="108" t="s">
        <v>99</v>
      </c>
      <c r="GFK50" s="108" t="s">
        <v>63</v>
      </c>
      <c r="GFX50" s="108">
        <f t="shared" ref="GFX50:GFX51" si="667">SUM(GFL50:GFW50)</f>
        <v>0</v>
      </c>
      <c r="GGO50" s="108" t="s">
        <v>99</v>
      </c>
      <c r="GGQ50" s="108" t="s">
        <v>63</v>
      </c>
      <c r="GHD50" s="108">
        <f t="shared" ref="GHD50:GHD51" si="668">SUM(GGR50:GHC50)</f>
        <v>0</v>
      </c>
      <c r="GHU50" s="108" t="s">
        <v>99</v>
      </c>
      <c r="GHW50" s="108" t="s">
        <v>63</v>
      </c>
      <c r="GIJ50" s="108">
        <f t="shared" ref="GIJ50:GIJ51" si="669">SUM(GHX50:GII50)</f>
        <v>0</v>
      </c>
      <c r="GJA50" s="108" t="s">
        <v>99</v>
      </c>
      <c r="GJC50" s="108" t="s">
        <v>63</v>
      </c>
      <c r="GJP50" s="108">
        <f t="shared" ref="GJP50:GJP51" si="670">SUM(GJD50:GJO50)</f>
        <v>0</v>
      </c>
      <c r="GKG50" s="108" t="s">
        <v>99</v>
      </c>
      <c r="GKI50" s="108" t="s">
        <v>63</v>
      </c>
      <c r="GKV50" s="108">
        <f t="shared" ref="GKV50:GKV51" si="671">SUM(GKJ50:GKU50)</f>
        <v>0</v>
      </c>
      <c r="GLM50" s="108" t="s">
        <v>99</v>
      </c>
      <c r="GLO50" s="108" t="s">
        <v>63</v>
      </c>
      <c r="GMB50" s="108">
        <f t="shared" ref="GMB50:GMB51" si="672">SUM(GLP50:GMA50)</f>
        <v>0</v>
      </c>
      <c r="GMS50" s="108" t="s">
        <v>99</v>
      </c>
      <c r="GMU50" s="108" t="s">
        <v>63</v>
      </c>
      <c r="GNH50" s="108">
        <f t="shared" ref="GNH50:GNH51" si="673">SUM(GMV50:GNG50)</f>
        <v>0</v>
      </c>
      <c r="GNY50" s="108" t="s">
        <v>99</v>
      </c>
      <c r="GOA50" s="108" t="s">
        <v>63</v>
      </c>
      <c r="GON50" s="108">
        <f t="shared" ref="GON50:GON51" si="674">SUM(GOB50:GOM50)</f>
        <v>0</v>
      </c>
      <c r="GPE50" s="108" t="s">
        <v>99</v>
      </c>
      <c r="GPG50" s="108" t="s">
        <v>63</v>
      </c>
      <c r="GPT50" s="108">
        <f t="shared" ref="GPT50:GPT51" si="675">SUM(GPH50:GPS50)</f>
        <v>0</v>
      </c>
      <c r="GQK50" s="108" t="s">
        <v>99</v>
      </c>
      <c r="GQM50" s="108" t="s">
        <v>63</v>
      </c>
      <c r="GQZ50" s="108">
        <f t="shared" ref="GQZ50:GQZ51" si="676">SUM(GQN50:GQY50)</f>
        <v>0</v>
      </c>
      <c r="GRQ50" s="108" t="s">
        <v>99</v>
      </c>
      <c r="GRS50" s="108" t="s">
        <v>63</v>
      </c>
      <c r="GSF50" s="108">
        <f t="shared" ref="GSF50:GSF51" si="677">SUM(GRT50:GSE50)</f>
        <v>0</v>
      </c>
      <c r="GSW50" s="108" t="s">
        <v>99</v>
      </c>
      <c r="GSY50" s="108" t="s">
        <v>63</v>
      </c>
      <c r="GTL50" s="108">
        <f t="shared" ref="GTL50:GTL51" si="678">SUM(GSZ50:GTK50)</f>
        <v>0</v>
      </c>
      <c r="GUC50" s="108" t="s">
        <v>99</v>
      </c>
      <c r="GUE50" s="108" t="s">
        <v>63</v>
      </c>
      <c r="GUR50" s="108">
        <f t="shared" ref="GUR50:GUR51" si="679">SUM(GUF50:GUQ50)</f>
        <v>0</v>
      </c>
      <c r="GVI50" s="108" t="s">
        <v>99</v>
      </c>
      <c r="GVK50" s="108" t="s">
        <v>63</v>
      </c>
      <c r="GVX50" s="108">
        <f t="shared" ref="GVX50:GVX51" si="680">SUM(GVL50:GVW50)</f>
        <v>0</v>
      </c>
      <c r="GWO50" s="108" t="s">
        <v>99</v>
      </c>
      <c r="GWQ50" s="108" t="s">
        <v>63</v>
      </c>
      <c r="GXD50" s="108">
        <f t="shared" ref="GXD50:GXD51" si="681">SUM(GWR50:GXC50)</f>
        <v>0</v>
      </c>
      <c r="GXU50" s="108" t="s">
        <v>99</v>
      </c>
      <c r="GXW50" s="108" t="s">
        <v>63</v>
      </c>
      <c r="GYJ50" s="108">
        <f t="shared" ref="GYJ50:GYJ51" si="682">SUM(GXX50:GYI50)</f>
        <v>0</v>
      </c>
      <c r="GZA50" s="108" t="s">
        <v>99</v>
      </c>
      <c r="GZC50" s="108" t="s">
        <v>63</v>
      </c>
      <c r="GZP50" s="108">
        <f t="shared" ref="GZP50:GZP51" si="683">SUM(GZD50:GZO50)</f>
        <v>0</v>
      </c>
      <c r="HAG50" s="108" t="s">
        <v>99</v>
      </c>
      <c r="HAI50" s="108" t="s">
        <v>63</v>
      </c>
      <c r="HAV50" s="108">
        <f t="shared" ref="HAV50:HAV51" si="684">SUM(HAJ50:HAU50)</f>
        <v>0</v>
      </c>
      <c r="HBM50" s="108" t="s">
        <v>99</v>
      </c>
      <c r="HBO50" s="108" t="s">
        <v>63</v>
      </c>
      <c r="HCB50" s="108">
        <f t="shared" ref="HCB50:HCB51" si="685">SUM(HBP50:HCA50)</f>
        <v>0</v>
      </c>
      <c r="HCS50" s="108" t="s">
        <v>99</v>
      </c>
      <c r="HCU50" s="108" t="s">
        <v>63</v>
      </c>
      <c r="HDH50" s="108">
        <f t="shared" ref="HDH50:HDH51" si="686">SUM(HCV50:HDG50)</f>
        <v>0</v>
      </c>
      <c r="HDY50" s="108" t="s">
        <v>99</v>
      </c>
      <c r="HEA50" s="108" t="s">
        <v>63</v>
      </c>
      <c r="HEN50" s="108">
        <f t="shared" ref="HEN50:HEN51" si="687">SUM(HEB50:HEM50)</f>
        <v>0</v>
      </c>
      <c r="HFE50" s="108" t="s">
        <v>99</v>
      </c>
      <c r="HFG50" s="108" t="s">
        <v>63</v>
      </c>
      <c r="HFT50" s="108">
        <f t="shared" ref="HFT50:HFT51" si="688">SUM(HFH50:HFS50)</f>
        <v>0</v>
      </c>
      <c r="HGK50" s="108" t="s">
        <v>99</v>
      </c>
      <c r="HGM50" s="108" t="s">
        <v>63</v>
      </c>
      <c r="HGZ50" s="108">
        <f t="shared" ref="HGZ50:HGZ51" si="689">SUM(HGN50:HGY50)</f>
        <v>0</v>
      </c>
      <c r="HHQ50" s="108" t="s">
        <v>99</v>
      </c>
      <c r="HHS50" s="108" t="s">
        <v>63</v>
      </c>
      <c r="HIF50" s="108">
        <f t="shared" ref="HIF50:HIF51" si="690">SUM(HHT50:HIE50)</f>
        <v>0</v>
      </c>
      <c r="HIW50" s="108" t="s">
        <v>99</v>
      </c>
      <c r="HIY50" s="108" t="s">
        <v>63</v>
      </c>
      <c r="HJL50" s="108">
        <f t="shared" ref="HJL50:HJL51" si="691">SUM(HIZ50:HJK50)</f>
        <v>0</v>
      </c>
      <c r="HKC50" s="108" t="s">
        <v>99</v>
      </c>
      <c r="HKE50" s="108" t="s">
        <v>63</v>
      </c>
      <c r="HKR50" s="108">
        <f t="shared" ref="HKR50:HKR51" si="692">SUM(HKF50:HKQ50)</f>
        <v>0</v>
      </c>
      <c r="HLI50" s="108" t="s">
        <v>99</v>
      </c>
      <c r="HLK50" s="108" t="s">
        <v>63</v>
      </c>
      <c r="HLX50" s="108">
        <f t="shared" ref="HLX50:HLX51" si="693">SUM(HLL50:HLW50)</f>
        <v>0</v>
      </c>
      <c r="HMO50" s="108" t="s">
        <v>99</v>
      </c>
      <c r="HMQ50" s="108" t="s">
        <v>63</v>
      </c>
      <c r="HND50" s="108">
        <f t="shared" ref="HND50:HND51" si="694">SUM(HMR50:HNC50)</f>
        <v>0</v>
      </c>
      <c r="HNU50" s="108" t="s">
        <v>99</v>
      </c>
      <c r="HNW50" s="108" t="s">
        <v>63</v>
      </c>
      <c r="HOJ50" s="108">
        <f t="shared" ref="HOJ50:HOJ51" si="695">SUM(HNX50:HOI50)</f>
        <v>0</v>
      </c>
      <c r="HPA50" s="108" t="s">
        <v>99</v>
      </c>
      <c r="HPC50" s="108" t="s">
        <v>63</v>
      </c>
      <c r="HPP50" s="108">
        <f t="shared" ref="HPP50:HPP51" si="696">SUM(HPD50:HPO50)</f>
        <v>0</v>
      </c>
      <c r="HQG50" s="108" t="s">
        <v>99</v>
      </c>
      <c r="HQI50" s="108" t="s">
        <v>63</v>
      </c>
      <c r="HQV50" s="108">
        <f t="shared" ref="HQV50:HQV51" si="697">SUM(HQJ50:HQU50)</f>
        <v>0</v>
      </c>
      <c r="HRM50" s="108" t="s">
        <v>99</v>
      </c>
      <c r="HRO50" s="108" t="s">
        <v>63</v>
      </c>
      <c r="HSB50" s="108">
        <f t="shared" ref="HSB50:HSB51" si="698">SUM(HRP50:HSA50)</f>
        <v>0</v>
      </c>
      <c r="HSS50" s="108" t="s">
        <v>99</v>
      </c>
      <c r="HSU50" s="108" t="s">
        <v>63</v>
      </c>
      <c r="HTH50" s="108">
        <f t="shared" ref="HTH50:HTH51" si="699">SUM(HSV50:HTG50)</f>
        <v>0</v>
      </c>
      <c r="HTY50" s="108" t="s">
        <v>99</v>
      </c>
      <c r="HUA50" s="108" t="s">
        <v>63</v>
      </c>
      <c r="HUN50" s="108">
        <f t="shared" ref="HUN50:HUN51" si="700">SUM(HUB50:HUM50)</f>
        <v>0</v>
      </c>
      <c r="HVE50" s="108" t="s">
        <v>99</v>
      </c>
      <c r="HVG50" s="108" t="s">
        <v>63</v>
      </c>
      <c r="HVT50" s="108">
        <f t="shared" ref="HVT50:HVT51" si="701">SUM(HVH50:HVS50)</f>
        <v>0</v>
      </c>
      <c r="HWK50" s="108" t="s">
        <v>99</v>
      </c>
      <c r="HWM50" s="108" t="s">
        <v>63</v>
      </c>
      <c r="HWZ50" s="108">
        <f t="shared" ref="HWZ50:HWZ51" si="702">SUM(HWN50:HWY50)</f>
        <v>0</v>
      </c>
      <c r="HXQ50" s="108" t="s">
        <v>99</v>
      </c>
      <c r="HXS50" s="108" t="s">
        <v>63</v>
      </c>
      <c r="HYF50" s="108">
        <f t="shared" ref="HYF50:HYF51" si="703">SUM(HXT50:HYE50)</f>
        <v>0</v>
      </c>
      <c r="HYW50" s="108" t="s">
        <v>99</v>
      </c>
      <c r="HYY50" s="108" t="s">
        <v>63</v>
      </c>
      <c r="HZL50" s="108">
        <f t="shared" ref="HZL50:HZL51" si="704">SUM(HYZ50:HZK50)</f>
        <v>0</v>
      </c>
      <c r="IAC50" s="108" t="s">
        <v>99</v>
      </c>
      <c r="IAE50" s="108" t="s">
        <v>63</v>
      </c>
      <c r="IAR50" s="108">
        <f t="shared" ref="IAR50:IAR51" si="705">SUM(IAF50:IAQ50)</f>
        <v>0</v>
      </c>
      <c r="IBI50" s="108" t="s">
        <v>99</v>
      </c>
      <c r="IBK50" s="108" t="s">
        <v>63</v>
      </c>
      <c r="IBX50" s="108">
        <f t="shared" ref="IBX50:IBX51" si="706">SUM(IBL50:IBW50)</f>
        <v>0</v>
      </c>
      <c r="ICO50" s="108" t="s">
        <v>99</v>
      </c>
      <c r="ICQ50" s="108" t="s">
        <v>63</v>
      </c>
      <c r="IDD50" s="108">
        <f t="shared" ref="IDD50:IDD51" si="707">SUM(ICR50:IDC50)</f>
        <v>0</v>
      </c>
      <c r="IDU50" s="108" t="s">
        <v>99</v>
      </c>
      <c r="IDW50" s="108" t="s">
        <v>63</v>
      </c>
      <c r="IEJ50" s="108">
        <f t="shared" ref="IEJ50:IEJ51" si="708">SUM(IDX50:IEI50)</f>
        <v>0</v>
      </c>
      <c r="IFA50" s="108" t="s">
        <v>99</v>
      </c>
      <c r="IFC50" s="108" t="s">
        <v>63</v>
      </c>
      <c r="IFP50" s="108">
        <f t="shared" ref="IFP50:IFP51" si="709">SUM(IFD50:IFO50)</f>
        <v>0</v>
      </c>
      <c r="IGG50" s="108" t="s">
        <v>99</v>
      </c>
      <c r="IGI50" s="108" t="s">
        <v>63</v>
      </c>
      <c r="IGV50" s="108">
        <f t="shared" ref="IGV50:IGV51" si="710">SUM(IGJ50:IGU50)</f>
        <v>0</v>
      </c>
      <c r="IHM50" s="108" t="s">
        <v>99</v>
      </c>
      <c r="IHO50" s="108" t="s">
        <v>63</v>
      </c>
      <c r="IIB50" s="108">
        <f t="shared" ref="IIB50:IIB51" si="711">SUM(IHP50:IIA50)</f>
        <v>0</v>
      </c>
      <c r="IIS50" s="108" t="s">
        <v>99</v>
      </c>
      <c r="IIU50" s="108" t="s">
        <v>63</v>
      </c>
      <c r="IJH50" s="108">
        <f t="shared" ref="IJH50:IJH51" si="712">SUM(IIV50:IJG50)</f>
        <v>0</v>
      </c>
      <c r="IJY50" s="108" t="s">
        <v>99</v>
      </c>
      <c r="IKA50" s="108" t="s">
        <v>63</v>
      </c>
      <c r="IKN50" s="108">
        <f t="shared" ref="IKN50:IKN51" si="713">SUM(IKB50:IKM50)</f>
        <v>0</v>
      </c>
      <c r="ILE50" s="108" t="s">
        <v>99</v>
      </c>
      <c r="ILG50" s="108" t="s">
        <v>63</v>
      </c>
      <c r="ILT50" s="108">
        <f t="shared" ref="ILT50:ILT51" si="714">SUM(ILH50:ILS50)</f>
        <v>0</v>
      </c>
      <c r="IMK50" s="108" t="s">
        <v>99</v>
      </c>
      <c r="IMM50" s="108" t="s">
        <v>63</v>
      </c>
      <c r="IMZ50" s="108">
        <f t="shared" ref="IMZ50:IMZ51" si="715">SUM(IMN50:IMY50)</f>
        <v>0</v>
      </c>
      <c r="INQ50" s="108" t="s">
        <v>99</v>
      </c>
      <c r="INS50" s="108" t="s">
        <v>63</v>
      </c>
      <c r="IOF50" s="108">
        <f t="shared" ref="IOF50:IOF51" si="716">SUM(INT50:IOE50)</f>
        <v>0</v>
      </c>
      <c r="IOW50" s="108" t="s">
        <v>99</v>
      </c>
      <c r="IOY50" s="108" t="s">
        <v>63</v>
      </c>
      <c r="IPL50" s="108">
        <f t="shared" ref="IPL50:IPL51" si="717">SUM(IOZ50:IPK50)</f>
        <v>0</v>
      </c>
      <c r="IQC50" s="108" t="s">
        <v>99</v>
      </c>
      <c r="IQE50" s="108" t="s">
        <v>63</v>
      </c>
      <c r="IQR50" s="108">
        <f t="shared" ref="IQR50:IQR51" si="718">SUM(IQF50:IQQ50)</f>
        <v>0</v>
      </c>
      <c r="IRI50" s="108" t="s">
        <v>99</v>
      </c>
      <c r="IRK50" s="108" t="s">
        <v>63</v>
      </c>
      <c r="IRX50" s="108">
        <f t="shared" ref="IRX50:IRX51" si="719">SUM(IRL50:IRW50)</f>
        <v>0</v>
      </c>
      <c r="ISO50" s="108" t="s">
        <v>99</v>
      </c>
      <c r="ISQ50" s="108" t="s">
        <v>63</v>
      </c>
      <c r="ITD50" s="108">
        <f t="shared" ref="ITD50:ITD51" si="720">SUM(ISR50:ITC50)</f>
        <v>0</v>
      </c>
      <c r="ITU50" s="108" t="s">
        <v>99</v>
      </c>
      <c r="ITW50" s="108" t="s">
        <v>63</v>
      </c>
      <c r="IUJ50" s="108">
        <f t="shared" ref="IUJ50:IUJ51" si="721">SUM(ITX50:IUI50)</f>
        <v>0</v>
      </c>
      <c r="IVA50" s="108" t="s">
        <v>99</v>
      </c>
      <c r="IVC50" s="108" t="s">
        <v>63</v>
      </c>
      <c r="IVP50" s="108">
        <f t="shared" ref="IVP50:IVP51" si="722">SUM(IVD50:IVO50)</f>
        <v>0</v>
      </c>
      <c r="IWG50" s="108" t="s">
        <v>99</v>
      </c>
      <c r="IWI50" s="108" t="s">
        <v>63</v>
      </c>
      <c r="IWV50" s="108">
        <f t="shared" ref="IWV50:IWV51" si="723">SUM(IWJ50:IWU50)</f>
        <v>0</v>
      </c>
      <c r="IXM50" s="108" t="s">
        <v>99</v>
      </c>
      <c r="IXO50" s="108" t="s">
        <v>63</v>
      </c>
      <c r="IYB50" s="108">
        <f t="shared" ref="IYB50:IYB51" si="724">SUM(IXP50:IYA50)</f>
        <v>0</v>
      </c>
      <c r="IYS50" s="108" t="s">
        <v>99</v>
      </c>
      <c r="IYU50" s="108" t="s">
        <v>63</v>
      </c>
      <c r="IZH50" s="108">
        <f t="shared" ref="IZH50:IZH51" si="725">SUM(IYV50:IZG50)</f>
        <v>0</v>
      </c>
      <c r="IZY50" s="108" t="s">
        <v>99</v>
      </c>
      <c r="JAA50" s="108" t="s">
        <v>63</v>
      </c>
      <c r="JAN50" s="108">
        <f t="shared" ref="JAN50:JAN51" si="726">SUM(JAB50:JAM50)</f>
        <v>0</v>
      </c>
      <c r="JBE50" s="108" t="s">
        <v>99</v>
      </c>
      <c r="JBG50" s="108" t="s">
        <v>63</v>
      </c>
      <c r="JBT50" s="108">
        <f t="shared" ref="JBT50:JBT51" si="727">SUM(JBH50:JBS50)</f>
        <v>0</v>
      </c>
      <c r="JCK50" s="108" t="s">
        <v>99</v>
      </c>
      <c r="JCM50" s="108" t="s">
        <v>63</v>
      </c>
      <c r="JCZ50" s="108">
        <f t="shared" ref="JCZ50:JCZ51" si="728">SUM(JCN50:JCY50)</f>
        <v>0</v>
      </c>
      <c r="JDQ50" s="108" t="s">
        <v>99</v>
      </c>
      <c r="JDS50" s="108" t="s">
        <v>63</v>
      </c>
      <c r="JEF50" s="108">
        <f t="shared" ref="JEF50:JEF51" si="729">SUM(JDT50:JEE50)</f>
        <v>0</v>
      </c>
      <c r="JEW50" s="108" t="s">
        <v>99</v>
      </c>
      <c r="JEY50" s="108" t="s">
        <v>63</v>
      </c>
      <c r="JFL50" s="108">
        <f t="shared" ref="JFL50:JFL51" si="730">SUM(JEZ50:JFK50)</f>
        <v>0</v>
      </c>
      <c r="JGC50" s="108" t="s">
        <v>99</v>
      </c>
      <c r="JGE50" s="108" t="s">
        <v>63</v>
      </c>
      <c r="JGR50" s="108">
        <f t="shared" ref="JGR50:JGR51" si="731">SUM(JGF50:JGQ50)</f>
        <v>0</v>
      </c>
      <c r="JHI50" s="108" t="s">
        <v>99</v>
      </c>
      <c r="JHK50" s="108" t="s">
        <v>63</v>
      </c>
      <c r="JHX50" s="108">
        <f t="shared" ref="JHX50:JHX51" si="732">SUM(JHL50:JHW50)</f>
        <v>0</v>
      </c>
      <c r="JIO50" s="108" t="s">
        <v>99</v>
      </c>
      <c r="JIQ50" s="108" t="s">
        <v>63</v>
      </c>
      <c r="JJD50" s="108">
        <f t="shared" ref="JJD50:JJD51" si="733">SUM(JIR50:JJC50)</f>
        <v>0</v>
      </c>
      <c r="JJU50" s="108" t="s">
        <v>99</v>
      </c>
      <c r="JJW50" s="108" t="s">
        <v>63</v>
      </c>
      <c r="JKJ50" s="108">
        <f t="shared" ref="JKJ50:JKJ51" si="734">SUM(JJX50:JKI50)</f>
        <v>0</v>
      </c>
      <c r="JLA50" s="108" t="s">
        <v>99</v>
      </c>
      <c r="JLC50" s="108" t="s">
        <v>63</v>
      </c>
      <c r="JLP50" s="108">
        <f t="shared" ref="JLP50:JLP51" si="735">SUM(JLD50:JLO50)</f>
        <v>0</v>
      </c>
      <c r="JMG50" s="108" t="s">
        <v>99</v>
      </c>
      <c r="JMI50" s="108" t="s">
        <v>63</v>
      </c>
      <c r="JMV50" s="108">
        <f t="shared" ref="JMV50:JMV51" si="736">SUM(JMJ50:JMU50)</f>
        <v>0</v>
      </c>
      <c r="JNM50" s="108" t="s">
        <v>99</v>
      </c>
      <c r="JNO50" s="108" t="s">
        <v>63</v>
      </c>
      <c r="JOB50" s="108">
        <f t="shared" ref="JOB50:JOB51" si="737">SUM(JNP50:JOA50)</f>
        <v>0</v>
      </c>
      <c r="JOS50" s="108" t="s">
        <v>99</v>
      </c>
      <c r="JOU50" s="108" t="s">
        <v>63</v>
      </c>
      <c r="JPH50" s="108">
        <f t="shared" ref="JPH50:JPH51" si="738">SUM(JOV50:JPG50)</f>
        <v>0</v>
      </c>
      <c r="JPY50" s="108" t="s">
        <v>99</v>
      </c>
      <c r="JQA50" s="108" t="s">
        <v>63</v>
      </c>
      <c r="JQN50" s="108">
        <f t="shared" ref="JQN50:JQN51" si="739">SUM(JQB50:JQM50)</f>
        <v>0</v>
      </c>
      <c r="JRE50" s="108" t="s">
        <v>99</v>
      </c>
      <c r="JRG50" s="108" t="s">
        <v>63</v>
      </c>
      <c r="JRT50" s="108">
        <f t="shared" ref="JRT50:JRT51" si="740">SUM(JRH50:JRS50)</f>
        <v>0</v>
      </c>
      <c r="JSK50" s="108" t="s">
        <v>99</v>
      </c>
      <c r="JSM50" s="108" t="s">
        <v>63</v>
      </c>
      <c r="JSZ50" s="108">
        <f t="shared" ref="JSZ50:JSZ51" si="741">SUM(JSN50:JSY50)</f>
        <v>0</v>
      </c>
      <c r="JTQ50" s="108" t="s">
        <v>99</v>
      </c>
      <c r="JTS50" s="108" t="s">
        <v>63</v>
      </c>
      <c r="JUF50" s="108">
        <f t="shared" ref="JUF50:JUF51" si="742">SUM(JTT50:JUE50)</f>
        <v>0</v>
      </c>
      <c r="JUW50" s="108" t="s">
        <v>99</v>
      </c>
      <c r="JUY50" s="108" t="s">
        <v>63</v>
      </c>
      <c r="JVL50" s="108">
        <f t="shared" ref="JVL50:JVL51" si="743">SUM(JUZ50:JVK50)</f>
        <v>0</v>
      </c>
      <c r="JWC50" s="108" t="s">
        <v>99</v>
      </c>
      <c r="JWE50" s="108" t="s">
        <v>63</v>
      </c>
      <c r="JWR50" s="108">
        <f t="shared" ref="JWR50:JWR51" si="744">SUM(JWF50:JWQ50)</f>
        <v>0</v>
      </c>
      <c r="JXI50" s="108" t="s">
        <v>99</v>
      </c>
      <c r="JXK50" s="108" t="s">
        <v>63</v>
      </c>
      <c r="JXX50" s="108">
        <f t="shared" ref="JXX50:JXX51" si="745">SUM(JXL50:JXW50)</f>
        <v>0</v>
      </c>
      <c r="JYO50" s="108" t="s">
        <v>99</v>
      </c>
      <c r="JYQ50" s="108" t="s">
        <v>63</v>
      </c>
      <c r="JZD50" s="108">
        <f t="shared" ref="JZD50:JZD51" si="746">SUM(JYR50:JZC50)</f>
        <v>0</v>
      </c>
      <c r="JZU50" s="108" t="s">
        <v>99</v>
      </c>
      <c r="JZW50" s="108" t="s">
        <v>63</v>
      </c>
      <c r="KAJ50" s="108">
        <f t="shared" ref="KAJ50:KAJ51" si="747">SUM(JZX50:KAI50)</f>
        <v>0</v>
      </c>
      <c r="KBA50" s="108" t="s">
        <v>99</v>
      </c>
      <c r="KBC50" s="108" t="s">
        <v>63</v>
      </c>
      <c r="KBP50" s="108">
        <f t="shared" ref="KBP50:KBP51" si="748">SUM(KBD50:KBO50)</f>
        <v>0</v>
      </c>
      <c r="KCG50" s="108" t="s">
        <v>99</v>
      </c>
      <c r="KCI50" s="108" t="s">
        <v>63</v>
      </c>
      <c r="KCV50" s="108">
        <f t="shared" ref="KCV50:KCV51" si="749">SUM(KCJ50:KCU50)</f>
        <v>0</v>
      </c>
      <c r="KDM50" s="108" t="s">
        <v>99</v>
      </c>
      <c r="KDO50" s="108" t="s">
        <v>63</v>
      </c>
      <c r="KEB50" s="108">
        <f t="shared" ref="KEB50:KEB51" si="750">SUM(KDP50:KEA50)</f>
        <v>0</v>
      </c>
      <c r="KES50" s="108" t="s">
        <v>99</v>
      </c>
      <c r="KEU50" s="108" t="s">
        <v>63</v>
      </c>
      <c r="KFH50" s="108">
        <f t="shared" ref="KFH50:KFH51" si="751">SUM(KEV50:KFG50)</f>
        <v>0</v>
      </c>
      <c r="KFY50" s="108" t="s">
        <v>99</v>
      </c>
      <c r="KGA50" s="108" t="s">
        <v>63</v>
      </c>
      <c r="KGN50" s="108">
        <f t="shared" ref="KGN50:KGN51" si="752">SUM(KGB50:KGM50)</f>
        <v>0</v>
      </c>
      <c r="KHE50" s="108" t="s">
        <v>99</v>
      </c>
      <c r="KHG50" s="108" t="s">
        <v>63</v>
      </c>
      <c r="KHT50" s="108">
        <f t="shared" ref="KHT50:KHT51" si="753">SUM(KHH50:KHS50)</f>
        <v>0</v>
      </c>
      <c r="KIK50" s="108" t="s">
        <v>99</v>
      </c>
      <c r="KIM50" s="108" t="s">
        <v>63</v>
      </c>
      <c r="KIZ50" s="108">
        <f t="shared" ref="KIZ50:KIZ51" si="754">SUM(KIN50:KIY50)</f>
        <v>0</v>
      </c>
      <c r="KJQ50" s="108" t="s">
        <v>99</v>
      </c>
      <c r="KJS50" s="108" t="s">
        <v>63</v>
      </c>
      <c r="KKF50" s="108">
        <f t="shared" ref="KKF50:KKF51" si="755">SUM(KJT50:KKE50)</f>
        <v>0</v>
      </c>
      <c r="KKW50" s="108" t="s">
        <v>99</v>
      </c>
      <c r="KKY50" s="108" t="s">
        <v>63</v>
      </c>
      <c r="KLL50" s="108">
        <f t="shared" ref="KLL50:KLL51" si="756">SUM(KKZ50:KLK50)</f>
        <v>0</v>
      </c>
      <c r="KMC50" s="108" t="s">
        <v>99</v>
      </c>
      <c r="KME50" s="108" t="s">
        <v>63</v>
      </c>
      <c r="KMR50" s="108">
        <f t="shared" ref="KMR50:KMR51" si="757">SUM(KMF50:KMQ50)</f>
        <v>0</v>
      </c>
      <c r="KNI50" s="108" t="s">
        <v>99</v>
      </c>
      <c r="KNK50" s="108" t="s">
        <v>63</v>
      </c>
      <c r="KNX50" s="108">
        <f t="shared" ref="KNX50:KNX51" si="758">SUM(KNL50:KNW50)</f>
        <v>0</v>
      </c>
      <c r="KOO50" s="108" t="s">
        <v>99</v>
      </c>
      <c r="KOQ50" s="108" t="s">
        <v>63</v>
      </c>
      <c r="KPD50" s="108">
        <f t="shared" ref="KPD50:KPD51" si="759">SUM(KOR50:KPC50)</f>
        <v>0</v>
      </c>
      <c r="KPU50" s="108" t="s">
        <v>99</v>
      </c>
      <c r="KPW50" s="108" t="s">
        <v>63</v>
      </c>
      <c r="KQJ50" s="108">
        <f t="shared" ref="KQJ50:KQJ51" si="760">SUM(KPX50:KQI50)</f>
        <v>0</v>
      </c>
      <c r="KRA50" s="108" t="s">
        <v>99</v>
      </c>
      <c r="KRC50" s="108" t="s">
        <v>63</v>
      </c>
      <c r="KRP50" s="108">
        <f t="shared" ref="KRP50:KRP51" si="761">SUM(KRD50:KRO50)</f>
        <v>0</v>
      </c>
      <c r="KSG50" s="108" t="s">
        <v>99</v>
      </c>
      <c r="KSI50" s="108" t="s">
        <v>63</v>
      </c>
      <c r="KSV50" s="108">
        <f t="shared" ref="KSV50:KSV51" si="762">SUM(KSJ50:KSU50)</f>
        <v>0</v>
      </c>
      <c r="KTM50" s="108" t="s">
        <v>99</v>
      </c>
      <c r="KTO50" s="108" t="s">
        <v>63</v>
      </c>
      <c r="KUB50" s="108">
        <f t="shared" ref="KUB50:KUB51" si="763">SUM(KTP50:KUA50)</f>
        <v>0</v>
      </c>
      <c r="KUS50" s="108" t="s">
        <v>99</v>
      </c>
      <c r="KUU50" s="108" t="s">
        <v>63</v>
      </c>
      <c r="KVH50" s="108">
        <f t="shared" ref="KVH50:KVH51" si="764">SUM(KUV50:KVG50)</f>
        <v>0</v>
      </c>
      <c r="KVY50" s="108" t="s">
        <v>99</v>
      </c>
      <c r="KWA50" s="108" t="s">
        <v>63</v>
      </c>
      <c r="KWN50" s="108">
        <f t="shared" ref="KWN50:KWN51" si="765">SUM(KWB50:KWM50)</f>
        <v>0</v>
      </c>
      <c r="KXE50" s="108" t="s">
        <v>99</v>
      </c>
      <c r="KXG50" s="108" t="s">
        <v>63</v>
      </c>
      <c r="KXT50" s="108">
        <f t="shared" ref="KXT50:KXT51" si="766">SUM(KXH50:KXS50)</f>
        <v>0</v>
      </c>
      <c r="KYK50" s="108" t="s">
        <v>99</v>
      </c>
      <c r="KYM50" s="108" t="s">
        <v>63</v>
      </c>
      <c r="KYZ50" s="108">
        <f t="shared" ref="KYZ50:KYZ51" si="767">SUM(KYN50:KYY50)</f>
        <v>0</v>
      </c>
      <c r="KZQ50" s="108" t="s">
        <v>99</v>
      </c>
      <c r="KZS50" s="108" t="s">
        <v>63</v>
      </c>
      <c r="LAF50" s="108">
        <f t="shared" ref="LAF50:LAF51" si="768">SUM(KZT50:LAE50)</f>
        <v>0</v>
      </c>
      <c r="LAW50" s="108" t="s">
        <v>99</v>
      </c>
      <c r="LAY50" s="108" t="s">
        <v>63</v>
      </c>
      <c r="LBL50" s="108">
        <f t="shared" ref="LBL50:LBL51" si="769">SUM(LAZ50:LBK50)</f>
        <v>0</v>
      </c>
      <c r="LCC50" s="108" t="s">
        <v>99</v>
      </c>
      <c r="LCE50" s="108" t="s">
        <v>63</v>
      </c>
      <c r="LCR50" s="108">
        <f t="shared" ref="LCR50:LCR51" si="770">SUM(LCF50:LCQ50)</f>
        <v>0</v>
      </c>
      <c r="LDI50" s="108" t="s">
        <v>99</v>
      </c>
      <c r="LDK50" s="108" t="s">
        <v>63</v>
      </c>
      <c r="LDX50" s="108">
        <f t="shared" ref="LDX50:LDX51" si="771">SUM(LDL50:LDW50)</f>
        <v>0</v>
      </c>
      <c r="LEO50" s="108" t="s">
        <v>99</v>
      </c>
      <c r="LEQ50" s="108" t="s">
        <v>63</v>
      </c>
      <c r="LFD50" s="108">
        <f t="shared" ref="LFD50:LFD51" si="772">SUM(LER50:LFC50)</f>
        <v>0</v>
      </c>
      <c r="LFU50" s="108" t="s">
        <v>99</v>
      </c>
      <c r="LFW50" s="108" t="s">
        <v>63</v>
      </c>
      <c r="LGJ50" s="108">
        <f t="shared" ref="LGJ50:LGJ51" si="773">SUM(LFX50:LGI50)</f>
        <v>0</v>
      </c>
      <c r="LHA50" s="108" t="s">
        <v>99</v>
      </c>
      <c r="LHC50" s="108" t="s">
        <v>63</v>
      </c>
      <c r="LHP50" s="108">
        <f t="shared" ref="LHP50:LHP51" si="774">SUM(LHD50:LHO50)</f>
        <v>0</v>
      </c>
      <c r="LIG50" s="108" t="s">
        <v>99</v>
      </c>
      <c r="LII50" s="108" t="s">
        <v>63</v>
      </c>
      <c r="LIV50" s="108">
        <f t="shared" ref="LIV50:LIV51" si="775">SUM(LIJ50:LIU50)</f>
        <v>0</v>
      </c>
      <c r="LJM50" s="108" t="s">
        <v>99</v>
      </c>
      <c r="LJO50" s="108" t="s">
        <v>63</v>
      </c>
      <c r="LKB50" s="108">
        <f t="shared" ref="LKB50:LKB51" si="776">SUM(LJP50:LKA50)</f>
        <v>0</v>
      </c>
      <c r="LKS50" s="108" t="s">
        <v>99</v>
      </c>
      <c r="LKU50" s="108" t="s">
        <v>63</v>
      </c>
      <c r="LLH50" s="108">
        <f t="shared" ref="LLH50:LLH51" si="777">SUM(LKV50:LLG50)</f>
        <v>0</v>
      </c>
      <c r="LLY50" s="108" t="s">
        <v>99</v>
      </c>
      <c r="LMA50" s="108" t="s">
        <v>63</v>
      </c>
      <c r="LMN50" s="108">
        <f t="shared" ref="LMN50:LMN51" si="778">SUM(LMB50:LMM50)</f>
        <v>0</v>
      </c>
      <c r="LNE50" s="108" t="s">
        <v>99</v>
      </c>
      <c r="LNG50" s="108" t="s">
        <v>63</v>
      </c>
      <c r="LNT50" s="108">
        <f t="shared" ref="LNT50:LNT51" si="779">SUM(LNH50:LNS50)</f>
        <v>0</v>
      </c>
      <c r="LOK50" s="108" t="s">
        <v>99</v>
      </c>
      <c r="LOM50" s="108" t="s">
        <v>63</v>
      </c>
      <c r="LOZ50" s="108">
        <f t="shared" ref="LOZ50:LOZ51" si="780">SUM(LON50:LOY50)</f>
        <v>0</v>
      </c>
      <c r="LPQ50" s="108" t="s">
        <v>99</v>
      </c>
      <c r="LPS50" s="108" t="s">
        <v>63</v>
      </c>
      <c r="LQF50" s="108">
        <f t="shared" ref="LQF50:LQF51" si="781">SUM(LPT50:LQE50)</f>
        <v>0</v>
      </c>
      <c r="LQW50" s="108" t="s">
        <v>99</v>
      </c>
      <c r="LQY50" s="108" t="s">
        <v>63</v>
      </c>
      <c r="LRL50" s="108">
        <f t="shared" ref="LRL50:LRL51" si="782">SUM(LQZ50:LRK50)</f>
        <v>0</v>
      </c>
      <c r="LSC50" s="108" t="s">
        <v>99</v>
      </c>
      <c r="LSE50" s="108" t="s">
        <v>63</v>
      </c>
      <c r="LSR50" s="108">
        <f t="shared" ref="LSR50:LSR51" si="783">SUM(LSF50:LSQ50)</f>
        <v>0</v>
      </c>
      <c r="LTI50" s="108" t="s">
        <v>99</v>
      </c>
      <c r="LTK50" s="108" t="s">
        <v>63</v>
      </c>
      <c r="LTX50" s="108">
        <f t="shared" ref="LTX50:LTX51" si="784">SUM(LTL50:LTW50)</f>
        <v>0</v>
      </c>
      <c r="LUO50" s="108" t="s">
        <v>99</v>
      </c>
      <c r="LUQ50" s="108" t="s">
        <v>63</v>
      </c>
      <c r="LVD50" s="108">
        <f t="shared" ref="LVD50:LVD51" si="785">SUM(LUR50:LVC50)</f>
        <v>0</v>
      </c>
      <c r="LVU50" s="108" t="s">
        <v>99</v>
      </c>
      <c r="LVW50" s="108" t="s">
        <v>63</v>
      </c>
      <c r="LWJ50" s="108">
        <f t="shared" ref="LWJ50:LWJ51" si="786">SUM(LVX50:LWI50)</f>
        <v>0</v>
      </c>
      <c r="LXA50" s="108" t="s">
        <v>99</v>
      </c>
      <c r="LXC50" s="108" t="s">
        <v>63</v>
      </c>
      <c r="LXP50" s="108">
        <f t="shared" ref="LXP50:LXP51" si="787">SUM(LXD50:LXO50)</f>
        <v>0</v>
      </c>
      <c r="LYG50" s="108" t="s">
        <v>99</v>
      </c>
      <c r="LYI50" s="108" t="s">
        <v>63</v>
      </c>
      <c r="LYV50" s="108">
        <f t="shared" ref="LYV50:LYV51" si="788">SUM(LYJ50:LYU50)</f>
        <v>0</v>
      </c>
      <c r="LZM50" s="108" t="s">
        <v>99</v>
      </c>
      <c r="LZO50" s="108" t="s">
        <v>63</v>
      </c>
      <c r="MAB50" s="108">
        <f t="shared" ref="MAB50:MAB51" si="789">SUM(LZP50:MAA50)</f>
        <v>0</v>
      </c>
      <c r="MAS50" s="108" t="s">
        <v>99</v>
      </c>
      <c r="MAU50" s="108" t="s">
        <v>63</v>
      </c>
      <c r="MBH50" s="108">
        <f t="shared" ref="MBH50:MBH51" si="790">SUM(MAV50:MBG50)</f>
        <v>0</v>
      </c>
      <c r="MBY50" s="108" t="s">
        <v>99</v>
      </c>
      <c r="MCA50" s="108" t="s">
        <v>63</v>
      </c>
      <c r="MCN50" s="108">
        <f t="shared" ref="MCN50:MCN51" si="791">SUM(MCB50:MCM50)</f>
        <v>0</v>
      </c>
      <c r="MDE50" s="108" t="s">
        <v>99</v>
      </c>
      <c r="MDG50" s="108" t="s">
        <v>63</v>
      </c>
      <c r="MDT50" s="108">
        <f t="shared" ref="MDT50:MDT51" si="792">SUM(MDH50:MDS50)</f>
        <v>0</v>
      </c>
      <c r="MEK50" s="108" t="s">
        <v>99</v>
      </c>
      <c r="MEM50" s="108" t="s">
        <v>63</v>
      </c>
      <c r="MEZ50" s="108">
        <f t="shared" ref="MEZ50:MEZ51" si="793">SUM(MEN50:MEY50)</f>
        <v>0</v>
      </c>
      <c r="MFQ50" s="108" t="s">
        <v>99</v>
      </c>
      <c r="MFS50" s="108" t="s">
        <v>63</v>
      </c>
      <c r="MGF50" s="108">
        <f t="shared" ref="MGF50:MGF51" si="794">SUM(MFT50:MGE50)</f>
        <v>0</v>
      </c>
      <c r="MGW50" s="108" t="s">
        <v>99</v>
      </c>
      <c r="MGY50" s="108" t="s">
        <v>63</v>
      </c>
      <c r="MHL50" s="108">
        <f t="shared" ref="MHL50:MHL51" si="795">SUM(MGZ50:MHK50)</f>
        <v>0</v>
      </c>
      <c r="MIC50" s="108" t="s">
        <v>99</v>
      </c>
      <c r="MIE50" s="108" t="s">
        <v>63</v>
      </c>
      <c r="MIR50" s="108">
        <f t="shared" ref="MIR50:MIR51" si="796">SUM(MIF50:MIQ50)</f>
        <v>0</v>
      </c>
      <c r="MJI50" s="108" t="s">
        <v>99</v>
      </c>
      <c r="MJK50" s="108" t="s">
        <v>63</v>
      </c>
      <c r="MJX50" s="108">
        <f t="shared" ref="MJX50:MJX51" si="797">SUM(MJL50:MJW50)</f>
        <v>0</v>
      </c>
      <c r="MKO50" s="108" t="s">
        <v>99</v>
      </c>
      <c r="MKQ50" s="108" t="s">
        <v>63</v>
      </c>
      <c r="MLD50" s="108">
        <f t="shared" ref="MLD50:MLD51" si="798">SUM(MKR50:MLC50)</f>
        <v>0</v>
      </c>
      <c r="MLU50" s="108" t="s">
        <v>99</v>
      </c>
      <c r="MLW50" s="108" t="s">
        <v>63</v>
      </c>
      <c r="MMJ50" s="108">
        <f t="shared" ref="MMJ50:MMJ51" si="799">SUM(MLX50:MMI50)</f>
        <v>0</v>
      </c>
      <c r="MNA50" s="108" t="s">
        <v>99</v>
      </c>
      <c r="MNC50" s="108" t="s">
        <v>63</v>
      </c>
      <c r="MNP50" s="108">
        <f t="shared" ref="MNP50:MNP51" si="800">SUM(MND50:MNO50)</f>
        <v>0</v>
      </c>
      <c r="MOG50" s="108" t="s">
        <v>99</v>
      </c>
      <c r="MOI50" s="108" t="s">
        <v>63</v>
      </c>
      <c r="MOV50" s="108">
        <f t="shared" ref="MOV50:MOV51" si="801">SUM(MOJ50:MOU50)</f>
        <v>0</v>
      </c>
      <c r="MPM50" s="108" t="s">
        <v>99</v>
      </c>
      <c r="MPO50" s="108" t="s">
        <v>63</v>
      </c>
      <c r="MQB50" s="108">
        <f t="shared" ref="MQB50:MQB51" si="802">SUM(MPP50:MQA50)</f>
        <v>0</v>
      </c>
      <c r="MQS50" s="108" t="s">
        <v>99</v>
      </c>
      <c r="MQU50" s="108" t="s">
        <v>63</v>
      </c>
      <c r="MRH50" s="108">
        <f t="shared" ref="MRH50:MRH51" si="803">SUM(MQV50:MRG50)</f>
        <v>0</v>
      </c>
      <c r="MRY50" s="108" t="s">
        <v>99</v>
      </c>
      <c r="MSA50" s="108" t="s">
        <v>63</v>
      </c>
      <c r="MSN50" s="108">
        <f t="shared" ref="MSN50:MSN51" si="804">SUM(MSB50:MSM50)</f>
        <v>0</v>
      </c>
      <c r="MTE50" s="108" t="s">
        <v>99</v>
      </c>
      <c r="MTG50" s="108" t="s">
        <v>63</v>
      </c>
      <c r="MTT50" s="108">
        <f t="shared" ref="MTT50:MTT51" si="805">SUM(MTH50:MTS50)</f>
        <v>0</v>
      </c>
      <c r="MUK50" s="108" t="s">
        <v>99</v>
      </c>
      <c r="MUM50" s="108" t="s">
        <v>63</v>
      </c>
      <c r="MUZ50" s="108">
        <f t="shared" ref="MUZ50:MUZ51" si="806">SUM(MUN50:MUY50)</f>
        <v>0</v>
      </c>
      <c r="MVQ50" s="108" t="s">
        <v>99</v>
      </c>
      <c r="MVS50" s="108" t="s">
        <v>63</v>
      </c>
      <c r="MWF50" s="108">
        <f t="shared" ref="MWF50:MWF51" si="807">SUM(MVT50:MWE50)</f>
        <v>0</v>
      </c>
      <c r="MWW50" s="108" t="s">
        <v>99</v>
      </c>
      <c r="MWY50" s="108" t="s">
        <v>63</v>
      </c>
      <c r="MXL50" s="108">
        <f t="shared" ref="MXL50:MXL51" si="808">SUM(MWZ50:MXK50)</f>
        <v>0</v>
      </c>
      <c r="MYC50" s="108" t="s">
        <v>99</v>
      </c>
      <c r="MYE50" s="108" t="s">
        <v>63</v>
      </c>
      <c r="MYR50" s="108">
        <f t="shared" ref="MYR50:MYR51" si="809">SUM(MYF50:MYQ50)</f>
        <v>0</v>
      </c>
      <c r="MZI50" s="108" t="s">
        <v>99</v>
      </c>
      <c r="MZK50" s="108" t="s">
        <v>63</v>
      </c>
      <c r="MZX50" s="108">
        <f t="shared" ref="MZX50:MZX51" si="810">SUM(MZL50:MZW50)</f>
        <v>0</v>
      </c>
      <c r="NAO50" s="108" t="s">
        <v>99</v>
      </c>
      <c r="NAQ50" s="108" t="s">
        <v>63</v>
      </c>
      <c r="NBD50" s="108">
        <f t="shared" ref="NBD50:NBD51" si="811">SUM(NAR50:NBC50)</f>
        <v>0</v>
      </c>
      <c r="NBU50" s="108" t="s">
        <v>99</v>
      </c>
      <c r="NBW50" s="108" t="s">
        <v>63</v>
      </c>
      <c r="NCJ50" s="108">
        <f t="shared" ref="NCJ50:NCJ51" si="812">SUM(NBX50:NCI50)</f>
        <v>0</v>
      </c>
      <c r="NDA50" s="108" t="s">
        <v>99</v>
      </c>
      <c r="NDC50" s="108" t="s">
        <v>63</v>
      </c>
      <c r="NDP50" s="108">
        <f t="shared" ref="NDP50:NDP51" si="813">SUM(NDD50:NDO50)</f>
        <v>0</v>
      </c>
      <c r="NEG50" s="108" t="s">
        <v>99</v>
      </c>
      <c r="NEI50" s="108" t="s">
        <v>63</v>
      </c>
      <c r="NEV50" s="108">
        <f t="shared" ref="NEV50:NEV51" si="814">SUM(NEJ50:NEU50)</f>
        <v>0</v>
      </c>
      <c r="NFM50" s="108" t="s">
        <v>99</v>
      </c>
      <c r="NFO50" s="108" t="s">
        <v>63</v>
      </c>
      <c r="NGB50" s="108">
        <f t="shared" ref="NGB50:NGB51" si="815">SUM(NFP50:NGA50)</f>
        <v>0</v>
      </c>
      <c r="NGS50" s="108" t="s">
        <v>99</v>
      </c>
      <c r="NGU50" s="108" t="s">
        <v>63</v>
      </c>
      <c r="NHH50" s="108">
        <f t="shared" ref="NHH50:NHH51" si="816">SUM(NGV50:NHG50)</f>
        <v>0</v>
      </c>
      <c r="NHY50" s="108" t="s">
        <v>99</v>
      </c>
      <c r="NIA50" s="108" t="s">
        <v>63</v>
      </c>
      <c r="NIN50" s="108">
        <f t="shared" ref="NIN50:NIN51" si="817">SUM(NIB50:NIM50)</f>
        <v>0</v>
      </c>
      <c r="NJE50" s="108" t="s">
        <v>99</v>
      </c>
      <c r="NJG50" s="108" t="s">
        <v>63</v>
      </c>
      <c r="NJT50" s="108">
        <f t="shared" ref="NJT50:NJT51" si="818">SUM(NJH50:NJS50)</f>
        <v>0</v>
      </c>
      <c r="NKK50" s="108" t="s">
        <v>99</v>
      </c>
      <c r="NKM50" s="108" t="s">
        <v>63</v>
      </c>
      <c r="NKZ50" s="108">
        <f t="shared" ref="NKZ50:NKZ51" si="819">SUM(NKN50:NKY50)</f>
        <v>0</v>
      </c>
      <c r="NLQ50" s="108" t="s">
        <v>99</v>
      </c>
      <c r="NLS50" s="108" t="s">
        <v>63</v>
      </c>
      <c r="NMF50" s="108">
        <f t="shared" ref="NMF50:NMF51" si="820">SUM(NLT50:NME50)</f>
        <v>0</v>
      </c>
      <c r="NMW50" s="108" t="s">
        <v>99</v>
      </c>
      <c r="NMY50" s="108" t="s">
        <v>63</v>
      </c>
      <c r="NNL50" s="108">
        <f t="shared" ref="NNL50:NNL51" si="821">SUM(NMZ50:NNK50)</f>
        <v>0</v>
      </c>
      <c r="NOC50" s="108" t="s">
        <v>99</v>
      </c>
      <c r="NOE50" s="108" t="s">
        <v>63</v>
      </c>
      <c r="NOR50" s="108">
        <f t="shared" ref="NOR50:NOR51" si="822">SUM(NOF50:NOQ50)</f>
        <v>0</v>
      </c>
      <c r="NPI50" s="108" t="s">
        <v>99</v>
      </c>
      <c r="NPK50" s="108" t="s">
        <v>63</v>
      </c>
      <c r="NPX50" s="108">
        <f t="shared" ref="NPX50:NPX51" si="823">SUM(NPL50:NPW50)</f>
        <v>0</v>
      </c>
      <c r="NQO50" s="108" t="s">
        <v>99</v>
      </c>
      <c r="NQQ50" s="108" t="s">
        <v>63</v>
      </c>
      <c r="NRD50" s="108">
        <f t="shared" ref="NRD50:NRD51" si="824">SUM(NQR50:NRC50)</f>
        <v>0</v>
      </c>
      <c r="NRU50" s="108" t="s">
        <v>99</v>
      </c>
      <c r="NRW50" s="108" t="s">
        <v>63</v>
      </c>
      <c r="NSJ50" s="108">
        <f t="shared" ref="NSJ50:NSJ51" si="825">SUM(NRX50:NSI50)</f>
        <v>0</v>
      </c>
      <c r="NTA50" s="108" t="s">
        <v>99</v>
      </c>
      <c r="NTC50" s="108" t="s">
        <v>63</v>
      </c>
      <c r="NTP50" s="108">
        <f t="shared" ref="NTP50:NTP51" si="826">SUM(NTD50:NTO50)</f>
        <v>0</v>
      </c>
      <c r="NUG50" s="108" t="s">
        <v>99</v>
      </c>
      <c r="NUI50" s="108" t="s">
        <v>63</v>
      </c>
      <c r="NUV50" s="108">
        <f t="shared" ref="NUV50:NUV51" si="827">SUM(NUJ50:NUU50)</f>
        <v>0</v>
      </c>
      <c r="NVM50" s="108" t="s">
        <v>99</v>
      </c>
      <c r="NVO50" s="108" t="s">
        <v>63</v>
      </c>
      <c r="NWB50" s="108">
        <f t="shared" ref="NWB50:NWB51" si="828">SUM(NVP50:NWA50)</f>
        <v>0</v>
      </c>
      <c r="NWS50" s="108" t="s">
        <v>99</v>
      </c>
      <c r="NWU50" s="108" t="s">
        <v>63</v>
      </c>
      <c r="NXH50" s="108">
        <f t="shared" ref="NXH50:NXH51" si="829">SUM(NWV50:NXG50)</f>
        <v>0</v>
      </c>
      <c r="NXY50" s="108" t="s">
        <v>99</v>
      </c>
      <c r="NYA50" s="108" t="s">
        <v>63</v>
      </c>
      <c r="NYN50" s="108">
        <f t="shared" ref="NYN50:NYN51" si="830">SUM(NYB50:NYM50)</f>
        <v>0</v>
      </c>
      <c r="NZE50" s="108" t="s">
        <v>99</v>
      </c>
      <c r="NZG50" s="108" t="s">
        <v>63</v>
      </c>
      <c r="NZT50" s="108">
        <f t="shared" ref="NZT50:NZT51" si="831">SUM(NZH50:NZS50)</f>
        <v>0</v>
      </c>
      <c r="OAK50" s="108" t="s">
        <v>99</v>
      </c>
      <c r="OAM50" s="108" t="s">
        <v>63</v>
      </c>
      <c r="OAZ50" s="108">
        <f t="shared" ref="OAZ50:OAZ51" si="832">SUM(OAN50:OAY50)</f>
        <v>0</v>
      </c>
      <c r="OBQ50" s="108" t="s">
        <v>99</v>
      </c>
      <c r="OBS50" s="108" t="s">
        <v>63</v>
      </c>
      <c r="OCF50" s="108">
        <f t="shared" ref="OCF50:OCF51" si="833">SUM(OBT50:OCE50)</f>
        <v>0</v>
      </c>
      <c r="OCW50" s="108" t="s">
        <v>99</v>
      </c>
      <c r="OCY50" s="108" t="s">
        <v>63</v>
      </c>
      <c r="ODL50" s="108">
        <f t="shared" ref="ODL50:ODL51" si="834">SUM(OCZ50:ODK50)</f>
        <v>0</v>
      </c>
      <c r="OEC50" s="108" t="s">
        <v>99</v>
      </c>
      <c r="OEE50" s="108" t="s">
        <v>63</v>
      </c>
      <c r="OER50" s="108">
        <f t="shared" ref="OER50:OER51" si="835">SUM(OEF50:OEQ50)</f>
        <v>0</v>
      </c>
      <c r="OFI50" s="108" t="s">
        <v>99</v>
      </c>
      <c r="OFK50" s="108" t="s">
        <v>63</v>
      </c>
      <c r="OFX50" s="108">
        <f t="shared" ref="OFX50:OFX51" si="836">SUM(OFL50:OFW50)</f>
        <v>0</v>
      </c>
      <c r="OGO50" s="108" t="s">
        <v>99</v>
      </c>
      <c r="OGQ50" s="108" t="s">
        <v>63</v>
      </c>
      <c r="OHD50" s="108">
        <f t="shared" ref="OHD50:OHD51" si="837">SUM(OGR50:OHC50)</f>
        <v>0</v>
      </c>
      <c r="OHU50" s="108" t="s">
        <v>99</v>
      </c>
      <c r="OHW50" s="108" t="s">
        <v>63</v>
      </c>
      <c r="OIJ50" s="108">
        <f t="shared" ref="OIJ50:OIJ51" si="838">SUM(OHX50:OII50)</f>
        <v>0</v>
      </c>
      <c r="OJA50" s="108" t="s">
        <v>99</v>
      </c>
      <c r="OJC50" s="108" t="s">
        <v>63</v>
      </c>
      <c r="OJP50" s="108">
        <f t="shared" ref="OJP50:OJP51" si="839">SUM(OJD50:OJO50)</f>
        <v>0</v>
      </c>
      <c r="OKG50" s="108" t="s">
        <v>99</v>
      </c>
      <c r="OKI50" s="108" t="s">
        <v>63</v>
      </c>
      <c r="OKV50" s="108">
        <f t="shared" ref="OKV50:OKV51" si="840">SUM(OKJ50:OKU50)</f>
        <v>0</v>
      </c>
      <c r="OLM50" s="108" t="s">
        <v>99</v>
      </c>
      <c r="OLO50" s="108" t="s">
        <v>63</v>
      </c>
      <c r="OMB50" s="108">
        <f t="shared" ref="OMB50:OMB51" si="841">SUM(OLP50:OMA50)</f>
        <v>0</v>
      </c>
      <c r="OMS50" s="108" t="s">
        <v>99</v>
      </c>
      <c r="OMU50" s="108" t="s">
        <v>63</v>
      </c>
      <c r="ONH50" s="108">
        <f t="shared" ref="ONH50:ONH51" si="842">SUM(OMV50:ONG50)</f>
        <v>0</v>
      </c>
      <c r="ONY50" s="108" t="s">
        <v>99</v>
      </c>
      <c r="OOA50" s="108" t="s">
        <v>63</v>
      </c>
      <c r="OON50" s="108">
        <f t="shared" ref="OON50:OON51" si="843">SUM(OOB50:OOM50)</f>
        <v>0</v>
      </c>
      <c r="OPE50" s="108" t="s">
        <v>99</v>
      </c>
      <c r="OPG50" s="108" t="s">
        <v>63</v>
      </c>
      <c r="OPT50" s="108">
        <f t="shared" ref="OPT50:OPT51" si="844">SUM(OPH50:OPS50)</f>
        <v>0</v>
      </c>
      <c r="OQK50" s="108" t="s">
        <v>99</v>
      </c>
      <c r="OQM50" s="108" t="s">
        <v>63</v>
      </c>
      <c r="OQZ50" s="108">
        <f t="shared" ref="OQZ50:OQZ51" si="845">SUM(OQN50:OQY50)</f>
        <v>0</v>
      </c>
      <c r="ORQ50" s="108" t="s">
        <v>99</v>
      </c>
      <c r="ORS50" s="108" t="s">
        <v>63</v>
      </c>
      <c r="OSF50" s="108">
        <f t="shared" ref="OSF50:OSF51" si="846">SUM(ORT50:OSE50)</f>
        <v>0</v>
      </c>
      <c r="OSW50" s="108" t="s">
        <v>99</v>
      </c>
      <c r="OSY50" s="108" t="s">
        <v>63</v>
      </c>
      <c r="OTL50" s="108">
        <f t="shared" ref="OTL50:OTL51" si="847">SUM(OSZ50:OTK50)</f>
        <v>0</v>
      </c>
      <c r="OUC50" s="108" t="s">
        <v>99</v>
      </c>
      <c r="OUE50" s="108" t="s">
        <v>63</v>
      </c>
      <c r="OUR50" s="108">
        <f t="shared" ref="OUR50:OUR51" si="848">SUM(OUF50:OUQ50)</f>
        <v>0</v>
      </c>
      <c r="OVI50" s="108" t="s">
        <v>99</v>
      </c>
      <c r="OVK50" s="108" t="s">
        <v>63</v>
      </c>
      <c r="OVX50" s="108">
        <f t="shared" ref="OVX50:OVX51" si="849">SUM(OVL50:OVW50)</f>
        <v>0</v>
      </c>
      <c r="OWO50" s="108" t="s">
        <v>99</v>
      </c>
      <c r="OWQ50" s="108" t="s">
        <v>63</v>
      </c>
      <c r="OXD50" s="108">
        <f t="shared" ref="OXD50:OXD51" si="850">SUM(OWR50:OXC50)</f>
        <v>0</v>
      </c>
      <c r="OXU50" s="108" t="s">
        <v>99</v>
      </c>
      <c r="OXW50" s="108" t="s">
        <v>63</v>
      </c>
      <c r="OYJ50" s="108">
        <f t="shared" ref="OYJ50:OYJ51" si="851">SUM(OXX50:OYI50)</f>
        <v>0</v>
      </c>
      <c r="OZA50" s="108" t="s">
        <v>99</v>
      </c>
      <c r="OZC50" s="108" t="s">
        <v>63</v>
      </c>
      <c r="OZP50" s="108">
        <f t="shared" ref="OZP50:OZP51" si="852">SUM(OZD50:OZO50)</f>
        <v>0</v>
      </c>
      <c r="PAG50" s="108" t="s">
        <v>99</v>
      </c>
      <c r="PAI50" s="108" t="s">
        <v>63</v>
      </c>
      <c r="PAV50" s="108">
        <f t="shared" ref="PAV50:PAV51" si="853">SUM(PAJ50:PAU50)</f>
        <v>0</v>
      </c>
      <c r="PBM50" s="108" t="s">
        <v>99</v>
      </c>
      <c r="PBO50" s="108" t="s">
        <v>63</v>
      </c>
      <c r="PCB50" s="108">
        <f t="shared" ref="PCB50:PCB51" si="854">SUM(PBP50:PCA50)</f>
        <v>0</v>
      </c>
      <c r="PCS50" s="108" t="s">
        <v>99</v>
      </c>
      <c r="PCU50" s="108" t="s">
        <v>63</v>
      </c>
      <c r="PDH50" s="108">
        <f t="shared" ref="PDH50:PDH51" si="855">SUM(PCV50:PDG50)</f>
        <v>0</v>
      </c>
      <c r="PDY50" s="108" t="s">
        <v>99</v>
      </c>
      <c r="PEA50" s="108" t="s">
        <v>63</v>
      </c>
      <c r="PEN50" s="108">
        <f t="shared" ref="PEN50:PEN51" si="856">SUM(PEB50:PEM50)</f>
        <v>0</v>
      </c>
      <c r="PFE50" s="108" t="s">
        <v>99</v>
      </c>
      <c r="PFG50" s="108" t="s">
        <v>63</v>
      </c>
      <c r="PFT50" s="108">
        <f t="shared" ref="PFT50:PFT51" si="857">SUM(PFH50:PFS50)</f>
        <v>0</v>
      </c>
      <c r="PGK50" s="108" t="s">
        <v>99</v>
      </c>
      <c r="PGM50" s="108" t="s">
        <v>63</v>
      </c>
      <c r="PGZ50" s="108">
        <f t="shared" ref="PGZ50:PGZ51" si="858">SUM(PGN50:PGY50)</f>
        <v>0</v>
      </c>
      <c r="PHQ50" s="108" t="s">
        <v>99</v>
      </c>
      <c r="PHS50" s="108" t="s">
        <v>63</v>
      </c>
      <c r="PIF50" s="108">
        <f t="shared" ref="PIF50:PIF51" si="859">SUM(PHT50:PIE50)</f>
        <v>0</v>
      </c>
      <c r="PIW50" s="108" t="s">
        <v>99</v>
      </c>
      <c r="PIY50" s="108" t="s">
        <v>63</v>
      </c>
      <c r="PJL50" s="108">
        <f t="shared" ref="PJL50:PJL51" si="860">SUM(PIZ50:PJK50)</f>
        <v>0</v>
      </c>
      <c r="PKC50" s="108" t="s">
        <v>99</v>
      </c>
      <c r="PKE50" s="108" t="s">
        <v>63</v>
      </c>
      <c r="PKR50" s="108">
        <f t="shared" ref="PKR50:PKR51" si="861">SUM(PKF50:PKQ50)</f>
        <v>0</v>
      </c>
      <c r="PLI50" s="108" t="s">
        <v>99</v>
      </c>
      <c r="PLK50" s="108" t="s">
        <v>63</v>
      </c>
      <c r="PLX50" s="108">
        <f t="shared" ref="PLX50:PLX51" si="862">SUM(PLL50:PLW50)</f>
        <v>0</v>
      </c>
      <c r="PMO50" s="108" t="s">
        <v>99</v>
      </c>
      <c r="PMQ50" s="108" t="s">
        <v>63</v>
      </c>
      <c r="PND50" s="108">
        <f t="shared" ref="PND50:PND51" si="863">SUM(PMR50:PNC50)</f>
        <v>0</v>
      </c>
      <c r="PNU50" s="108" t="s">
        <v>99</v>
      </c>
      <c r="PNW50" s="108" t="s">
        <v>63</v>
      </c>
      <c r="POJ50" s="108">
        <f t="shared" ref="POJ50:POJ51" si="864">SUM(PNX50:POI50)</f>
        <v>0</v>
      </c>
      <c r="PPA50" s="108" t="s">
        <v>99</v>
      </c>
      <c r="PPC50" s="108" t="s">
        <v>63</v>
      </c>
      <c r="PPP50" s="108">
        <f t="shared" ref="PPP50:PPP51" si="865">SUM(PPD50:PPO50)</f>
        <v>0</v>
      </c>
      <c r="PQG50" s="108" t="s">
        <v>99</v>
      </c>
      <c r="PQI50" s="108" t="s">
        <v>63</v>
      </c>
      <c r="PQV50" s="108">
        <f t="shared" ref="PQV50:PQV51" si="866">SUM(PQJ50:PQU50)</f>
        <v>0</v>
      </c>
      <c r="PRM50" s="108" t="s">
        <v>99</v>
      </c>
      <c r="PRO50" s="108" t="s">
        <v>63</v>
      </c>
      <c r="PSB50" s="108">
        <f t="shared" ref="PSB50:PSB51" si="867">SUM(PRP50:PSA50)</f>
        <v>0</v>
      </c>
      <c r="PSS50" s="108" t="s">
        <v>99</v>
      </c>
      <c r="PSU50" s="108" t="s">
        <v>63</v>
      </c>
      <c r="PTH50" s="108">
        <f t="shared" ref="PTH50:PTH51" si="868">SUM(PSV50:PTG50)</f>
        <v>0</v>
      </c>
      <c r="PTY50" s="108" t="s">
        <v>99</v>
      </c>
      <c r="PUA50" s="108" t="s">
        <v>63</v>
      </c>
      <c r="PUN50" s="108">
        <f t="shared" ref="PUN50:PUN51" si="869">SUM(PUB50:PUM50)</f>
        <v>0</v>
      </c>
      <c r="PVE50" s="108" t="s">
        <v>99</v>
      </c>
      <c r="PVG50" s="108" t="s">
        <v>63</v>
      </c>
      <c r="PVT50" s="108">
        <f t="shared" ref="PVT50:PVT51" si="870">SUM(PVH50:PVS50)</f>
        <v>0</v>
      </c>
      <c r="PWK50" s="108" t="s">
        <v>99</v>
      </c>
      <c r="PWM50" s="108" t="s">
        <v>63</v>
      </c>
      <c r="PWZ50" s="108">
        <f t="shared" ref="PWZ50:PWZ51" si="871">SUM(PWN50:PWY50)</f>
        <v>0</v>
      </c>
      <c r="PXQ50" s="108" t="s">
        <v>99</v>
      </c>
      <c r="PXS50" s="108" t="s">
        <v>63</v>
      </c>
      <c r="PYF50" s="108">
        <f t="shared" ref="PYF50:PYF51" si="872">SUM(PXT50:PYE50)</f>
        <v>0</v>
      </c>
      <c r="PYW50" s="108" t="s">
        <v>99</v>
      </c>
      <c r="PYY50" s="108" t="s">
        <v>63</v>
      </c>
      <c r="PZL50" s="108">
        <f t="shared" ref="PZL50:PZL51" si="873">SUM(PYZ50:PZK50)</f>
        <v>0</v>
      </c>
      <c r="QAC50" s="108" t="s">
        <v>99</v>
      </c>
      <c r="QAE50" s="108" t="s">
        <v>63</v>
      </c>
      <c r="QAR50" s="108">
        <f t="shared" ref="QAR50:QAR51" si="874">SUM(QAF50:QAQ50)</f>
        <v>0</v>
      </c>
      <c r="QBI50" s="108" t="s">
        <v>99</v>
      </c>
      <c r="QBK50" s="108" t="s">
        <v>63</v>
      </c>
      <c r="QBX50" s="108">
        <f t="shared" ref="QBX50:QBX51" si="875">SUM(QBL50:QBW50)</f>
        <v>0</v>
      </c>
      <c r="QCO50" s="108" t="s">
        <v>99</v>
      </c>
      <c r="QCQ50" s="108" t="s">
        <v>63</v>
      </c>
      <c r="QDD50" s="108">
        <f t="shared" ref="QDD50:QDD51" si="876">SUM(QCR50:QDC50)</f>
        <v>0</v>
      </c>
      <c r="QDU50" s="108" t="s">
        <v>99</v>
      </c>
      <c r="QDW50" s="108" t="s">
        <v>63</v>
      </c>
      <c r="QEJ50" s="108">
        <f t="shared" ref="QEJ50:QEJ51" si="877">SUM(QDX50:QEI50)</f>
        <v>0</v>
      </c>
      <c r="QFA50" s="108" t="s">
        <v>99</v>
      </c>
      <c r="QFC50" s="108" t="s">
        <v>63</v>
      </c>
      <c r="QFP50" s="108">
        <f t="shared" ref="QFP50:QFP51" si="878">SUM(QFD50:QFO50)</f>
        <v>0</v>
      </c>
      <c r="QGG50" s="108" t="s">
        <v>99</v>
      </c>
      <c r="QGI50" s="108" t="s">
        <v>63</v>
      </c>
      <c r="QGV50" s="108">
        <f t="shared" ref="QGV50:QGV51" si="879">SUM(QGJ50:QGU50)</f>
        <v>0</v>
      </c>
      <c r="QHM50" s="108" t="s">
        <v>99</v>
      </c>
      <c r="QHO50" s="108" t="s">
        <v>63</v>
      </c>
      <c r="QIB50" s="108">
        <f t="shared" ref="QIB50:QIB51" si="880">SUM(QHP50:QIA50)</f>
        <v>0</v>
      </c>
      <c r="QIS50" s="108" t="s">
        <v>99</v>
      </c>
      <c r="QIU50" s="108" t="s">
        <v>63</v>
      </c>
      <c r="QJH50" s="108">
        <f t="shared" ref="QJH50:QJH51" si="881">SUM(QIV50:QJG50)</f>
        <v>0</v>
      </c>
      <c r="QJY50" s="108" t="s">
        <v>99</v>
      </c>
      <c r="QKA50" s="108" t="s">
        <v>63</v>
      </c>
      <c r="QKN50" s="108">
        <f t="shared" ref="QKN50:QKN51" si="882">SUM(QKB50:QKM50)</f>
        <v>0</v>
      </c>
      <c r="QLE50" s="108" t="s">
        <v>99</v>
      </c>
      <c r="QLG50" s="108" t="s">
        <v>63</v>
      </c>
      <c r="QLT50" s="108">
        <f t="shared" ref="QLT50:QLT51" si="883">SUM(QLH50:QLS50)</f>
        <v>0</v>
      </c>
      <c r="QMK50" s="108" t="s">
        <v>99</v>
      </c>
      <c r="QMM50" s="108" t="s">
        <v>63</v>
      </c>
      <c r="QMZ50" s="108">
        <f t="shared" ref="QMZ50:QMZ51" si="884">SUM(QMN50:QMY50)</f>
        <v>0</v>
      </c>
      <c r="QNQ50" s="108" t="s">
        <v>99</v>
      </c>
      <c r="QNS50" s="108" t="s">
        <v>63</v>
      </c>
      <c r="QOF50" s="108">
        <f t="shared" ref="QOF50:QOF51" si="885">SUM(QNT50:QOE50)</f>
        <v>0</v>
      </c>
      <c r="QOW50" s="108" t="s">
        <v>99</v>
      </c>
      <c r="QOY50" s="108" t="s">
        <v>63</v>
      </c>
      <c r="QPL50" s="108">
        <f t="shared" ref="QPL50:QPL51" si="886">SUM(QOZ50:QPK50)</f>
        <v>0</v>
      </c>
      <c r="QQC50" s="108" t="s">
        <v>99</v>
      </c>
      <c r="QQE50" s="108" t="s">
        <v>63</v>
      </c>
      <c r="QQR50" s="108">
        <f t="shared" ref="QQR50:QQR51" si="887">SUM(QQF50:QQQ50)</f>
        <v>0</v>
      </c>
      <c r="QRI50" s="108" t="s">
        <v>99</v>
      </c>
      <c r="QRK50" s="108" t="s">
        <v>63</v>
      </c>
      <c r="QRX50" s="108">
        <f t="shared" ref="QRX50:QRX51" si="888">SUM(QRL50:QRW50)</f>
        <v>0</v>
      </c>
      <c r="QSO50" s="108" t="s">
        <v>99</v>
      </c>
      <c r="QSQ50" s="108" t="s">
        <v>63</v>
      </c>
      <c r="QTD50" s="108">
        <f t="shared" ref="QTD50:QTD51" si="889">SUM(QSR50:QTC50)</f>
        <v>0</v>
      </c>
      <c r="QTU50" s="108" t="s">
        <v>99</v>
      </c>
      <c r="QTW50" s="108" t="s">
        <v>63</v>
      </c>
      <c r="QUJ50" s="108">
        <f t="shared" ref="QUJ50:QUJ51" si="890">SUM(QTX50:QUI50)</f>
        <v>0</v>
      </c>
      <c r="QVA50" s="108" t="s">
        <v>99</v>
      </c>
      <c r="QVC50" s="108" t="s">
        <v>63</v>
      </c>
      <c r="QVP50" s="108">
        <f t="shared" ref="QVP50:QVP51" si="891">SUM(QVD50:QVO50)</f>
        <v>0</v>
      </c>
      <c r="QWG50" s="108" t="s">
        <v>99</v>
      </c>
      <c r="QWI50" s="108" t="s">
        <v>63</v>
      </c>
      <c r="QWV50" s="108">
        <f t="shared" ref="QWV50:QWV51" si="892">SUM(QWJ50:QWU50)</f>
        <v>0</v>
      </c>
      <c r="QXM50" s="108" t="s">
        <v>99</v>
      </c>
      <c r="QXO50" s="108" t="s">
        <v>63</v>
      </c>
      <c r="QYB50" s="108">
        <f t="shared" ref="QYB50:QYB51" si="893">SUM(QXP50:QYA50)</f>
        <v>0</v>
      </c>
      <c r="QYS50" s="108" t="s">
        <v>99</v>
      </c>
      <c r="QYU50" s="108" t="s">
        <v>63</v>
      </c>
      <c r="QZH50" s="108">
        <f t="shared" ref="QZH50:QZH51" si="894">SUM(QYV50:QZG50)</f>
        <v>0</v>
      </c>
      <c r="QZY50" s="108" t="s">
        <v>99</v>
      </c>
      <c r="RAA50" s="108" t="s">
        <v>63</v>
      </c>
      <c r="RAN50" s="108">
        <f t="shared" ref="RAN50:RAN51" si="895">SUM(RAB50:RAM50)</f>
        <v>0</v>
      </c>
      <c r="RBE50" s="108" t="s">
        <v>99</v>
      </c>
      <c r="RBG50" s="108" t="s">
        <v>63</v>
      </c>
      <c r="RBT50" s="108">
        <f t="shared" ref="RBT50:RBT51" si="896">SUM(RBH50:RBS50)</f>
        <v>0</v>
      </c>
      <c r="RCK50" s="108" t="s">
        <v>99</v>
      </c>
      <c r="RCM50" s="108" t="s">
        <v>63</v>
      </c>
      <c r="RCZ50" s="108">
        <f t="shared" ref="RCZ50:RCZ51" si="897">SUM(RCN50:RCY50)</f>
        <v>0</v>
      </c>
      <c r="RDQ50" s="108" t="s">
        <v>99</v>
      </c>
      <c r="RDS50" s="108" t="s">
        <v>63</v>
      </c>
      <c r="REF50" s="108">
        <f t="shared" ref="REF50:REF51" si="898">SUM(RDT50:REE50)</f>
        <v>0</v>
      </c>
      <c r="REW50" s="108" t="s">
        <v>99</v>
      </c>
      <c r="REY50" s="108" t="s">
        <v>63</v>
      </c>
      <c r="RFL50" s="108">
        <f t="shared" ref="RFL50:RFL51" si="899">SUM(REZ50:RFK50)</f>
        <v>0</v>
      </c>
      <c r="RGC50" s="108" t="s">
        <v>99</v>
      </c>
      <c r="RGE50" s="108" t="s">
        <v>63</v>
      </c>
      <c r="RGR50" s="108">
        <f t="shared" ref="RGR50:RGR51" si="900">SUM(RGF50:RGQ50)</f>
        <v>0</v>
      </c>
      <c r="RHI50" s="108" t="s">
        <v>99</v>
      </c>
      <c r="RHK50" s="108" t="s">
        <v>63</v>
      </c>
      <c r="RHX50" s="108">
        <f t="shared" ref="RHX50:RHX51" si="901">SUM(RHL50:RHW50)</f>
        <v>0</v>
      </c>
      <c r="RIO50" s="108" t="s">
        <v>99</v>
      </c>
      <c r="RIQ50" s="108" t="s">
        <v>63</v>
      </c>
      <c r="RJD50" s="108">
        <f t="shared" ref="RJD50:RJD51" si="902">SUM(RIR50:RJC50)</f>
        <v>0</v>
      </c>
      <c r="RJU50" s="108" t="s">
        <v>99</v>
      </c>
      <c r="RJW50" s="108" t="s">
        <v>63</v>
      </c>
      <c r="RKJ50" s="108">
        <f t="shared" ref="RKJ50:RKJ51" si="903">SUM(RJX50:RKI50)</f>
        <v>0</v>
      </c>
      <c r="RLA50" s="108" t="s">
        <v>99</v>
      </c>
      <c r="RLC50" s="108" t="s">
        <v>63</v>
      </c>
      <c r="RLP50" s="108">
        <f t="shared" ref="RLP50:RLP51" si="904">SUM(RLD50:RLO50)</f>
        <v>0</v>
      </c>
      <c r="RMG50" s="108" t="s">
        <v>99</v>
      </c>
      <c r="RMI50" s="108" t="s">
        <v>63</v>
      </c>
      <c r="RMV50" s="108">
        <f t="shared" ref="RMV50:RMV51" si="905">SUM(RMJ50:RMU50)</f>
        <v>0</v>
      </c>
      <c r="RNM50" s="108" t="s">
        <v>99</v>
      </c>
      <c r="RNO50" s="108" t="s">
        <v>63</v>
      </c>
      <c r="ROB50" s="108">
        <f t="shared" ref="ROB50:ROB51" si="906">SUM(RNP50:ROA50)</f>
        <v>0</v>
      </c>
      <c r="ROS50" s="108" t="s">
        <v>99</v>
      </c>
      <c r="ROU50" s="108" t="s">
        <v>63</v>
      </c>
      <c r="RPH50" s="108">
        <f t="shared" ref="RPH50:RPH51" si="907">SUM(ROV50:RPG50)</f>
        <v>0</v>
      </c>
      <c r="RPY50" s="108" t="s">
        <v>99</v>
      </c>
      <c r="RQA50" s="108" t="s">
        <v>63</v>
      </c>
      <c r="RQN50" s="108">
        <f t="shared" ref="RQN50:RQN51" si="908">SUM(RQB50:RQM50)</f>
        <v>0</v>
      </c>
      <c r="RRE50" s="108" t="s">
        <v>99</v>
      </c>
      <c r="RRG50" s="108" t="s">
        <v>63</v>
      </c>
      <c r="RRT50" s="108">
        <f t="shared" ref="RRT50:RRT51" si="909">SUM(RRH50:RRS50)</f>
        <v>0</v>
      </c>
      <c r="RSK50" s="108" t="s">
        <v>99</v>
      </c>
      <c r="RSM50" s="108" t="s">
        <v>63</v>
      </c>
      <c r="RSZ50" s="108">
        <f t="shared" ref="RSZ50:RSZ51" si="910">SUM(RSN50:RSY50)</f>
        <v>0</v>
      </c>
      <c r="RTQ50" s="108" t="s">
        <v>99</v>
      </c>
      <c r="RTS50" s="108" t="s">
        <v>63</v>
      </c>
      <c r="RUF50" s="108">
        <f t="shared" ref="RUF50:RUF51" si="911">SUM(RTT50:RUE50)</f>
        <v>0</v>
      </c>
      <c r="RUW50" s="108" t="s">
        <v>99</v>
      </c>
      <c r="RUY50" s="108" t="s">
        <v>63</v>
      </c>
      <c r="RVL50" s="108">
        <f t="shared" ref="RVL50:RVL51" si="912">SUM(RUZ50:RVK50)</f>
        <v>0</v>
      </c>
      <c r="RWC50" s="108" t="s">
        <v>99</v>
      </c>
      <c r="RWE50" s="108" t="s">
        <v>63</v>
      </c>
      <c r="RWR50" s="108">
        <f t="shared" ref="RWR50:RWR51" si="913">SUM(RWF50:RWQ50)</f>
        <v>0</v>
      </c>
      <c r="RXI50" s="108" t="s">
        <v>99</v>
      </c>
      <c r="RXK50" s="108" t="s">
        <v>63</v>
      </c>
      <c r="RXX50" s="108">
        <f t="shared" ref="RXX50:RXX51" si="914">SUM(RXL50:RXW50)</f>
        <v>0</v>
      </c>
      <c r="RYO50" s="108" t="s">
        <v>99</v>
      </c>
      <c r="RYQ50" s="108" t="s">
        <v>63</v>
      </c>
      <c r="RZD50" s="108">
        <f t="shared" ref="RZD50:RZD51" si="915">SUM(RYR50:RZC50)</f>
        <v>0</v>
      </c>
      <c r="RZU50" s="108" t="s">
        <v>99</v>
      </c>
      <c r="RZW50" s="108" t="s">
        <v>63</v>
      </c>
      <c r="SAJ50" s="108">
        <f t="shared" ref="SAJ50:SAJ51" si="916">SUM(RZX50:SAI50)</f>
        <v>0</v>
      </c>
      <c r="SBA50" s="108" t="s">
        <v>99</v>
      </c>
      <c r="SBC50" s="108" t="s">
        <v>63</v>
      </c>
      <c r="SBP50" s="108">
        <f t="shared" ref="SBP50:SBP51" si="917">SUM(SBD50:SBO50)</f>
        <v>0</v>
      </c>
      <c r="SCG50" s="108" t="s">
        <v>99</v>
      </c>
      <c r="SCI50" s="108" t="s">
        <v>63</v>
      </c>
      <c r="SCV50" s="108">
        <f t="shared" ref="SCV50:SCV51" si="918">SUM(SCJ50:SCU50)</f>
        <v>0</v>
      </c>
      <c r="SDM50" s="108" t="s">
        <v>99</v>
      </c>
      <c r="SDO50" s="108" t="s">
        <v>63</v>
      </c>
      <c r="SEB50" s="108">
        <f t="shared" ref="SEB50:SEB51" si="919">SUM(SDP50:SEA50)</f>
        <v>0</v>
      </c>
      <c r="SES50" s="108" t="s">
        <v>99</v>
      </c>
      <c r="SEU50" s="108" t="s">
        <v>63</v>
      </c>
      <c r="SFH50" s="108">
        <f t="shared" ref="SFH50:SFH51" si="920">SUM(SEV50:SFG50)</f>
        <v>0</v>
      </c>
      <c r="SFY50" s="108" t="s">
        <v>99</v>
      </c>
      <c r="SGA50" s="108" t="s">
        <v>63</v>
      </c>
      <c r="SGN50" s="108">
        <f t="shared" ref="SGN50:SGN51" si="921">SUM(SGB50:SGM50)</f>
        <v>0</v>
      </c>
      <c r="SHE50" s="108" t="s">
        <v>99</v>
      </c>
      <c r="SHG50" s="108" t="s">
        <v>63</v>
      </c>
      <c r="SHT50" s="108">
        <f t="shared" ref="SHT50:SHT51" si="922">SUM(SHH50:SHS50)</f>
        <v>0</v>
      </c>
      <c r="SIK50" s="108" t="s">
        <v>99</v>
      </c>
      <c r="SIM50" s="108" t="s">
        <v>63</v>
      </c>
      <c r="SIZ50" s="108">
        <f t="shared" ref="SIZ50:SIZ51" si="923">SUM(SIN50:SIY50)</f>
        <v>0</v>
      </c>
      <c r="SJQ50" s="108" t="s">
        <v>99</v>
      </c>
      <c r="SJS50" s="108" t="s">
        <v>63</v>
      </c>
      <c r="SKF50" s="108">
        <f t="shared" ref="SKF50:SKF51" si="924">SUM(SJT50:SKE50)</f>
        <v>0</v>
      </c>
      <c r="SKW50" s="108" t="s">
        <v>99</v>
      </c>
      <c r="SKY50" s="108" t="s">
        <v>63</v>
      </c>
      <c r="SLL50" s="108">
        <f t="shared" ref="SLL50:SLL51" si="925">SUM(SKZ50:SLK50)</f>
        <v>0</v>
      </c>
      <c r="SMC50" s="108" t="s">
        <v>99</v>
      </c>
      <c r="SME50" s="108" t="s">
        <v>63</v>
      </c>
      <c r="SMR50" s="108">
        <f t="shared" ref="SMR50:SMR51" si="926">SUM(SMF50:SMQ50)</f>
        <v>0</v>
      </c>
      <c r="SNI50" s="108" t="s">
        <v>99</v>
      </c>
      <c r="SNK50" s="108" t="s">
        <v>63</v>
      </c>
      <c r="SNX50" s="108">
        <f t="shared" ref="SNX50:SNX51" si="927">SUM(SNL50:SNW50)</f>
        <v>0</v>
      </c>
      <c r="SOO50" s="108" t="s">
        <v>99</v>
      </c>
      <c r="SOQ50" s="108" t="s">
        <v>63</v>
      </c>
      <c r="SPD50" s="108">
        <f t="shared" ref="SPD50:SPD51" si="928">SUM(SOR50:SPC50)</f>
        <v>0</v>
      </c>
      <c r="SPU50" s="108" t="s">
        <v>99</v>
      </c>
      <c r="SPW50" s="108" t="s">
        <v>63</v>
      </c>
      <c r="SQJ50" s="108">
        <f t="shared" ref="SQJ50:SQJ51" si="929">SUM(SPX50:SQI50)</f>
        <v>0</v>
      </c>
      <c r="SRA50" s="108" t="s">
        <v>99</v>
      </c>
      <c r="SRC50" s="108" t="s">
        <v>63</v>
      </c>
      <c r="SRP50" s="108">
        <f t="shared" ref="SRP50:SRP51" si="930">SUM(SRD50:SRO50)</f>
        <v>0</v>
      </c>
      <c r="SSG50" s="108" t="s">
        <v>99</v>
      </c>
      <c r="SSI50" s="108" t="s">
        <v>63</v>
      </c>
      <c r="SSV50" s="108">
        <f t="shared" ref="SSV50:SSV51" si="931">SUM(SSJ50:SSU50)</f>
        <v>0</v>
      </c>
      <c r="STM50" s="108" t="s">
        <v>99</v>
      </c>
      <c r="STO50" s="108" t="s">
        <v>63</v>
      </c>
      <c r="SUB50" s="108">
        <f t="shared" ref="SUB50:SUB51" si="932">SUM(STP50:SUA50)</f>
        <v>0</v>
      </c>
      <c r="SUS50" s="108" t="s">
        <v>99</v>
      </c>
      <c r="SUU50" s="108" t="s">
        <v>63</v>
      </c>
      <c r="SVH50" s="108">
        <f t="shared" ref="SVH50:SVH51" si="933">SUM(SUV50:SVG50)</f>
        <v>0</v>
      </c>
      <c r="SVY50" s="108" t="s">
        <v>99</v>
      </c>
      <c r="SWA50" s="108" t="s">
        <v>63</v>
      </c>
      <c r="SWN50" s="108">
        <f t="shared" ref="SWN50:SWN51" si="934">SUM(SWB50:SWM50)</f>
        <v>0</v>
      </c>
      <c r="SXE50" s="108" t="s">
        <v>99</v>
      </c>
      <c r="SXG50" s="108" t="s">
        <v>63</v>
      </c>
      <c r="SXT50" s="108">
        <f t="shared" ref="SXT50:SXT51" si="935">SUM(SXH50:SXS50)</f>
        <v>0</v>
      </c>
      <c r="SYK50" s="108" t="s">
        <v>99</v>
      </c>
      <c r="SYM50" s="108" t="s">
        <v>63</v>
      </c>
      <c r="SYZ50" s="108">
        <f t="shared" ref="SYZ50:SYZ51" si="936">SUM(SYN50:SYY50)</f>
        <v>0</v>
      </c>
      <c r="SZQ50" s="108" t="s">
        <v>99</v>
      </c>
      <c r="SZS50" s="108" t="s">
        <v>63</v>
      </c>
      <c r="TAF50" s="108">
        <f t="shared" ref="TAF50:TAF51" si="937">SUM(SZT50:TAE50)</f>
        <v>0</v>
      </c>
      <c r="TAW50" s="108" t="s">
        <v>99</v>
      </c>
      <c r="TAY50" s="108" t="s">
        <v>63</v>
      </c>
      <c r="TBL50" s="108">
        <f t="shared" ref="TBL50:TBL51" si="938">SUM(TAZ50:TBK50)</f>
        <v>0</v>
      </c>
      <c r="TCC50" s="108" t="s">
        <v>99</v>
      </c>
      <c r="TCE50" s="108" t="s">
        <v>63</v>
      </c>
      <c r="TCR50" s="108">
        <f t="shared" ref="TCR50:TCR51" si="939">SUM(TCF50:TCQ50)</f>
        <v>0</v>
      </c>
      <c r="TDI50" s="108" t="s">
        <v>99</v>
      </c>
      <c r="TDK50" s="108" t="s">
        <v>63</v>
      </c>
      <c r="TDX50" s="108">
        <f t="shared" ref="TDX50:TDX51" si="940">SUM(TDL50:TDW50)</f>
        <v>0</v>
      </c>
      <c r="TEO50" s="108" t="s">
        <v>99</v>
      </c>
      <c r="TEQ50" s="108" t="s">
        <v>63</v>
      </c>
      <c r="TFD50" s="108">
        <f t="shared" ref="TFD50:TFD51" si="941">SUM(TER50:TFC50)</f>
        <v>0</v>
      </c>
      <c r="TFU50" s="108" t="s">
        <v>99</v>
      </c>
      <c r="TFW50" s="108" t="s">
        <v>63</v>
      </c>
      <c r="TGJ50" s="108">
        <f t="shared" ref="TGJ50:TGJ51" si="942">SUM(TFX50:TGI50)</f>
        <v>0</v>
      </c>
      <c r="THA50" s="108" t="s">
        <v>99</v>
      </c>
      <c r="THC50" s="108" t="s">
        <v>63</v>
      </c>
      <c r="THP50" s="108">
        <f t="shared" ref="THP50:THP51" si="943">SUM(THD50:THO50)</f>
        <v>0</v>
      </c>
      <c r="TIG50" s="108" t="s">
        <v>99</v>
      </c>
      <c r="TII50" s="108" t="s">
        <v>63</v>
      </c>
      <c r="TIV50" s="108">
        <f t="shared" ref="TIV50:TIV51" si="944">SUM(TIJ50:TIU50)</f>
        <v>0</v>
      </c>
      <c r="TJM50" s="108" t="s">
        <v>99</v>
      </c>
      <c r="TJO50" s="108" t="s">
        <v>63</v>
      </c>
      <c r="TKB50" s="108">
        <f t="shared" ref="TKB50:TKB51" si="945">SUM(TJP50:TKA50)</f>
        <v>0</v>
      </c>
      <c r="TKS50" s="108" t="s">
        <v>99</v>
      </c>
      <c r="TKU50" s="108" t="s">
        <v>63</v>
      </c>
      <c r="TLH50" s="108">
        <f t="shared" ref="TLH50:TLH51" si="946">SUM(TKV50:TLG50)</f>
        <v>0</v>
      </c>
      <c r="TLY50" s="108" t="s">
        <v>99</v>
      </c>
      <c r="TMA50" s="108" t="s">
        <v>63</v>
      </c>
      <c r="TMN50" s="108">
        <f t="shared" ref="TMN50:TMN51" si="947">SUM(TMB50:TMM50)</f>
        <v>0</v>
      </c>
      <c r="TNE50" s="108" t="s">
        <v>99</v>
      </c>
      <c r="TNG50" s="108" t="s">
        <v>63</v>
      </c>
      <c r="TNT50" s="108">
        <f t="shared" ref="TNT50:TNT51" si="948">SUM(TNH50:TNS50)</f>
        <v>0</v>
      </c>
      <c r="TOK50" s="108" t="s">
        <v>99</v>
      </c>
      <c r="TOM50" s="108" t="s">
        <v>63</v>
      </c>
      <c r="TOZ50" s="108">
        <f t="shared" ref="TOZ50:TOZ51" si="949">SUM(TON50:TOY50)</f>
        <v>0</v>
      </c>
      <c r="TPQ50" s="108" t="s">
        <v>99</v>
      </c>
      <c r="TPS50" s="108" t="s">
        <v>63</v>
      </c>
      <c r="TQF50" s="108">
        <f t="shared" ref="TQF50:TQF51" si="950">SUM(TPT50:TQE50)</f>
        <v>0</v>
      </c>
      <c r="TQW50" s="108" t="s">
        <v>99</v>
      </c>
      <c r="TQY50" s="108" t="s">
        <v>63</v>
      </c>
      <c r="TRL50" s="108">
        <f t="shared" ref="TRL50:TRL51" si="951">SUM(TQZ50:TRK50)</f>
        <v>0</v>
      </c>
      <c r="TSC50" s="108" t="s">
        <v>99</v>
      </c>
      <c r="TSE50" s="108" t="s">
        <v>63</v>
      </c>
      <c r="TSR50" s="108">
        <f t="shared" ref="TSR50:TSR51" si="952">SUM(TSF50:TSQ50)</f>
        <v>0</v>
      </c>
      <c r="TTI50" s="108" t="s">
        <v>99</v>
      </c>
      <c r="TTK50" s="108" t="s">
        <v>63</v>
      </c>
      <c r="TTX50" s="108">
        <f t="shared" ref="TTX50:TTX51" si="953">SUM(TTL50:TTW50)</f>
        <v>0</v>
      </c>
      <c r="TUO50" s="108" t="s">
        <v>99</v>
      </c>
      <c r="TUQ50" s="108" t="s">
        <v>63</v>
      </c>
      <c r="TVD50" s="108">
        <f t="shared" ref="TVD50:TVD51" si="954">SUM(TUR50:TVC50)</f>
        <v>0</v>
      </c>
      <c r="TVU50" s="108" t="s">
        <v>99</v>
      </c>
      <c r="TVW50" s="108" t="s">
        <v>63</v>
      </c>
      <c r="TWJ50" s="108">
        <f t="shared" ref="TWJ50:TWJ51" si="955">SUM(TVX50:TWI50)</f>
        <v>0</v>
      </c>
      <c r="TXA50" s="108" t="s">
        <v>99</v>
      </c>
      <c r="TXC50" s="108" t="s">
        <v>63</v>
      </c>
      <c r="TXP50" s="108">
        <f t="shared" ref="TXP50:TXP51" si="956">SUM(TXD50:TXO50)</f>
        <v>0</v>
      </c>
      <c r="TYG50" s="108" t="s">
        <v>99</v>
      </c>
      <c r="TYI50" s="108" t="s">
        <v>63</v>
      </c>
      <c r="TYV50" s="108">
        <f t="shared" ref="TYV50:TYV51" si="957">SUM(TYJ50:TYU50)</f>
        <v>0</v>
      </c>
      <c r="TZM50" s="108" t="s">
        <v>99</v>
      </c>
      <c r="TZO50" s="108" t="s">
        <v>63</v>
      </c>
      <c r="UAB50" s="108">
        <f t="shared" ref="UAB50:UAB51" si="958">SUM(TZP50:UAA50)</f>
        <v>0</v>
      </c>
      <c r="UAS50" s="108" t="s">
        <v>99</v>
      </c>
      <c r="UAU50" s="108" t="s">
        <v>63</v>
      </c>
      <c r="UBH50" s="108">
        <f t="shared" ref="UBH50:UBH51" si="959">SUM(UAV50:UBG50)</f>
        <v>0</v>
      </c>
      <c r="UBY50" s="108" t="s">
        <v>99</v>
      </c>
      <c r="UCA50" s="108" t="s">
        <v>63</v>
      </c>
      <c r="UCN50" s="108">
        <f t="shared" ref="UCN50:UCN51" si="960">SUM(UCB50:UCM50)</f>
        <v>0</v>
      </c>
      <c r="UDE50" s="108" t="s">
        <v>99</v>
      </c>
      <c r="UDG50" s="108" t="s">
        <v>63</v>
      </c>
      <c r="UDT50" s="108">
        <f t="shared" ref="UDT50:UDT51" si="961">SUM(UDH50:UDS50)</f>
        <v>0</v>
      </c>
      <c r="UEK50" s="108" t="s">
        <v>99</v>
      </c>
      <c r="UEM50" s="108" t="s">
        <v>63</v>
      </c>
      <c r="UEZ50" s="108">
        <f t="shared" ref="UEZ50:UEZ51" si="962">SUM(UEN50:UEY50)</f>
        <v>0</v>
      </c>
      <c r="UFQ50" s="108" t="s">
        <v>99</v>
      </c>
      <c r="UFS50" s="108" t="s">
        <v>63</v>
      </c>
      <c r="UGF50" s="108">
        <f t="shared" ref="UGF50:UGF51" si="963">SUM(UFT50:UGE50)</f>
        <v>0</v>
      </c>
      <c r="UGW50" s="108" t="s">
        <v>99</v>
      </c>
      <c r="UGY50" s="108" t="s">
        <v>63</v>
      </c>
      <c r="UHL50" s="108">
        <f t="shared" ref="UHL50:UHL51" si="964">SUM(UGZ50:UHK50)</f>
        <v>0</v>
      </c>
      <c r="UIC50" s="108" t="s">
        <v>99</v>
      </c>
      <c r="UIE50" s="108" t="s">
        <v>63</v>
      </c>
      <c r="UIR50" s="108">
        <f t="shared" ref="UIR50:UIR51" si="965">SUM(UIF50:UIQ50)</f>
        <v>0</v>
      </c>
      <c r="UJI50" s="108" t="s">
        <v>99</v>
      </c>
      <c r="UJK50" s="108" t="s">
        <v>63</v>
      </c>
      <c r="UJX50" s="108">
        <f t="shared" ref="UJX50:UJX51" si="966">SUM(UJL50:UJW50)</f>
        <v>0</v>
      </c>
      <c r="UKO50" s="108" t="s">
        <v>99</v>
      </c>
      <c r="UKQ50" s="108" t="s">
        <v>63</v>
      </c>
      <c r="ULD50" s="108">
        <f t="shared" ref="ULD50:ULD51" si="967">SUM(UKR50:ULC50)</f>
        <v>0</v>
      </c>
      <c r="ULU50" s="108" t="s">
        <v>99</v>
      </c>
      <c r="ULW50" s="108" t="s">
        <v>63</v>
      </c>
      <c r="UMJ50" s="108">
        <f t="shared" ref="UMJ50:UMJ51" si="968">SUM(ULX50:UMI50)</f>
        <v>0</v>
      </c>
      <c r="UNA50" s="108" t="s">
        <v>99</v>
      </c>
      <c r="UNC50" s="108" t="s">
        <v>63</v>
      </c>
      <c r="UNP50" s="108">
        <f t="shared" ref="UNP50:UNP51" si="969">SUM(UND50:UNO50)</f>
        <v>0</v>
      </c>
      <c r="UOG50" s="108" t="s">
        <v>99</v>
      </c>
      <c r="UOI50" s="108" t="s">
        <v>63</v>
      </c>
      <c r="UOV50" s="108">
        <f t="shared" ref="UOV50:UOV51" si="970">SUM(UOJ50:UOU50)</f>
        <v>0</v>
      </c>
      <c r="UPM50" s="108" t="s">
        <v>99</v>
      </c>
      <c r="UPO50" s="108" t="s">
        <v>63</v>
      </c>
      <c r="UQB50" s="108">
        <f t="shared" ref="UQB50:UQB51" si="971">SUM(UPP50:UQA50)</f>
        <v>0</v>
      </c>
      <c r="UQS50" s="108" t="s">
        <v>99</v>
      </c>
      <c r="UQU50" s="108" t="s">
        <v>63</v>
      </c>
      <c r="URH50" s="108">
        <f t="shared" ref="URH50:URH51" si="972">SUM(UQV50:URG50)</f>
        <v>0</v>
      </c>
      <c r="URY50" s="108" t="s">
        <v>99</v>
      </c>
      <c r="USA50" s="108" t="s">
        <v>63</v>
      </c>
      <c r="USN50" s="108">
        <f t="shared" ref="USN50:USN51" si="973">SUM(USB50:USM50)</f>
        <v>0</v>
      </c>
      <c r="UTE50" s="108" t="s">
        <v>99</v>
      </c>
      <c r="UTG50" s="108" t="s">
        <v>63</v>
      </c>
      <c r="UTT50" s="108">
        <f t="shared" ref="UTT50:UTT51" si="974">SUM(UTH50:UTS50)</f>
        <v>0</v>
      </c>
      <c r="UUK50" s="108" t="s">
        <v>99</v>
      </c>
      <c r="UUM50" s="108" t="s">
        <v>63</v>
      </c>
      <c r="UUZ50" s="108">
        <f t="shared" ref="UUZ50:UUZ51" si="975">SUM(UUN50:UUY50)</f>
        <v>0</v>
      </c>
      <c r="UVQ50" s="108" t="s">
        <v>99</v>
      </c>
      <c r="UVS50" s="108" t="s">
        <v>63</v>
      </c>
      <c r="UWF50" s="108">
        <f t="shared" ref="UWF50:UWF51" si="976">SUM(UVT50:UWE50)</f>
        <v>0</v>
      </c>
      <c r="UWW50" s="108" t="s">
        <v>99</v>
      </c>
      <c r="UWY50" s="108" t="s">
        <v>63</v>
      </c>
      <c r="UXL50" s="108">
        <f t="shared" ref="UXL50:UXL51" si="977">SUM(UWZ50:UXK50)</f>
        <v>0</v>
      </c>
      <c r="UYC50" s="108" t="s">
        <v>99</v>
      </c>
      <c r="UYE50" s="108" t="s">
        <v>63</v>
      </c>
      <c r="UYR50" s="108">
        <f t="shared" ref="UYR50:UYR51" si="978">SUM(UYF50:UYQ50)</f>
        <v>0</v>
      </c>
      <c r="UZI50" s="108" t="s">
        <v>99</v>
      </c>
      <c r="UZK50" s="108" t="s">
        <v>63</v>
      </c>
      <c r="UZX50" s="108">
        <f t="shared" ref="UZX50:UZX51" si="979">SUM(UZL50:UZW50)</f>
        <v>0</v>
      </c>
      <c r="VAO50" s="108" t="s">
        <v>99</v>
      </c>
      <c r="VAQ50" s="108" t="s">
        <v>63</v>
      </c>
      <c r="VBD50" s="108">
        <f t="shared" ref="VBD50:VBD51" si="980">SUM(VAR50:VBC50)</f>
        <v>0</v>
      </c>
      <c r="VBU50" s="108" t="s">
        <v>99</v>
      </c>
      <c r="VBW50" s="108" t="s">
        <v>63</v>
      </c>
      <c r="VCJ50" s="108">
        <f t="shared" ref="VCJ50:VCJ51" si="981">SUM(VBX50:VCI50)</f>
        <v>0</v>
      </c>
      <c r="VDA50" s="108" t="s">
        <v>99</v>
      </c>
      <c r="VDC50" s="108" t="s">
        <v>63</v>
      </c>
      <c r="VDP50" s="108">
        <f t="shared" ref="VDP50:VDP51" si="982">SUM(VDD50:VDO50)</f>
        <v>0</v>
      </c>
      <c r="VEG50" s="108" t="s">
        <v>99</v>
      </c>
      <c r="VEI50" s="108" t="s">
        <v>63</v>
      </c>
      <c r="VEV50" s="108">
        <f t="shared" ref="VEV50:VEV51" si="983">SUM(VEJ50:VEU50)</f>
        <v>0</v>
      </c>
      <c r="VFM50" s="108" t="s">
        <v>99</v>
      </c>
      <c r="VFO50" s="108" t="s">
        <v>63</v>
      </c>
      <c r="VGB50" s="108">
        <f t="shared" ref="VGB50:VGB51" si="984">SUM(VFP50:VGA50)</f>
        <v>0</v>
      </c>
      <c r="VGS50" s="108" t="s">
        <v>99</v>
      </c>
      <c r="VGU50" s="108" t="s">
        <v>63</v>
      </c>
      <c r="VHH50" s="108">
        <f t="shared" ref="VHH50:VHH51" si="985">SUM(VGV50:VHG50)</f>
        <v>0</v>
      </c>
      <c r="VHY50" s="108" t="s">
        <v>99</v>
      </c>
      <c r="VIA50" s="108" t="s">
        <v>63</v>
      </c>
      <c r="VIN50" s="108">
        <f t="shared" ref="VIN50:VIN51" si="986">SUM(VIB50:VIM50)</f>
        <v>0</v>
      </c>
      <c r="VJE50" s="108" t="s">
        <v>99</v>
      </c>
      <c r="VJG50" s="108" t="s">
        <v>63</v>
      </c>
      <c r="VJT50" s="108">
        <f t="shared" ref="VJT50:VJT51" si="987">SUM(VJH50:VJS50)</f>
        <v>0</v>
      </c>
      <c r="VKK50" s="108" t="s">
        <v>99</v>
      </c>
      <c r="VKM50" s="108" t="s">
        <v>63</v>
      </c>
      <c r="VKZ50" s="108">
        <f t="shared" ref="VKZ50:VKZ51" si="988">SUM(VKN50:VKY50)</f>
        <v>0</v>
      </c>
      <c r="VLQ50" s="108" t="s">
        <v>99</v>
      </c>
      <c r="VLS50" s="108" t="s">
        <v>63</v>
      </c>
      <c r="VMF50" s="108">
        <f t="shared" ref="VMF50:VMF51" si="989">SUM(VLT50:VME50)</f>
        <v>0</v>
      </c>
      <c r="VMW50" s="108" t="s">
        <v>99</v>
      </c>
      <c r="VMY50" s="108" t="s">
        <v>63</v>
      </c>
      <c r="VNL50" s="108">
        <f t="shared" ref="VNL50:VNL51" si="990">SUM(VMZ50:VNK50)</f>
        <v>0</v>
      </c>
      <c r="VOC50" s="108" t="s">
        <v>99</v>
      </c>
      <c r="VOE50" s="108" t="s">
        <v>63</v>
      </c>
      <c r="VOR50" s="108">
        <f t="shared" ref="VOR50:VOR51" si="991">SUM(VOF50:VOQ50)</f>
        <v>0</v>
      </c>
      <c r="VPI50" s="108" t="s">
        <v>99</v>
      </c>
      <c r="VPK50" s="108" t="s">
        <v>63</v>
      </c>
      <c r="VPX50" s="108">
        <f t="shared" ref="VPX50:VPX51" si="992">SUM(VPL50:VPW50)</f>
        <v>0</v>
      </c>
      <c r="VQO50" s="108" t="s">
        <v>99</v>
      </c>
      <c r="VQQ50" s="108" t="s">
        <v>63</v>
      </c>
      <c r="VRD50" s="108">
        <f t="shared" ref="VRD50:VRD51" si="993">SUM(VQR50:VRC50)</f>
        <v>0</v>
      </c>
      <c r="VRU50" s="108" t="s">
        <v>99</v>
      </c>
      <c r="VRW50" s="108" t="s">
        <v>63</v>
      </c>
      <c r="VSJ50" s="108">
        <f t="shared" ref="VSJ50:VSJ51" si="994">SUM(VRX50:VSI50)</f>
        <v>0</v>
      </c>
      <c r="VTA50" s="108" t="s">
        <v>99</v>
      </c>
      <c r="VTC50" s="108" t="s">
        <v>63</v>
      </c>
      <c r="VTP50" s="108">
        <f t="shared" ref="VTP50:VTP51" si="995">SUM(VTD50:VTO50)</f>
        <v>0</v>
      </c>
      <c r="VUG50" s="108" t="s">
        <v>99</v>
      </c>
      <c r="VUI50" s="108" t="s">
        <v>63</v>
      </c>
      <c r="VUV50" s="108">
        <f t="shared" ref="VUV50:VUV51" si="996">SUM(VUJ50:VUU50)</f>
        <v>0</v>
      </c>
      <c r="VVM50" s="108" t="s">
        <v>99</v>
      </c>
      <c r="VVO50" s="108" t="s">
        <v>63</v>
      </c>
      <c r="VWB50" s="108">
        <f t="shared" ref="VWB50:VWB51" si="997">SUM(VVP50:VWA50)</f>
        <v>0</v>
      </c>
      <c r="VWS50" s="108" t="s">
        <v>99</v>
      </c>
      <c r="VWU50" s="108" t="s">
        <v>63</v>
      </c>
      <c r="VXH50" s="108">
        <f t="shared" ref="VXH50:VXH51" si="998">SUM(VWV50:VXG50)</f>
        <v>0</v>
      </c>
      <c r="VXY50" s="108" t="s">
        <v>99</v>
      </c>
      <c r="VYA50" s="108" t="s">
        <v>63</v>
      </c>
      <c r="VYN50" s="108">
        <f t="shared" ref="VYN50:VYN51" si="999">SUM(VYB50:VYM50)</f>
        <v>0</v>
      </c>
      <c r="VZE50" s="108" t="s">
        <v>99</v>
      </c>
      <c r="VZG50" s="108" t="s">
        <v>63</v>
      </c>
      <c r="VZT50" s="108">
        <f t="shared" ref="VZT50:VZT51" si="1000">SUM(VZH50:VZS50)</f>
        <v>0</v>
      </c>
      <c r="WAK50" s="108" t="s">
        <v>99</v>
      </c>
      <c r="WAM50" s="108" t="s">
        <v>63</v>
      </c>
      <c r="WAZ50" s="108">
        <f t="shared" ref="WAZ50:WAZ51" si="1001">SUM(WAN50:WAY50)</f>
        <v>0</v>
      </c>
      <c r="WBQ50" s="108" t="s">
        <v>99</v>
      </c>
      <c r="WBS50" s="108" t="s">
        <v>63</v>
      </c>
      <c r="WCF50" s="108">
        <f t="shared" ref="WCF50:WCF51" si="1002">SUM(WBT50:WCE50)</f>
        <v>0</v>
      </c>
      <c r="WCW50" s="108" t="s">
        <v>99</v>
      </c>
      <c r="WCY50" s="108" t="s">
        <v>63</v>
      </c>
      <c r="WDL50" s="108">
        <f t="shared" ref="WDL50:WDL51" si="1003">SUM(WCZ50:WDK50)</f>
        <v>0</v>
      </c>
      <c r="WEC50" s="108" t="s">
        <v>99</v>
      </c>
      <c r="WEE50" s="108" t="s">
        <v>63</v>
      </c>
      <c r="WER50" s="108">
        <f t="shared" ref="WER50:WER51" si="1004">SUM(WEF50:WEQ50)</f>
        <v>0</v>
      </c>
      <c r="WFI50" s="108" t="s">
        <v>99</v>
      </c>
      <c r="WFK50" s="108" t="s">
        <v>63</v>
      </c>
      <c r="WFX50" s="108">
        <f t="shared" ref="WFX50:WFX51" si="1005">SUM(WFL50:WFW50)</f>
        <v>0</v>
      </c>
      <c r="WGO50" s="108" t="s">
        <v>99</v>
      </c>
      <c r="WGQ50" s="108" t="s">
        <v>63</v>
      </c>
      <c r="WHD50" s="108">
        <f t="shared" ref="WHD50:WHD51" si="1006">SUM(WGR50:WHC50)</f>
        <v>0</v>
      </c>
      <c r="WHU50" s="108" t="s">
        <v>99</v>
      </c>
      <c r="WHW50" s="108" t="s">
        <v>63</v>
      </c>
      <c r="WIJ50" s="108">
        <f t="shared" ref="WIJ50:WIJ51" si="1007">SUM(WHX50:WII50)</f>
        <v>0</v>
      </c>
      <c r="WJA50" s="108" t="s">
        <v>99</v>
      </c>
      <c r="WJC50" s="108" t="s">
        <v>63</v>
      </c>
      <c r="WJP50" s="108">
        <f t="shared" ref="WJP50:WJP51" si="1008">SUM(WJD50:WJO50)</f>
        <v>0</v>
      </c>
      <c r="WKG50" s="108" t="s">
        <v>99</v>
      </c>
      <c r="WKI50" s="108" t="s">
        <v>63</v>
      </c>
      <c r="WKV50" s="108">
        <f t="shared" ref="WKV50:WKV51" si="1009">SUM(WKJ50:WKU50)</f>
        <v>0</v>
      </c>
      <c r="WLM50" s="108" t="s">
        <v>99</v>
      </c>
      <c r="WLO50" s="108" t="s">
        <v>63</v>
      </c>
      <c r="WMB50" s="108">
        <f t="shared" ref="WMB50:WMB51" si="1010">SUM(WLP50:WMA50)</f>
        <v>0</v>
      </c>
      <c r="WMS50" s="108" t="s">
        <v>99</v>
      </c>
      <c r="WMU50" s="108" t="s">
        <v>63</v>
      </c>
      <c r="WNH50" s="108">
        <f t="shared" ref="WNH50:WNH51" si="1011">SUM(WMV50:WNG50)</f>
        <v>0</v>
      </c>
      <c r="WNY50" s="108" t="s">
        <v>99</v>
      </c>
      <c r="WOA50" s="108" t="s">
        <v>63</v>
      </c>
      <c r="WON50" s="108">
        <f t="shared" ref="WON50:WON51" si="1012">SUM(WOB50:WOM50)</f>
        <v>0</v>
      </c>
      <c r="WPE50" s="108" t="s">
        <v>99</v>
      </c>
      <c r="WPG50" s="108" t="s">
        <v>63</v>
      </c>
      <c r="WPT50" s="108">
        <f t="shared" ref="WPT50:WPT51" si="1013">SUM(WPH50:WPS50)</f>
        <v>0</v>
      </c>
      <c r="WQK50" s="108" t="s">
        <v>99</v>
      </c>
      <c r="WQM50" s="108" t="s">
        <v>63</v>
      </c>
      <c r="WQZ50" s="108">
        <f t="shared" ref="WQZ50:WQZ51" si="1014">SUM(WQN50:WQY50)</f>
        <v>0</v>
      </c>
      <c r="WRQ50" s="108" t="s">
        <v>99</v>
      </c>
      <c r="WRS50" s="108" t="s">
        <v>63</v>
      </c>
      <c r="WSF50" s="108">
        <f t="shared" ref="WSF50:WSF51" si="1015">SUM(WRT50:WSE50)</f>
        <v>0</v>
      </c>
      <c r="WSW50" s="108" t="s">
        <v>99</v>
      </c>
      <c r="WSY50" s="108" t="s">
        <v>63</v>
      </c>
      <c r="WTL50" s="108">
        <f t="shared" ref="WTL50:WTL51" si="1016">SUM(WSZ50:WTK50)</f>
        <v>0</v>
      </c>
      <c r="WUC50" s="108" t="s">
        <v>99</v>
      </c>
      <c r="WUE50" s="108" t="s">
        <v>63</v>
      </c>
      <c r="WUR50" s="108">
        <f t="shared" ref="WUR50:WUR51" si="1017">SUM(WUF50:WUQ50)</f>
        <v>0</v>
      </c>
      <c r="WVI50" s="108" t="s">
        <v>99</v>
      </c>
      <c r="WVK50" s="108" t="s">
        <v>63</v>
      </c>
      <c r="WVX50" s="108">
        <f t="shared" ref="WVX50:WVX51" si="1018">SUM(WVL50:WVW50)</f>
        <v>0</v>
      </c>
      <c r="WWO50" s="108" t="s">
        <v>99</v>
      </c>
      <c r="WWQ50" s="108" t="s">
        <v>63</v>
      </c>
      <c r="WXD50" s="108">
        <f t="shared" ref="WXD50:WXD51" si="1019">SUM(WWR50:WXC50)</f>
        <v>0</v>
      </c>
      <c r="WXU50" s="108" t="s">
        <v>99</v>
      </c>
      <c r="WXW50" s="108" t="s">
        <v>63</v>
      </c>
      <c r="WYJ50" s="108">
        <f t="shared" ref="WYJ50:WYJ51" si="1020">SUM(WXX50:WYI50)</f>
        <v>0</v>
      </c>
      <c r="WZA50" s="108" t="s">
        <v>99</v>
      </c>
      <c r="WZC50" s="108" t="s">
        <v>63</v>
      </c>
      <c r="WZP50" s="108">
        <f t="shared" ref="WZP50:WZP51" si="1021">SUM(WZD50:WZO50)</f>
        <v>0</v>
      </c>
      <c r="XAG50" s="108" t="s">
        <v>99</v>
      </c>
      <c r="XAI50" s="108" t="s">
        <v>63</v>
      </c>
      <c r="XAV50" s="108">
        <f t="shared" ref="XAV50:XAV51" si="1022">SUM(XAJ50:XAU50)</f>
        <v>0</v>
      </c>
      <c r="XBM50" s="108" t="s">
        <v>99</v>
      </c>
      <c r="XBO50" s="108" t="s">
        <v>63</v>
      </c>
      <c r="XCB50" s="108">
        <f t="shared" ref="XCB50:XCB51" si="1023">SUM(XBP50:XCA50)</f>
        <v>0</v>
      </c>
      <c r="XCS50" s="108" t="s">
        <v>99</v>
      </c>
      <c r="XCU50" s="108" t="s">
        <v>63</v>
      </c>
      <c r="XDH50" s="108">
        <f t="shared" ref="XDH50:XDH51" si="1024">SUM(XCV50:XDG50)</f>
        <v>0</v>
      </c>
      <c r="XDY50" s="108" t="s">
        <v>99</v>
      </c>
      <c r="XEA50" s="108" t="s">
        <v>63</v>
      </c>
      <c r="XEN50" s="108">
        <f t="shared" ref="XEN50:XEN51" si="1025">SUM(XEB50:XEM50)</f>
        <v>0</v>
      </c>
    </row>
    <row r="51" spans="1:1008 1025:2032 2049:3056 3073:4080 4097:5104 5121:6128 6145:7152 7169:8176 8193:9200 9217:10224 10241:11248 11265:12272 12289:13296 13313:14320 14337:15344 15361:16368" ht="54" customHeight="1" x14ac:dyDescent="0.25">
      <c r="A51" s="468"/>
      <c r="B51" s="469"/>
      <c r="C51" s="99" t="s">
        <v>67</v>
      </c>
      <c r="D51" s="100">
        <v>0</v>
      </c>
      <c r="E51" s="100">
        <v>0</v>
      </c>
      <c r="F51" s="100">
        <v>0</v>
      </c>
      <c r="G51" s="100">
        <v>0</v>
      </c>
      <c r="H51" s="100">
        <v>0</v>
      </c>
      <c r="I51" s="100">
        <v>0</v>
      </c>
      <c r="J51" s="100">
        <v>0</v>
      </c>
      <c r="K51" s="100"/>
      <c r="L51" s="104"/>
      <c r="M51" s="104"/>
      <c r="N51" s="104"/>
      <c r="O51" s="104"/>
      <c r="P51" s="101">
        <f>SUM(D51:O51)</f>
        <v>0</v>
      </c>
      <c r="Q51" s="465"/>
      <c r="R51" s="466"/>
      <c r="S51" s="466"/>
      <c r="T51" s="466"/>
      <c r="U51" s="466"/>
      <c r="V51" s="466"/>
      <c r="W51" s="466"/>
      <c r="X51" s="466"/>
      <c r="Y51" s="466"/>
      <c r="Z51" s="466"/>
      <c r="AA51" s="466"/>
      <c r="AB51" s="466"/>
      <c r="AC51" s="466"/>
      <c r="AD51" s="467"/>
      <c r="AE51" s="97"/>
      <c r="AI51" s="108" t="s">
        <v>67</v>
      </c>
      <c r="AV51" s="108">
        <f t="shared" si="515"/>
        <v>0</v>
      </c>
      <c r="BO51" s="108" t="s">
        <v>67</v>
      </c>
      <c r="CB51" s="108">
        <f t="shared" si="516"/>
        <v>0</v>
      </c>
      <c r="CU51" s="108" t="s">
        <v>67</v>
      </c>
      <c r="DH51" s="108">
        <f t="shared" si="517"/>
        <v>0</v>
      </c>
      <c r="EA51" s="108" t="s">
        <v>67</v>
      </c>
      <c r="EN51" s="108">
        <f t="shared" si="518"/>
        <v>0</v>
      </c>
      <c r="FG51" s="108" t="s">
        <v>67</v>
      </c>
      <c r="FT51" s="108">
        <f t="shared" si="519"/>
        <v>0</v>
      </c>
      <c r="GM51" s="108" t="s">
        <v>67</v>
      </c>
      <c r="GZ51" s="108">
        <f t="shared" si="520"/>
        <v>0</v>
      </c>
      <c r="HS51" s="108" t="s">
        <v>67</v>
      </c>
      <c r="IF51" s="108">
        <f t="shared" si="521"/>
        <v>0</v>
      </c>
      <c r="IY51" s="108" t="s">
        <v>67</v>
      </c>
      <c r="JL51" s="108">
        <f t="shared" si="522"/>
        <v>0</v>
      </c>
      <c r="KE51" s="108" t="s">
        <v>67</v>
      </c>
      <c r="KR51" s="108">
        <f t="shared" si="523"/>
        <v>0</v>
      </c>
      <c r="LK51" s="108" t="s">
        <v>67</v>
      </c>
      <c r="LX51" s="108">
        <f t="shared" si="524"/>
        <v>0</v>
      </c>
      <c r="MQ51" s="108" t="s">
        <v>67</v>
      </c>
      <c r="ND51" s="108">
        <f t="shared" si="525"/>
        <v>0</v>
      </c>
      <c r="NW51" s="108" t="s">
        <v>67</v>
      </c>
      <c r="OJ51" s="108">
        <f t="shared" si="526"/>
        <v>0</v>
      </c>
      <c r="PC51" s="108" t="s">
        <v>67</v>
      </c>
      <c r="PP51" s="108">
        <f t="shared" si="527"/>
        <v>0</v>
      </c>
      <c r="QI51" s="108" t="s">
        <v>67</v>
      </c>
      <c r="QV51" s="108">
        <f t="shared" si="528"/>
        <v>0</v>
      </c>
      <c r="RO51" s="108" t="s">
        <v>67</v>
      </c>
      <c r="SB51" s="108">
        <f t="shared" si="529"/>
        <v>0</v>
      </c>
      <c r="SU51" s="108" t="s">
        <v>67</v>
      </c>
      <c r="TH51" s="108">
        <f t="shared" si="530"/>
        <v>0</v>
      </c>
      <c r="UA51" s="108" t="s">
        <v>67</v>
      </c>
      <c r="UN51" s="108">
        <f t="shared" si="531"/>
        <v>0</v>
      </c>
      <c r="VG51" s="108" t="s">
        <v>67</v>
      </c>
      <c r="VT51" s="108">
        <f t="shared" si="532"/>
        <v>0</v>
      </c>
      <c r="WM51" s="108" t="s">
        <v>67</v>
      </c>
      <c r="WZ51" s="108">
        <f t="shared" si="533"/>
        <v>0</v>
      </c>
      <c r="XS51" s="108" t="s">
        <v>67</v>
      </c>
      <c r="YF51" s="108">
        <f t="shared" si="534"/>
        <v>0</v>
      </c>
      <c r="YY51" s="108" t="s">
        <v>67</v>
      </c>
      <c r="ZL51" s="108">
        <f t="shared" si="535"/>
        <v>0</v>
      </c>
      <c r="AAE51" s="108" t="s">
        <v>67</v>
      </c>
      <c r="AAR51" s="108">
        <f t="shared" si="536"/>
        <v>0</v>
      </c>
      <c r="ABK51" s="108" t="s">
        <v>67</v>
      </c>
      <c r="ABX51" s="108">
        <f t="shared" si="537"/>
        <v>0</v>
      </c>
      <c r="ACQ51" s="108" t="s">
        <v>67</v>
      </c>
      <c r="ADD51" s="108">
        <f t="shared" si="538"/>
        <v>0</v>
      </c>
      <c r="ADW51" s="108" t="s">
        <v>67</v>
      </c>
      <c r="AEJ51" s="108">
        <f t="shared" si="539"/>
        <v>0</v>
      </c>
      <c r="AFC51" s="108" t="s">
        <v>67</v>
      </c>
      <c r="AFP51" s="108">
        <f t="shared" si="540"/>
        <v>0</v>
      </c>
      <c r="AGI51" s="108" t="s">
        <v>67</v>
      </c>
      <c r="AGV51" s="108">
        <f t="shared" si="541"/>
        <v>0</v>
      </c>
      <c r="AHO51" s="108" t="s">
        <v>67</v>
      </c>
      <c r="AIB51" s="108">
        <f t="shared" si="542"/>
        <v>0</v>
      </c>
      <c r="AIU51" s="108" t="s">
        <v>67</v>
      </c>
      <c r="AJH51" s="108">
        <f t="shared" si="543"/>
        <v>0</v>
      </c>
      <c r="AKA51" s="108" t="s">
        <v>67</v>
      </c>
      <c r="AKN51" s="108">
        <f t="shared" si="544"/>
        <v>0</v>
      </c>
      <c r="ALG51" s="108" t="s">
        <v>67</v>
      </c>
      <c r="ALT51" s="108">
        <f t="shared" si="545"/>
        <v>0</v>
      </c>
      <c r="AMM51" s="108" t="s">
        <v>67</v>
      </c>
      <c r="AMZ51" s="108">
        <f t="shared" si="546"/>
        <v>0</v>
      </c>
      <c r="ANS51" s="108" t="s">
        <v>67</v>
      </c>
      <c r="AOF51" s="108">
        <f t="shared" si="547"/>
        <v>0</v>
      </c>
      <c r="AOY51" s="108" t="s">
        <v>67</v>
      </c>
      <c r="APL51" s="108">
        <f t="shared" si="548"/>
        <v>0</v>
      </c>
      <c r="AQE51" s="108" t="s">
        <v>67</v>
      </c>
      <c r="AQR51" s="108">
        <f t="shared" si="549"/>
        <v>0</v>
      </c>
      <c r="ARK51" s="108" t="s">
        <v>67</v>
      </c>
      <c r="ARX51" s="108">
        <f t="shared" si="550"/>
        <v>0</v>
      </c>
      <c r="ASQ51" s="108" t="s">
        <v>67</v>
      </c>
      <c r="ATD51" s="108">
        <f t="shared" si="551"/>
        <v>0</v>
      </c>
      <c r="ATW51" s="108" t="s">
        <v>67</v>
      </c>
      <c r="AUJ51" s="108">
        <f t="shared" si="552"/>
        <v>0</v>
      </c>
      <c r="AVC51" s="108" t="s">
        <v>67</v>
      </c>
      <c r="AVP51" s="108">
        <f t="shared" si="553"/>
        <v>0</v>
      </c>
      <c r="AWI51" s="108" t="s">
        <v>67</v>
      </c>
      <c r="AWV51" s="108">
        <f t="shared" si="554"/>
        <v>0</v>
      </c>
      <c r="AXO51" s="108" t="s">
        <v>67</v>
      </c>
      <c r="AYB51" s="108">
        <f t="shared" si="555"/>
        <v>0</v>
      </c>
      <c r="AYU51" s="108" t="s">
        <v>67</v>
      </c>
      <c r="AZH51" s="108">
        <f t="shared" si="556"/>
        <v>0</v>
      </c>
      <c r="BAA51" s="108" t="s">
        <v>67</v>
      </c>
      <c r="BAN51" s="108">
        <f t="shared" si="557"/>
        <v>0</v>
      </c>
      <c r="BBG51" s="108" t="s">
        <v>67</v>
      </c>
      <c r="BBT51" s="108">
        <f t="shared" si="558"/>
        <v>0</v>
      </c>
      <c r="BCM51" s="108" t="s">
        <v>67</v>
      </c>
      <c r="BCZ51" s="108">
        <f t="shared" si="559"/>
        <v>0</v>
      </c>
      <c r="BDS51" s="108" t="s">
        <v>67</v>
      </c>
      <c r="BEF51" s="108">
        <f t="shared" si="560"/>
        <v>0</v>
      </c>
      <c r="BEY51" s="108" t="s">
        <v>67</v>
      </c>
      <c r="BFL51" s="108">
        <f t="shared" si="561"/>
        <v>0</v>
      </c>
      <c r="BGE51" s="108" t="s">
        <v>67</v>
      </c>
      <c r="BGR51" s="108">
        <f t="shared" si="562"/>
        <v>0</v>
      </c>
      <c r="BHK51" s="108" t="s">
        <v>67</v>
      </c>
      <c r="BHX51" s="108">
        <f t="shared" si="563"/>
        <v>0</v>
      </c>
      <c r="BIQ51" s="108" t="s">
        <v>67</v>
      </c>
      <c r="BJD51" s="108">
        <f t="shared" si="564"/>
        <v>0</v>
      </c>
      <c r="BJW51" s="108" t="s">
        <v>67</v>
      </c>
      <c r="BKJ51" s="108">
        <f t="shared" si="565"/>
        <v>0</v>
      </c>
      <c r="BLC51" s="108" t="s">
        <v>67</v>
      </c>
      <c r="BLP51" s="108">
        <f t="shared" si="566"/>
        <v>0</v>
      </c>
      <c r="BMI51" s="108" t="s">
        <v>67</v>
      </c>
      <c r="BMV51" s="108">
        <f t="shared" si="567"/>
        <v>0</v>
      </c>
      <c r="BNO51" s="108" t="s">
        <v>67</v>
      </c>
      <c r="BOB51" s="108">
        <f t="shared" si="568"/>
        <v>0</v>
      </c>
      <c r="BOU51" s="108" t="s">
        <v>67</v>
      </c>
      <c r="BPH51" s="108">
        <f t="shared" si="569"/>
        <v>0</v>
      </c>
      <c r="BQA51" s="108" t="s">
        <v>67</v>
      </c>
      <c r="BQN51" s="108">
        <f t="shared" si="570"/>
        <v>0</v>
      </c>
      <c r="BRG51" s="108" t="s">
        <v>67</v>
      </c>
      <c r="BRT51" s="108">
        <f t="shared" si="571"/>
        <v>0</v>
      </c>
      <c r="BSM51" s="108" t="s">
        <v>67</v>
      </c>
      <c r="BSZ51" s="108">
        <f t="shared" si="572"/>
        <v>0</v>
      </c>
      <c r="BTS51" s="108" t="s">
        <v>67</v>
      </c>
      <c r="BUF51" s="108">
        <f t="shared" si="573"/>
        <v>0</v>
      </c>
      <c r="BUY51" s="108" t="s">
        <v>67</v>
      </c>
      <c r="BVL51" s="108">
        <f t="shared" si="574"/>
        <v>0</v>
      </c>
      <c r="BWE51" s="108" t="s">
        <v>67</v>
      </c>
      <c r="BWR51" s="108">
        <f t="shared" si="575"/>
        <v>0</v>
      </c>
      <c r="BXK51" s="108" t="s">
        <v>67</v>
      </c>
      <c r="BXX51" s="108">
        <f t="shared" si="576"/>
        <v>0</v>
      </c>
      <c r="BYQ51" s="108" t="s">
        <v>67</v>
      </c>
      <c r="BZD51" s="108">
        <f t="shared" si="577"/>
        <v>0</v>
      </c>
      <c r="BZW51" s="108" t="s">
        <v>67</v>
      </c>
      <c r="CAJ51" s="108">
        <f t="shared" si="578"/>
        <v>0</v>
      </c>
      <c r="CBC51" s="108" t="s">
        <v>67</v>
      </c>
      <c r="CBP51" s="108">
        <f t="shared" si="579"/>
        <v>0</v>
      </c>
      <c r="CCI51" s="108" t="s">
        <v>67</v>
      </c>
      <c r="CCV51" s="108">
        <f t="shared" si="580"/>
        <v>0</v>
      </c>
      <c r="CDO51" s="108" t="s">
        <v>67</v>
      </c>
      <c r="CEB51" s="108">
        <f t="shared" si="581"/>
        <v>0</v>
      </c>
      <c r="CEU51" s="108" t="s">
        <v>67</v>
      </c>
      <c r="CFH51" s="108">
        <f t="shared" si="582"/>
        <v>0</v>
      </c>
      <c r="CGA51" s="108" t="s">
        <v>67</v>
      </c>
      <c r="CGN51" s="108">
        <f t="shared" si="583"/>
        <v>0</v>
      </c>
      <c r="CHG51" s="108" t="s">
        <v>67</v>
      </c>
      <c r="CHT51" s="108">
        <f t="shared" si="584"/>
        <v>0</v>
      </c>
      <c r="CIM51" s="108" t="s">
        <v>67</v>
      </c>
      <c r="CIZ51" s="108">
        <f t="shared" si="585"/>
        <v>0</v>
      </c>
      <c r="CJS51" s="108" t="s">
        <v>67</v>
      </c>
      <c r="CKF51" s="108">
        <f t="shared" si="586"/>
        <v>0</v>
      </c>
      <c r="CKY51" s="108" t="s">
        <v>67</v>
      </c>
      <c r="CLL51" s="108">
        <f t="shared" si="587"/>
        <v>0</v>
      </c>
      <c r="CME51" s="108" t="s">
        <v>67</v>
      </c>
      <c r="CMR51" s="108">
        <f t="shared" si="588"/>
        <v>0</v>
      </c>
      <c r="CNK51" s="108" t="s">
        <v>67</v>
      </c>
      <c r="CNX51" s="108">
        <f t="shared" si="589"/>
        <v>0</v>
      </c>
      <c r="COQ51" s="108" t="s">
        <v>67</v>
      </c>
      <c r="CPD51" s="108">
        <f t="shared" si="590"/>
        <v>0</v>
      </c>
      <c r="CPW51" s="108" t="s">
        <v>67</v>
      </c>
      <c r="CQJ51" s="108">
        <f t="shared" si="591"/>
        <v>0</v>
      </c>
      <c r="CRC51" s="108" t="s">
        <v>67</v>
      </c>
      <c r="CRP51" s="108">
        <f t="shared" si="592"/>
        <v>0</v>
      </c>
      <c r="CSI51" s="108" t="s">
        <v>67</v>
      </c>
      <c r="CSV51" s="108">
        <f t="shared" si="593"/>
        <v>0</v>
      </c>
      <c r="CTO51" s="108" t="s">
        <v>67</v>
      </c>
      <c r="CUB51" s="108">
        <f t="shared" si="594"/>
        <v>0</v>
      </c>
      <c r="CUU51" s="108" t="s">
        <v>67</v>
      </c>
      <c r="CVH51" s="108">
        <f t="shared" si="595"/>
        <v>0</v>
      </c>
      <c r="CWA51" s="108" t="s">
        <v>67</v>
      </c>
      <c r="CWN51" s="108">
        <f t="shared" si="596"/>
        <v>0</v>
      </c>
      <c r="CXG51" s="108" t="s">
        <v>67</v>
      </c>
      <c r="CXT51" s="108">
        <f t="shared" si="597"/>
        <v>0</v>
      </c>
      <c r="CYM51" s="108" t="s">
        <v>67</v>
      </c>
      <c r="CYZ51" s="108">
        <f t="shared" si="598"/>
        <v>0</v>
      </c>
      <c r="CZS51" s="108" t="s">
        <v>67</v>
      </c>
      <c r="DAF51" s="108">
        <f t="shared" si="599"/>
        <v>0</v>
      </c>
      <c r="DAY51" s="108" t="s">
        <v>67</v>
      </c>
      <c r="DBL51" s="108">
        <f t="shared" si="600"/>
        <v>0</v>
      </c>
      <c r="DCE51" s="108" t="s">
        <v>67</v>
      </c>
      <c r="DCR51" s="108">
        <f t="shared" si="601"/>
        <v>0</v>
      </c>
      <c r="DDK51" s="108" t="s">
        <v>67</v>
      </c>
      <c r="DDX51" s="108">
        <f t="shared" si="602"/>
        <v>0</v>
      </c>
      <c r="DEQ51" s="108" t="s">
        <v>67</v>
      </c>
      <c r="DFD51" s="108">
        <f t="shared" si="603"/>
        <v>0</v>
      </c>
      <c r="DFW51" s="108" t="s">
        <v>67</v>
      </c>
      <c r="DGJ51" s="108">
        <f t="shared" si="604"/>
        <v>0</v>
      </c>
      <c r="DHC51" s="108" t="s">
        <v>67</v>
      </c>
      <c r="DHP51" s="108">
        <f t="shared" si="605"/>
        <v>0</v>
      </c>
      <c r="DII51" s="108" t="s">
        <v>67</v>
      </c>
      <c r="DIV51" s="108">
        <f t="shared" si="606"/>
        <v>0</v>
      </c>
      <c r="DJO51" s="108" t="s">
        <v>67</v>
      </c>
      <c r="DKB51" s="108">
        <f t="shared" si="607"/>
        <v>0</v>
      </c>
      <c r="DKU51" s="108" t="s">
        <v>67</v>
      </c>
      <c r="DLH51" s="108">
        <f t="shared" si="608"/>
        <v>0</v>
      </c>
      <c r="DMA51" s="108" t="s">
        <v>67</v>
      </c>
      <c r="DMN51" s="108">
        <f t="shared" si="609"/>
        <v>0</v>
      </c>
      <c r="DNG51" s="108" t="s">
        <v>67</v>
      </c>
      <c r="DNT51" s="108">
        <f t="shared" si="610"/>
        <v>0</v>
      </c>
      <c r="DOM51" s="108" t="s">
        <v>67</v>
      </c>
      <c r="DOZ51" s="108">
        <f t="shared" si="611"/>
        <v>0</v>
      </c>
      <c r="DPS51" s="108" t="s">
        <v>67</v>
      </c>
      <c r="DQF51" s="108">
        <f t="shared" si="612"/>
        <v>0</v>
      </c>
      <c r="DQY51" s="108" t="s">
        <v>67</v>
      </c>
      <c r="DRL51" s="108">
        <f t="shared" si="613"/>
        <v>0</v>
      </c>
      <c r="DSE51" s="108" t="s">
        <v>67</v>
      </c>
      <c r="DSR51" s="108">
        <f t="shared" si="614"/>
        <v>0</v>
      </c>
      <c r="DTK51" s="108" t="s">
        <v>67</v>
      </c>
      <c r="DTX51" s="108">
        <f t="shared" si="615"/>
        <v>0</v>
      </c>
      <c r="DUQ51" s="108" t="s">
        <v>67</v>
      </c>
      <c r="DVD51" s="108">
        <f t="shared" si="616"/>
        <v>0</v>
      </c>
      <c r="DVW51" s="108" t="s">
        <v>67</v>
      </c>
      <c r="DWJ51" s="108">
        <f t="shared" si="617"/>
        <v>0</v>
      </c>
      <c r="DXC51" s="108" t="s">
        <v>67</v>
      </c>
      <c r="DXP51" s="108">
        <f t="shared" si="618"/>
        <v>0</v>
      </c>
      <c r="DYI51" s="108" t="s">
        <v>67</v>
      </c>
      <c r="DYV51" s="108">
        <f t="shared" si="619"/>
        <v>0</v>
      </c>
      <c r="DZO51" s="108" t="s">
        <v>67</v>
      </c>
      <c r="EAB51" s="108">
        <f t="shared" si="620"/>
        <v>0</v>
      </c>
      <c r="EAU51" s="108" t="s">
        <v>67</v>
      </c>
      <c r="EBH51" s="108">
        <f t="shared" si="621"/>
        <v>0</v>
      </c>
      <c r="ECA51" s="108" t="s">
        <v>67</v>
      </c>
      <c r="ECN51" s="108">
        <f t="shared" si="622"/>
        <v>0</v>
      </c>
      <c r="EDG51" s="108" t="s">
        <v>67</v>
      </c>
      <c r="EDT51" s="108">
        <f t="shared" si="623"/>
        <v>0</v>
      </c>
      <c r="EEM51" s="108" t="s">
        <v>67</v>
      </c>
      <c r="EEZ51" s="108">
        <f t="shared" si="624"/>
        <v>0</v>
      </c>
      <c r="EFS51" s="108" t="s">
        <v>67</v>
      </c>
      <c r="EGF51" s="108">
        <f t="shared" si="625"/>
        <v>0</v>
      </c>
      <c r="EGY51" s="108" t="s">
        <v>67</v>
      </c>
      <c r="EHL51" s="108">
        <f t="shared" si="626"/>
        <v>0</v>
      </c>
      <c r="EIE51" s="108" t="s">
        <v>67</v>
      </c>
      <c r="EIR51" s="108">
        <f t="shared" si="627"/>
        <v>0</v>
      </c>
      <c r="EJK51" s="108" t="s">
        <v>67</v>
      </c>
      <c r="EJX51" s="108">
        <f t="shared" si="628"/>
        <v>0</v>
      </c>
      <c r="EKQ51" s="108" t="s">
        <v>67</v>
      </c>
      <c r="ELD51" s="108">
        <f t="shared" si="629"/>
        <v>0</v>
      </c>
      <c r="ELW51" s="108" t="s">
        <v>67</v>
      </c>
      <c r="EMJ51" s="108">
        <f t="shared" si="630"/>
        <v>0</v>
      </c>
      <c r="ENC51" s="108" t="s">
        <v>67</v>
      </c>
      <c r="ENP51" s="108">
        <f t="shared" si="631"/>
        <v>0</v>
      </c>
      <c r="EOI51" s="108" t="s">
        <v>67</v>
      </c>
      <c r="EOV51" s="108">
        <f t="shared" si="632"/>
        <v>0</v>
      </c>
      <c r="EPO51" s="108" t="s">
        <v>67</v>
      </c>
      <c r="EQB51" s="108">
        <f t="shared" si="633"/>
        <v>0</v>
      </c>
      <c r="EQU51" s="108" t="s">
        <v>67</v>
      </c>
      <c r="ERH51" s="108">
        <f t="shared" si="634"/>
        <v>0</v>
      </c>
      <c r="ESA51" s="108" t="s">
        <v>67</v>
      </c>
      <c r="ESN51" s="108">
        <f t="shared" si="635"/>
        <v>0</v>
      </c>
      <c r="ETG51" s="108" t="s">
        <v>67</v>
      </c>
      <c r="ETT51" s="108">
        <f t="shared" si="636"/>
        <v>0</v>
      </c>
      <c r="EUM51" s="108" t="s">
        <v>67</v>
      </c>
      <c r="EUZ51" s="108">
        <f t="shared" si="637"/>
        <v>0</v>
      </c>
      <c r="EVS51" s="108" t="s">
        <v>67</v>
      </c>
      <c r="EWF51" s="108">
        <f t="shared" si="638"/>
        <v>0</v>
      </c>
      <c r="EWY51" s="108" t="s">
        <v>67</v>
      </c>
      <c r="EXL51" s="108">
        <f t="shared" si="639"/>
        <v>0</v>
      </c>
      <c r="EYE51" s="108" t="s">
        <v>67</v>
      </c>
      <c r="EYR51" s="108">
        <f t="shared" si="640"/>
        <v>0</v>
      </c>
      <c r="EZK51" s="108" t="s">
        <v>67</v>
      </c>
      <c r="EZX51" s="108">
        <f t="shared" si="641"/>
        <v>0</v>
      </c>
      <c r="FAQ51" s="108" t="s">
        <v>67</v>
      </c>
      <c r="FBD51" s="108">
        <f t="shared" si="642"/>
        <v>0</v>
      </c>
      <c r="FBW51" s="108" t="s">
        <v>67</v>
      </c>
      <c r="FCJ51" s="108">
        <f t="shared" si="643"/>
        <v>0</v>
      </c>
      <c r="FDC51" s="108" t="s">
        <v>67</v>
      </c>
      <c r="FDP51" s="108">
        <f t="shared" si="644"/>
        <v>0</v>
      </c>
      <c r="FEI51" s="108" t="s">
        <v>67</v>
      </c>
      <c r="FEV51" s="108">
        <f t="shared" si="645"/>
        <v>0</v>
      </c>
      <c r="FFO51" s="108" t="s">
        <v>67</v>
      </c>
      <c r="FGB51" s="108">
        <f t="shared" si="646"/>
        <v>0</v>
      </c>
      <c r="FGU51" s="108" t="s">
        <v>67</v>
      </c>
      <c r="FHH51" s="108">
        <f t="shared" si="647"/>
        <v>0</v>
      </c>
      <c r="FIA51" s="108" t="s">
        <v>67</v>
      </c>
      <c r="FIN51" s="108">
        <f t="shared" si="648"/>
        <v>0</v>
      </c>
      <c r="FJG51" s="108" t="s">
        <v>67</v>
      </c>
      <c r="FJT51" s="108">
        <f t="shared" si="649"/>
        <v>0</v>
      </c>
      <c r="FKM51" s="108" t="s">
        <v>67</v>
      </c>
      <c r="FKZ51" s="108">
        <f t="shared" si="650"/>
        <v>0</v>
      </c>
      <c r="FLS51" s="108" t="s">
        <v>67</v>
      </c>
      <c r="FMF51" s="108">
        <f t="shared" si="651"/>
        <v>0</v>
      </c>
      <c r="FMY51" s="108" t="s">
        <v>67</v>
      </c>
      <c r="FNL51" s="108">
        <f t="shared" si="652"/>
        <v>0</v>
      </c>
      <c r="FOE51" s="108" t="s">
        <v>67</v>
      </c>
      <c r="FOR51" s="108">
        <f t="shared" si="653"/>
        <v>0</v>
      </c>
      <c r="FPK51" s="108" t="s">
        <v>67</v>
      </c>
      <c r="FPX51" s="108">
        <f t="shared" si="654"/>
        <v>0</v>
      </c>
      <c r="FQQ51" s="108" t="s">
        <v>67</v>
      </c>
      <c r="FRD51" s="108">
        <f t="shared" si="655"/>
        <v>0</v>
      </c>
      <c r="FRW51" s="108" t="s">
        <v>67</v>
      </c>
      <c r="FSJ51" s="108">
        <f t="shared" si="656"/>
        <v>0</v>
      </c>
      <c r="FTC51" s="108" t="s">
        <v>67</v>
      </c>
      <c r="FTP51" s="108">
        <f t="shared" si="657"/>
        <v>0</v>
      </c>
      <c r="FUI51" s="108" t="s">
        <v>67</v>
      </c>
      <c r="FUV51" s="108">
        <f t="shared" si="658"/>
        <v>0</v>
      </c>
      <c r="FVO51" s="108" t="s">
        <v>67</v>
      </c>
      <c r="FWB51" s="108">
        <f t="shared" si="659"/>
        <v>0</v>
      </c>
      <c r="FWU51" s="108" t="s">
        <v>67</v>
      </c>
      <c r="FXH51" s="108">
        <f t="shared" si="660"/>
        <v>0</v>
      </c>
      <c r="FYA51" s="108" t="s">
        <v>67</v>
      </c>
      <c r="FYN51" s="108">
        <f t="shared" si="661"/>
        <v>0</v>
      </c>
      <c r="FZG51" s="108" t="s">
        <v>67</v>
      </c>
      <c r="FZT51" s="108">
        <f t="shared" si="662"/>
        <v>0</v>
      </c>
      <c r="GAM51" s="108" t="s">
        <v>67</v>
      </c>
      <c r="GAZ51" s="108">
        <f t="shared" si="663"/>
        <v>0</v>
      </c>
      <c r="GBS51" s="108" t="s">
        <v>67</v>
      </c>
      <c r="GCF51" s="108">
        <f t="shared" si="664"/>
        <v>0</v>
      </c>
      <c r="GCY51" s="108" t="s">
        <v>67</v>
      </c>
      <c r="GDL51" s="108">
        <f t="shared" si="665"/>
        <v>0</v>
      </c>
      <c r="GEE51" s="108" t="s">
        <v>67</v>
      </c>
      <c r="GER51" s="108">
        <f t="shared" si="666"/>
        <v>0</v>
      </c>
      <c r="GFK51" s="108" t="s">
        <v>67</v>
      </c>
      <c r="GFX51" s="108">
        <f t="shared" si="667"/>
        <v>0</v>
      </c>
      <c r="GGQ51" s="108" t="s">
        <v>67</v>
      </c>
      <c r="GHD51" s="108">
        <f t="shared" si="668"/>
        <v>0</v>
      </c>
      <c r="GHW51" s="108" t="s">
        <v>67</v>
      </c>
      <c r="GIJ51" s="108">
        <f t="shared" si="669"/>
        <v>0</v>
      </c>
      <c r="GJC51" s="108" t="s">
        <v>67</v>
      </c>
      <c r="GJP51" s="108">
        <f t="shared" si="670"/>
        <v>0</v>
      </c>
      <c r="GKI51" s="108" t="s">
        <v>67</v>
      </c>
      <c r="GKV51" s="108">
        <f t="shared" si="671"/>
        <v>0</v>
      </c>
      <c r="GLO51" s="108" t="s">
        <v>67</v>
      </c>
      <c r="GMB51" s="108">
        <f t="shared" si="672"/>
        <v>0</v>
      </c>
      <c r="GMU51" s="108" t="s">
        <v>67</v>
      </c>
      <c r="GNH51" s="108">
        <f t="shared" si="673"/>
        <v>0</v>
      </c>
      <c r="GOA51" s="108" t="s">
        <v>67</v>
      </c>
      <c r="GON51" s="108">
        <f t="shared" si="674"/>
        <v>0</v>
      </c>
      <c r="GPG51" s="108" t="s">
        <v>67</v>
      </c>
      <c r="GPT51" s="108">
        <f t="shared" si="675"/>
        <v>0</v>
      </c>
      <c r="GQM51" s="108" t="s">
        <v>67</v>
      </c>
      <c r="GQZ51" s="108">
        <f t="shared" si="676"/>
        <v>0</v>
      </c>
      <c r="GRS51" s="108" t="s">
        <v>67</v>
      </c>
      <c r="GSF51" s="108">
        <f t="shared" si="677"/>
        <v>0</v>
      </c>
      <c r="GSY51" s="108" t="s">
        <v>67</v>
      </c>
      <c r="GTL51" s="108">
        <f t="shared" si="678"/>
        <v>0</v>
      </c>
      <c r="GUE51" s="108" t="s">
        <v>67</v>
      </c>
      <c r="GUR51" s="108">
        <f t="shared" si="679"/>
        <v>0</v>
      </c>
      <c r="GVK51" s="108" t="s">
        <v>67</v>
      </c>
      <c r="GVX51" s="108">
        <f t="shared" si="680"/>
        <v>0</v>
      </c>
      <c r="GWQ51" s="108" t="s">
        <v>67</v>
      </c>
      <c r="GXD51" s="108">
        <f t="shared" si="681"/>
        <v>0</v>
      </c>
      <c r="GXW51" s="108" t="s">
        <v>67</v>
      </c>
      <c r="GYJ51" s="108">
        <f t="shared" si="682"/>
        <v>0</v>
      </c>
      <c r="GZC51" s="108" t="s">
        <v>67</v>
      </c>
      <c r="GZP51" s="108">
        <f t="shared" si="683"/>
        <v>0</v>
      </c>
      <c r="HAI51" s="108" t="s">
        <v>67</v>
      </c>
      <c r="HAV51" s="108">
        <f t="shared" si="684"/>
        <v>0</v>
      </c>
      <c r="HBO51" s="108" t="s">
        <v>67</v>
      </c>
      <c r="HCB51" s="108">
        <f t="shared" si="685"/>
        <v>0</v>
      </c>
      <c r="HCU51" s="108" t="s">
        <v>67</v>
      </c>
      <c r="HDH51" s="108">
        <f t="shared" si="686"/>
        <v>0</v>
      </c>
      <c r="HEA51" s="108" t="s">
        <v>67</v>
      </c>
      <c r="HEN51" s="108">
        <f t="shared" si="687"/>
        <v>0</v>
      </c>
      <c r="HFG51" s="108" t="s">
        <v>67</v>
      </c>
      <c r="HFT51" s="108">
        <f t="shared" si="688"/>
        <v>0</v>
      </c>
      <c r="HGM51" s="108" t="s">
        <v>67</v>
      </c>
      <c r="HGZ51" s="108">
        <f t="shared" si="689"/>
        <v>0</v>
      </c>
      <c r="HHS51" s="108" t="s">
        <v>67</v>
      </c>
      <c r="HIF51" s="108">
        <f t="shared" si="690"/>
        <v>0</v>
      </c>
      <c r="HIY51" s="108" t="s">
        <v>67</v>
      </c>
      <c r="HJL51" s="108">
        <f t="shared" si="691"/>
        <v>0</v>
      </c>
      <c r="HKE51" s="108" t="s">
        <v>67</v>
      </c>
      <c r="HKR51" s="108">
        <f t="shared" si="692"/>
        <v>0</v>
      </c>
      <c r="HLK51" s="108" t="s">
        <v>67</v>
      </c>
      <c r="HLX51" s="108">
        <f t="shared" si="693"/>
        <v>0</v>
      </c>
      <c r="HMQ51" s="108" t="s">
        <v>67</v>
      </c>
      <c r="HND51" s="108">
        <f t="shared" si="694"/>
        <v>0</v>
      </c>
      <c r="HNW51" s="108" t="s">
        <v>67</v>
      </c>
      <c r="HOJ51" s="108">
        <f t="shared" si="695"/>
        <v>0</v>
      </c>
      <c r="HPC51" s="108" t="s">
        <v>67</v>
      </c>
      <c r="HPP51" s="108">
        <f t="shared" si="696"/>
        <v>0</v>
      </c>
      <c r="HQI51" s="108" t="s">
        <v>67</v>
      </c>
      <c r="HQV51" s="108">
        <f t="shared" si="697"/>
        <v>0</v>
      </c>
      <c r="HRO51" s="108" t="s">
        <v>67</v>
      </c>
      <c r="HSB51" s="108">
        <f t="shared" si="698"/>
        <v>0</v>
      </c>
      <c r="HSU51" s="108" t="s">
        <v>67</v>
      </c>
      <c r="HTH51" s="108">
        <f t="shared" si="699"/>
        <v>0</v>
      </c>
      <c r="HUA51" s="108" t="s">
        <v>67</v>
      </c>
      <c r="HUN51" s="108">
        <f t="shared" si="700"/>
        <v>0</v>
      </c>
      <c r="HVG51" s="108" t="s">
        <v>67</v>
      </c>
      <c r="HVT51" s="108">
        <f t="shared" si="701"/>
        <v>0</v>
      </c>
      <c r="HWM51" s="108" t="s">
        <v>67</v>
      </c>
      <c r="HWZ51" s="108">
        <f t="shared" si="702"/>
        <v>0</v>
      </c>
      <c r="HXS51" s="108" t="s">
        <v>67</v>
      </c>
      <c r="HYF51" s="108">
        <f t="shared" si="703"/>
        <v>0</v>
      </c>
      <c r="HYY51" s="108" t="s">
        <v>67</v>
      </c>
      <c r="HZL51" s="108">
        <f t="shared" si="704"/>
        <v>0</v>
      </c>
      <c r="IAE51" s="108" t="s">
        <v>67</v>
      </c>
      <c r="IAR51" s="108">
        <f t="shared" si="705"/>
        <v>0</v>
      </c>
      <c r="IBK51" s="108" t="s">
        <v>67</v>
      </c>
      <c r="IBX51" s="108">
        <f t="shared" si="706"/>
        <v>0</v>
      </c>
      <c r="ICQ51" s="108" t="s">
        <v>67</v>
      </c>
      <c r="IDD51" s="108">
        <f t="shared" si="707"/>
        <v>0</v>
      </c>
      <c r="IDW51" s="108" t="s">
        <v>67</v>
      </c>
      <c r="IEJ51" s="108">
        <f t="shared" si="708"/>
        <v>0</v>
      </c>
      <c r="IFC51" s="108" t="s">
        <v>67</v>
      </c>
      <c r="IFP51" s="108">
        <f t="shared" si="709"/>
        <v>0</v>
      </c>
      <c r="IGI51" s="108" t="s">
        <v>67</v>
      </c>
      <c r="IGV51" s="108">
        <f t="shared" si="710"/>
        <v>0</v>
      </c>
      <c r="IHO51" s="108" t="s">
        <v>67</v>
      </c>
      <c r="IIB51" s="108">
        <f t="shared" si="711"/>
        <v>0</v>
      </c>
      <c r="IIU51" s="108" t="s">
        <v>67</v>
      </c>
      <c r="IJH51" s="108">
        <f t="shared" si="712"/>
        <v>0</v>
      </c>
      <c r="IKA51" s="108" t="s">
        <v>67</v>
      </c>
      <c r="IKN51" s="108">
        <f t="shared" si="713"/>
        <v>0</v>
      </c>
      <c r="ILG51" s="108" t="s">
        <v>67</v>
      </c>
      <c r="ILT51" s="108">
        <f t="shared" si="714"/>
        <v>0</v>
      </c>
      <c r="IMM51" s="108" t="s">
        <v>67</v>
      </c>
      <c r="IMZ51" s="108">
        <f t="shared" si="715"/>
        <v>0</v>
      </c>
      <c r="INS51" s="108" t="s">
        <v>67</v>
      </c>
      <c r="IOF51" s="108">
        <f t="shared" si="716"/>
        <v>0</v>
      </c>
      <c r="IOY51" s="108" t="s">
        <v>67</v>
      </c>
      <c r="IPL51" s="108">
        <f t="shared" si="717"/>
        <v>0</v>
      </c>
      <c r="IQE51" s="108" t="s">
        <v>67</v>
      </c>
      <c r="IQR51" s="108">
        <f t="shared" si="718"/>
        <v>0</v>
      </c>
      <c r="IRK51" s="108" t="s">
        <v>67</v>
      </c>
      <c r="IRX51" s="108">
        <f t="shared" si="719"/>
        <v>0</v>
      </c>
      <c r="ISQ51" s="108" t="s">
        <v>67</v>
      </c>
      <c r="ITD51" s="108">
        <f t="shared" si="720"/>
        <v>0</v>
      </c>
      <c r="ITW51" s="108" t="s">
        <v>67</v>
      </c>
      <c r="IUJ51" s="108">
        <f t="shared" si="721"/>
        <v>0</v>
      </c>
      <c r="IVC51" s="108" t="s">
        <v>67</v>
      </c>
      <c r="IVP51" s="108">
        <f t="shared" si="722"/>
        <v>0</v>
      </c>
      <c r="IWI51" s="108" t="s">
        <v>67</v>
      </c>
      <c r="IWV51" s="108">
        <f t="shared" si="723"/>
        <v>0</v>
      </c>
      <c r="IXO51" s="108" t="s">
        <v>67</v>
      </c>
      <c r="IYB51" s="108">
        <f t="shared" si="724"/>
        <v>0</v>
      </c>
      <c r="IYU51" s="108" t="s">
        <v>67</v>
      </c>
      <c r="IZH51" s="108">
        <f t="shared" si="725"/>
        <v>0</v>
      </c>
      <c r="JAA51" s="108" t="s">
        <v>67</v>
      </c>
      <c r="JAN51" s="108">
        <f t="shared" si="726"/>
        <v>0</v>
      </c>
      <c r="JBG51" s="108" t="s">
        <v>67</v>
      </c>
      <c r="JBT51" s="108">
        <f t="shared" si="727"/>
        <v>0</v>
      </c>
      <c r="JCM51" s="108" t="s">
        <v>67</v>
      </c>
      <c r="JCZ51" s="108">
        <f t="shared" si="728"/>
        <v>0</v>
      </c>
      <c r="JDS51" s="108" t="s">
        <v>67</v>
      </c>
      <c r="JEF51" s="108">
        <f t="shared" si="729"/>
        <v>0</v>
      </c>
      <c r="JEY51" s="108" t="s">
        <v>67</v>
      </c>
      <c r="JFL51" s="108">
        <f t="shared" si="730"/>
        <v>0</v>
      </c>
      <c r="JGE51" s="108" t="s">
        <v>67</v>
      </c>
      <c r="JGR51" s="108">
        <f t="shared" si="731"/>
        <v>0</v>
      </c>
      <c r="JHK51" s="108" t="s">
        <v>67</v>
      </c>
      <c r="JHX51" s="108">
        <f t="shared" si="732"/>
        <v>0</v>
      </c>
      <c r="JIQ51" s="108" t="s">
        <v>67</v>
      </c>
      <c r="JJD51" s="108">
        <f t="shared" si="733"/>
        <v>0</v>
      </c>
      <c r="JJW51" s="108" t="s">
        <v>67</v>
      </c>
      <c r="JKJ51" s="108">
        <f t="shared" si="734"/>
        <v>0</v>
      </c>
      <c r="JLC51" s="108" t="s">
        <v>67</v>
      </c>
      <c r="JLP51" s="108">
        <f t="shared" si="735"/>
        <v>0</v>
      </c>
      <c r="JMI51" s="108" t="s">
        <v>67</v>
      </c>
      <c r="JMV51" s="108">
        <f t="shared" si="736"/>
        <v>0</v>
      </c>
      <c r="JNO51" s="108" t="s">
        <v>67</v>
      </c>
      <c r="JOB51" s="108">
        <f t="shared" si="737"/>
        <v>0</v>
      </c>
      <c r="JOU51" s="108" t="s">
        <v>67</v>
      </c>
      <c r="JPH51" s="108">
        <f t="shared" si="738"/>
        <v>0</v>
      </c>
      <c r="JQA51" s="108" t="s">
        <v>67</v>
      </c>
      <c r="JQN51" s="108">
        <f t="shared" si="739"/>
        <v>0</v>
      </c>
      <c r="JRG51" s="108" t="s">
        <v>67</v>
      </c>
      <c r="JRT51" s="108">
        <f t="shared" si="740"/>
        <v>0</v>
      </c>
      <c r="JSM51" s="108" t="s">
        <v>67</v>
      </c>
      <c r="JSZ51" s="108">
        <f t="shared" si="741"/>
        <v>0</v>
      </c>
      <c r="JTS51" s="108" t="s">
        <v>67</v>
      </c>
      <c r="JUF51" s="108">
        <f t="shared" si="742"/>
        <v>0</v>
      </c>
      <c r="JUY51" s="108" t="s">
        <v>67</v>
      </c>
      <c r="JVL51" s="108">
        <f t="shared" si="743"/>
        <v>0</v>
      </c>
      <c r="JWE51" s="108" t="s">
        <v>67</v>
      </c>
      <c r="JWR51" s="108">
        <f t="shared" si="744"/>
        <v>0</v>
      </c>
      <c r="JXK51" s="108" t="s">
        <v>67</v>
      </c>
      <c r="JXX51" s="108">
        <f t="shared" si="745"/>
        <v>0</v>
      </c>
      <c r="JYQ51" s="108" t="s">
        <v>67</v>
      </c>
      <c r="JZD51" s="108">
        <f t="shared" si="746"/>
        <v>0</v>
      </c>
      <c r="JZW51" s="108" t="s">
        <v>67</v>
      </c>
      <c r="KAJ51" s="108">
        <f t="shared" si="747"/>
        <v>0</v>
      </c>
      <c r="KBC51" s="108" t="s">
        <v>67</v>
      </c>
      <c r="KBP51" s="108">
        <f t="shared" si="748"/>
        <v>0</v>
      </c>
      <c r="KCI51" s="108" t="s">
        <v>67</v>
      </c>
      <c r="KCV51" s="108">
        <f t="shared" si="749"/>
        <v>0</v>
      </c>
      <c r="KDO51" s="108" t="s">
        <v>67</v>
      </c>
      <c r="KEB51" s="108">
        <f t="shared" si="750"/>
        <v>0</v>
      </c>
      <c r="KEU51" s="108" t="s">
        <v>67</v>
      </c>
      <c r="KFH51" s="108">
        <f t="shared" si="751"/>
        <v>0</v>
      </c>
      <c r="KGA51" s="108" t="s">
        <v>67</v>
      </c>
      <c r="KGN51" s="108">
        <f t="shared" si="752"/>
        <v>0</v>
      </c>
      <c r="KHG51" s="108" t="s">
        <v>67</v>
      </c>
      <c r="KHT51" s="108">
        <f t="shared" si="753"/>
        <v>0</v>
      </c>
      <c r="KIM51" s="108" t="s">
        <v>67</v>
      </c>
      <c r="KIZ51" s="108">
        <f t="shared" si="754"/>
        <v>0</v>
      </c>
      <c r="KJS51" s="108" t="s">
        <v>67</v>
      </c>
      <c r="KKF51" s="108">
        <f t="shared" si="755"/>
        <v>0</v>
      </c>
      <c r="KKY51" s="108" t="s">
        <v>67</v>
      </c>
      <c r="KLL51" s="108">
        <f t="shared" si="756"/>
        <v>0</v>
      </c>
      <c r="KME51" s="108" t="s">
        <v>67</v>
      </c>
      <c r="KMR51" s="108">
        <f t="shared" si="757"/>
        <v>0</v>
      </c>
      <c r="KNK51" s="108" t="s">
        <v>67</v>
      </c>
      <c r="KNX51" s="108">
        <f t="shared" si="758"/>
        <v>0</v>
      </c>
      <c r="KOQ51" s="108" t="s">
        <v>67</v>
      </c>
      <c r="KPD51" s="108">
        <f t="shared" si="759"/>
        <v>0</v>
      </c>
      <c r="KPW51" s="108" t="s">
        <v>67</v>
      </c>
      <c r="KQJ51" s="108">
        <f t="shared" si="760"/>
        <v>0</v>
      </c>
      <c r="KRC51" s="108" t="s">
        <v>67</v>
      </c>
      <c r="KRP51" s="108">
        <f t="shared" si="761"/>
        <v>0</v>
      </c>
      <c r="KSI51" s="108" t="s">
        <v>67</v>
      </c>
      <c r="KSV51" s="108">
        <f t="shared" si="762"/>
        <v>0</v>
      </c>
      <c r="KTO51" s="108" t="s">
        <v>67</v>
      </c>
      <c r="KUB51" s="108">
        <f t="shared" si="763"/>
        <v>0</v>
      </c>
      <c r="KUU51" s="108" t="s">
        <v>67</v>
      </c>
      <c r="KVH51" s="108">
        <f t="shared" si="764"/>
        <v>0</v>
      </c>
      <c r="KWA51" s="108" t="s">
        <v>67</v>
      </c>
      <c r="KWN51" s="108">
        <f t="shared" si="765"/>
        <v>0</v>
      </c>
      <c r="KXG51" s="108" t="s">
        <v>67</v>
      </c>
      <c r="KXT51" s="108">
        <f t="shared" si="766"/>
        <v>0</v>
      </c>
      <c r="KYM51" s="108" t="s">
        <v>67</v>
      </c>
      <c r="KYZ51" s="108">
        <f t="shared" si="767"/>
        <v>0</v>
      </c>
      <c r="KZS51" s="108" t="s">
        <v>67</v>
      </c>
      <c r="LAF51" s="108">
        <f t="shared" si="768"/>
        <v>0</v>
      </c>
      <c r="LAY51" s="108" t="s">
        <v>67</v>
      </c>
      <c r="LBL51" s="108">
        <f t="shared" si="769"/>
        <v>0</v>
      </c>
      <c r="LCE51" s="108" t="s">
        <v>67</v>
      </c>
      <c r="LCR51" s="108">
        <f t="shared" si="770"/>
        <v>0</v>
      </c>
      <c r="LDK51" s="108" t="s">
        <v>67</v>
      </c>
      <c r="LDX51" s="108">
        <f t="shared" si="771"/>
        <v>0</v>
      </c>
      <c r="LEQ51" s="108" t="s">
        <v>67</v>
      </c>
      <c r="LFD51" s="108">
        <f t="shared" si="772"/>
        <v>0</v>
      </c>
      <c r="LFW51" s="108" t="s">
        <v>67</v>
      </c>
      <c r="LGJ51" s="108">
        <f t="shared" si="773"/>
        <v>0</v>
      </c>
      <c r="LHC51" s="108" t="s">
        <v>67</v>
      </c>
      <c r="LHP51" s="108">
        <f t="shared" si="774"/>
        <v>0</v>
      </c>
      <c r="LII51" s="108" t="s">
        <v>67</v>
      </c>
      <c r="LIV51" s="108">
        <f t="shared" si="775"/>
        <v>0</v>
      </c>
      <c r="LJO51" s="108" t="s">
        <v>67</v>
      </c>
      <c r="LKB51" s="108">
        <f t="shared" si="776"/>
        <v>0</v>
      </c>
      <c r="LKU51" s="108" t="s">
        <v>67</v>
      </c>
      <c r="LLH51" s="108">
        <f t="shared" si="777"/>
        <v>0</v>
      </c>
      <c r="LMA51" s="108" t="s">
        <v>67</v>
      </c>
      <c r="LMN51" s="108">
        <f t="shared" si="778"/>
        <v>0</v>
      </c>
      <c r="LNG51" s="108" t="s">
        <v>67</v>
      </c>
      <c r="LNT51" s="108">
        <f t="shared" si="779"/>
        <v>0</v>
      </c>
      <c r="LOM51" s="108" t="s">
        <v>67</v>
      </c>
      <c r="LOZ51" s="108">
        <f t="shared" si="780"/>
        <v>0</v>
      </c>
      <c r="LPS51" s="108" t="s">
        <v>67</v>
      </c>
      <c r="LQF51" s="108">
        <f t="shared" si="781"/>
        <v>0</v>
      </c>
      <c r="LQY51" s="108" t="s">
        <v>67</v>
      </c>
      <c r="LRL51" s="108">
        <f t="shared" si="782"/>
        <v>0</v>
      </c>
      <c r="LSE51" s="108" t="s">
        <v>67</v>
      </c>
      <c r="LSR51" s="108">
        <f t="shared" si="783"/>
        <v>0</v>
      </c>
      <c r="LTK51" s="108" t="s">
        <v>67</v>
      </c>
      <c r="LTX51" s="108">
        <f t="shared" si="784"/>
        <v>0</v>
      </c>
      <c r="LUQ51" s="108" t="s">
        <v>67</v>
      </c>
      <c r="LVD51" s="108">
        <f t="shared" si="785"/>
        <v>0</v>
      </c>
      <c r="LVW51" s="108" t="s">
        <v>67</v>
      </c>
      <c r="LWJ51" s="108">
        <f t="shared" si="786"/>
        <v>0</v>
      </c>
      <c r="LXC51" s="108" t="s">
        <v>67</v>
      </c>
      <c r="LXP51" s="108">
        <f t="shared" si="787"/>
        <v>0</v>
      </c>
      <c r="LYI51" s="108" t="s">
        <v>67</v>
      </c>
      <c r="LYV51" s="108">
        <f t="shared" si="788"/>
        <v>0</v>
      </c>
      <c r="LZO51" s="108" t="s">
        <v>67</v>
      </c>
      <c r="MAB51" s="108">
        <f t="shared" si="789"/>
        <v>0</v>
      </c>
      <c r="MAU51" s="108" t="s">
        <v>67</v>
      </c>
      <c r="MBH51" s="108">
        <f t="shared" si="790"/>
        <v>0</v>
      </c>
      <c r="MCA51" s="108" t="s">
        <v>67</v>
      </c>
      <c r="MCN51" s="108">
        <f t="shared" si="791"/>
        <v>0</v>
      </c>
      <c r="MDG51" s="108" t="s">
        <v>67</v>
      </c>
      <c r="MDT51" s="108">
        <f t="shared" si="792"/>
        <v>0</v>
      </c>
      <c r="MEM51" s="108" t="s">
        <v>67</v>
      </c>
      <c r="MEZ51" s="108">
        <f t="shared" si="793"/>
        <v>0</v>
      </c>
      <c r="MFS51" s="108" t="s">
        <v>67</v>
      </c>
      <c r="MGF51" s="108">
        <f t="shared" si="794"/>
        <v>0</v>
      </c>
      <c r="MGY51" s="108" t="s">
        <v>67</v>
      </c>
      <c r="MHL51" s="108">
        <f t="shared" si="795"/>
        <v>0</v>
      </c>
      <c r="MIE51" s="108" t="s">
        <v>67</v>
      </c>
      <c r="MIR51" s="108">
        <f t="shared" si="796"/>
        <v>0</v>
      </c>
      <c r="MJK51" s="108" t="s">
        <v>67</v>
      </c>
      <c r="MJX51" s="108">
        <f t="shared" si="797"/>
        <v>0</v>
      </c>
      <c r="MKQ51" s="108" t="s">
        <v>67</v>
      </c>
      <c r="MLD51" s="108">
        <f t="shared" si="798"/>
        <v>0</v>
      </c>
      <c r="MLW51" s="108" t="s">
        <v>67</v>
      </c>
      <c r="MMJ51" s="108">
        <f t="shared" si="799"/>
        <v>0</v>
      </c>
      <c r="MNC51" s="108" t="s">
        <v>67</v>
      </c>
      <c r="MNP51" s="108">
        <f t="shared" si="800"/>
        <v>0</v>
      </c>
      <c r="MOI51" s="108" t="s">
        <v>67</v>
      </c>
      <c r="MOV51" s="108">
        <f t="shared" si="801"/>
        <v>0</v>
      </c>
      <c r="MPO51" s="108" t="s">
        <v>67</v>
      </c>
      <c r="MQB51" s="108">
        <f t="shared" si="802"/>
        <v>0</v>
      </c>
      <c r="MQU51" s="108" t="s">
        <v>67</v>
      </c>
      <c r="MRH51" s="108">
        <f t="shared" si="803"/>
        <v>0</v>
      </c>
      <c r="MSA51" s="108" t="s">
        <v>67</v>
      </c>
      <c r="MSN51" s="108">
        <f t="shared" si="804"/>
        <v>0</v>
      </c>
      <c r="MTG51" s="108" t="s">
        <v>67</v>
      </c>
      <c r="MTT51" s="108">
        <f t="shared" si="805"/>
        <v>0</v>
      </c>
      <c r="MUM51" s="108" t="s">
        <v>67</v>
      </c>
      <c r="MUZ51" s="108">
        <f t="shared" si="806"/>
        <v>0</v>
      </c>
      <c r="MVS51" s="108" t="s">
        <v>67</v>
      </c>
      <c r="MWF51" s="108">
        <f t="shared" si="807"/>
        <v>0</v>
      </c>
      <c r="MWY51" s="108" t="s">
        <v>67</v>
      </c>
      <c r="MXL51" s="108">
        <f t="shared" si="808"/>
        <v>0</v>
      </c>
      <c r="MYE51" s="108" t="s">
        <v>67</v>
      </c>
      <c r="MYR51" s="108">
        <f t="shared" si="809"/>
        <v>0</v>
      </c>
      <c r="MZK51" s="108" t="s">
        <v>67</v>
      </c>
      <c r="MZX51" s="108">
        <f t="shared" si="810"/>
        <v>0</v>
      </c>
      <c r="NAQ51" s="108" t="s">
        <v>67</v>
      </c>
      <c r="NBD51" s="108">
        <f t="shared" si="811"/>
        <v>0</v>
      </c>
      <c r="NBW51" s="108" t="s">
        <v>67</v>
      </c>
      <c r="NCJ51" s="108">
        <f t="shared" si="812"/>
        <v>0</v>
      </c>
      <c r="NDC51" s="108" t="s">
        <v>67</v>
      </c>
      <c r="NDP51" s="108">
        <f t="shared" si="813"/>
        <v>0</v>
      </c>
      <c r="NEI51" s="108" t="s">
        <v>67</v>
      </c>
      <c r="NEV51" s="108">
        <f t="shared" si="814"/>
        <v>0</v>
      </c>
      <c r="NFO51" s="108" t="s">
        <v>67</v>
      </c>
      <c r="NGB51" s="108">
        <f t="shared" si="815"/>
        <v>0</v>
      </c>
      <c r="NGU51" s="108" t="s">
        <v>67</v>
      </c>
      <c r="NHH51" s="108">
        <f t="shared" si="816"/>
        <v>0</v>
      </c>
      <c r="NIA51" s="108" t="s">
        <v>67</v>
      </c>
      <c r="NIN51" s="108">
        <f t="shared" si="817"/>
        <v>0</v>
      </c>
      <c r="NJG51" s="108" t="s">
        <v>67</v>
      </c>
      <c r="NJT51" s="108">
        <f t="shared" si="818"/>
        <v>0</v>
      </c>
      <c r="NKM51" s="108" t="s">
        <v>67</v>
      </c>
      <c r="NKZ51" s="108">
        <f t="shared" si="819"/>
        <v>0</v>
      </c>
      <c r="NLS51" s="108" t="s">
        <v>67</v>
      </c>
      <c r="NMF51" s="108">
        <f t="shared" si="820"/>
        <v>0</v>
      </c>
      <c r="NMY51" s="108" t="s">
        <v>67</v>
      </c>
      <c r="NNL51" s="108">
        <f t="shared" si="821"/>
        <v>0</v>
      </c>
      <c r="NOE51" s="108" t="s">
        <v>67</v>
      </c>
      <c r="NOR51" s="108">
        <f t="shared" si="822"/>
        <v>0</v>
      </c>
      <c r="NPK51" s="108" t="s">
        <v>67</v>
      </c>
      <c r="NPX51" s="108">
        <f t="shared" si="823"/>
        <v>0</v>
      </c>
      <c r="NQQ51" s="108" t="s">
        <v>67</v>
      </c>
      <c r="NRD51" s="108">
        <f t="shared" si="824"/>
        <v>0</v>
      </c>
      <c r="NRW51" s="108" t="s">
        <v>67</v>
      </c>
      <c r="NSJ51" s="108">
        <f t="shared" si="825"/>
        <v>0</v>
      </c>
      <c r="NTC51" s="108" t="s">
        <v>67</v>
      </c>
      <c r="NTP51" s="108">
        <f t="shared" si="826"/>
        <v>0</v>
      </c>
      <c r="NUI51" s="108" t="s">
        <v>67</v>
      </c>
      <c r="NUV51" s="108">
        <f t="shared" si="827"/>
        <v>0</v>
      </c>
      <c r="NVO51" s="108" t="s">
        <v>67</v>
      </c>
      <c r="NWB51" s="108">
        <f t="shared" si="828"/>
        <v>0</v>
      </c>
      <c r="NWU51" s="108" t="s">
        <v>67</v>
      </c>
      <c r="NXH51" s="108">
        <f t="shared" si="829"/>
        <v>0</v>
      </c>
      <c r="NYA51" s="108" t="s">
        <v>67</v>
      </c>
      <c r="NYN51" s="108">
        <f t="shared" si="830"/>
        <v>0</v>
      </c>
      <c r="NZG51" s="108" t="s">
        <v>67</v>
      </c>
      <c r="NZT51" s="108">
        <f t="shared" si="831"/>
        <v>0</v>
      </c>
      <c r="OAM51" s="108" t="s">
        <v>67</v>
      </c>
      <c r="OAZ51" s="108">
        <f t="shared" si="832"/>
        <v>0</v>
      </c>
      <c r="OBS51" s="108" t="s">
        <v>67</v>
      </c>
      <c r="OCF51" s="108">
        <f t="shared" si="833"/>
        <v>0</v>
      </c>
      <c r="OCY51" s="108" t="s">
        <v>67</v>
      </c>
      <c r="ODL51" s="108">
        <f t="shared" si="834"/>
        <v>0</v>
      </c>
      <c r="OEE51" s="108" t="s">
        <v>67</v>
      </c>
      <c r="OER51" s="108">
        <f t="shared" si="835"/>
        <v>0</v>
      </c>
      <c r="OFK51" s="108" t="s">
        <v>67</v>
      </c>
      <c r="OFX51" s="108">
        <f t="shared" si="836"/>
        <v>0</v>
      </c>
      <c r="OGQ51" s="108" t="s">
        <v>67</v>
      </c>
      <c r="OHD51" s="108">
        <f t="shared" si="837"/>
        <v>0</v>
      </c>
      <c r="OHW51" s="108" t="s">
        <v>67</v>
      </c>
      <c r="OIJ51" s="108">
        <f t="shared" si="838"/>
        <v>0</v>
      </c>
      <c r="OJC51" s="108" t="s">
        <v>67</v>
      </c>
      <c r="OJP51" s="108">
        <f t="shared" si="839"/>
        <v>0</v>
      </c>
      <c r="OKI51" s="108" t="s">
        <v>67</v>
      </c>
      <c r="OKV51" s="108">
        <f t="shared" si="840"/>
        <v>0</v>
      </c>
      <c r="OLO51" s="108" t="s">
        <v>67</v>
      </c>
      <c r="OMB51" s="108">
        <f t="shared" si="841"/>
        <v>0</v>
      </c>
      <c r="OMU51" s="108" t="s">
        <v>67</v>
      </c>
      <c r="ONH51" s="108">
        <f t="shared" si="842"/>
        <v>0</v>
      </c>
      <c r="OOA51" s="108" t="s">
        <v>67</v>
      </c>
      <c r="OON51" s="108">
        <f t="shared" si="843"/>
        <v>0</v>
      </c>
      <c r="OPG51" s="108" t="s">
        <v>67</v>
      </c>
      <c r="OPT51" s="108">
        <f t="shared" si="844"/>
        <v>0</v>
      </c>
      <c r="OQM51" s="108" t="s">
        <v>67</v>
      </c>
      <c r="OQZ51" s="108">
        <f t="shared" si="845"/>
        <v>0</v>
      </c>
      <c r="ORS51" s="108" t="s">
        <v>67</v>
      </c>
      <c r="OSF51" s="108">
        <f t="shared" si="846"/>
        <v>0</v>
      </c>
      <c r="OSY51" s="108" t="s">
        <v>67</v>
      </c>
      <c r="OTL51" s="108">
        <f t="shared" si="847"/>
        <v>0</v>
      </c>
      <c r="OUE51" s="108" t="s">
        <v>67</v>
      </c>
      <c r="OUR51" s="108">
        <f t="shared" si="848"/>
        <v>0</v>
      </c>
      <c r="OVK51" s="108" t="s">
        <v>67</v>
      </c>
      <c r="OVX51" s="108">
        <f t="shared" si="849"/>
        <v>0</v>
      </c>
      <c r="OWQ51" s="108" t="s">
        <v>67</v>
      </c>
      <c r="OXD51" s="108">
        <f t="shared" si="850"/>
        <v>0</v>
      </c>
      <c r="OXW51" s="108" t="s">
        <v>67</v>
      </c>
      <c r="OYJ51" s="108">
        <f t="shared" si="851"/>
        <v>0</v>
      </c>
      <c r="OZC51" s="108" t="s">
        <v>67</v>
      </c>
      <c r="OZP51" s="108">
        <f t="shared" si="852"/>
        <v>0</v>
      </c>
      <c r="PAI51" s="108" t="s">
        <v>67</v>
      </c>
      <c r="PAV51" s="108">
        <f t="shared" si="853"/>
        <v>0</v>
      </c>
      <c r="PBO51" s="108" t="s">
        <v>67</v>
      </c>
      <c r="PCB51" s="108">
        <f t="shared" si="854"/>
        <v>0</v>
      </c>
      <c r="PCU51" s="108" t="s">
        <v>67</v>
      </c>
      <c r="PDH51" s="108">
        <f t="shared" si="855"/>
        <v>0</v>
      </c>
      <c r="PEA51" s="108" t="s">
        <v>67</v>
      </c>
      <c r="PEN51" s="108">
        <f t="shared" si="856"/>
        <v>0</v>
      </c>
      <c r="PFG51" s="108" t="s">
        <v>67</v>
      </c>
      <c r="PFT51" s="108">
        <f t="shared" si="857"/>
        <v>0</v>
      </c>
      <c r="PGM51" s="108" t="s">
        <v>67</v>
      </c>
      <c r="PGZ51" s="108">
        <f t="shared" si="858"/>
        <v>0</v>
      </c>
      <c r="PHS51" s="108" t="s">
        <v>67</v>
      </c>
      <c r="PIF51" s="108">
        <f t="shared" si="859"/>
        <v>0</v>
      </c>
      <c r="PIY51" s="108" t="s">
        <v>67</v>
      </c>
      <c r="PJL51" s="108">
        <f t="shared" si="860"/>
        <v>0</v>
      </c>
      <c r="PKE51" s="108" t="s">
        <v>67</v>
      </c>
      <c r="PKR51" s="108">
        <f t="shared" si="861"/>
        <v>0</v>
      </c>
      <c r="PLK51" s="108" t="s">
        <v>67</v>
      </c>
      <c r="PLX51" s="108">
        <f t="shared" si="862"/>
        <v>0</v>
      </c>
      <c r="PMQ51" s="108" t="s">
        <v>67</v>
      </c>
      <c r="PND51" s="108">
        <f t="shared" si="863"/>
        <v>0</v>
      </c>
      <c r="PNW51" s="108" t="s">
        <v>67</v>
      </c>
      <c r="POJ51" s="108">
        <f t="shared" si="864"/>
        <v>0</v>
      </c>
      <c r="PPC51" s="108" t="s">
        <v>67</v>
      </c>
      <c r="PPP51" s="108">
        <f t="shared" si="865"/>
        <v>0</v>
      </c>
      <c r="PQI51" s="108" t="s">
        <v>67</v>
      </c>
      <c r="PQV51" s="108">
        <f t="shared" si="866"/>
        <v>0</v>
      </c>
      <c r="PRO51" s="108" t="s">
        <v>67</v>
      </c>
      <c r="PSB51" s="108">
        <f t="shared" si="867"/>
        <v>0</v>
      </c>
      <c r="PSU51" s="108" t="s">
        <v>67</v>
      </c>
      <c r="PTH51" s="108">
        <f t="shared" si="868"/>
        <v>0</v>
      </c>
      <c r="PUA51" s="108" t="s">
        <v>67</v>
      </c>
      <c r="PUN51" s="108">
        <f t="shared" si="869"/>
        <v>0</v>
      </c>
      <c r="PVG51" s="108" t="s">
        <v>67</v>
      </c>
      <c r="PVT51" s="108">
        <f t="shared" si="870"/>
        <v>0</v>
      </c>
      <c r="PWM51" s="108" t="s">
        <v>67</v>
      </c>
      <c r="PWZ51" s="108">
        <f t="shared" si="871"/>
        <v>0</v>
      </c>
      <c r="PXS51" s="108" t="s">
        <v>67</v>
      </c>
      <c r="PYF51" s="108">
        <f t="shared" si="872"/>
        <v>0</v>
      </c>
      <c r="PYY51" s="108" t="s">
        <v>67</v>
      </c>
      <c r="PZL51" s="108">
        <f t="shared" si="873"/>
        <v>0</v>
      </c>
      <c r="QAE51" s="108" t="s">
        <v>67</v>
      </c>
      <c r="QAR51" s="108">
        <f t="shared" si="874"/>
        <v>0</v>
      </c>
      <c r="QBK51" s="108" t="s">
        <v>67</v>
      </c>
      <c r="QBX51" s="108">
        <f t="shared" si="875"/>
        <v>0</v>
      </c>
      <c r="QCQ51" s="108" t="s">
        <v>67</v>
      </c>
      <c r="QDD51" s="108">
        <f t="shared" si="876"/>
        <v>0</v>
      </c>
      <c r="QDW51" s="108" t="s">
        <v>67</v>
      </c>
      <c r="QEJ51" s="108">
        <f t="shared" si="877"/>
        <v>0</v>
      </c>
      <c r="QFC51" s="108" t="s">
        <v>67</v>
      </c>
      <c r="QFP51" s="108">
        <f t="shared" si="878"/>
        <v>0</v>
      </c>
      <c r="QGI51" s="108" t="s">
        <v>67</v>
      </c>
      <c r="QGV51" s="108">
        <f t="shared" si="879"/>
        <v>0</v>
      </c>
      <c r="QHO51" s="108" t="s">
        <v>67</v>
      </c>
      <c r="QIB51" s="108">
        <f t="shared" si="880"/>
        <v>0</v>
      </c>
      <c r="QIU51" s="108" t="s">
        <v>67</v>
      </c>
      <c r="QJH51" s="108">
        <f t="shared" si="881"/>
        <v>0</v>
      </c>
      <c r="QKA51" s="108" t="s">
        <v>67</v>
      </c>
      <c r="QKN51" s="108">
        <f t="shared" si="882"/>
        <v>0</v>
      </c>
      <c r="QLG51" s="108" t="s">
        <v>67</v>
      </c>
      <c r="QLT51" s="108">
        <f t="shared" si="883"/>
        <v>0</v>
      </c>
      <c r="QMM51" s="108" t="s">
        <v>67</v>
      </c>
      <c r="QMZ51" s="108">
        <f t="shared" si="884"/>
        <v>0</v>
      </c>
      <c r="QNS51" s="108" t="s">
        <v>67</v>
      </c>
      <c r="QOF51" s="108">
        <f t="shared" si="885"/>
        <v>0</v>
      </c>
      <c r="QOY51" s="108" t="s">
        <v>67</v>
      </c>
      <c r="QPL51" s="108">
        <f t="shared" si="886"/>
        <v>0</v>
      </c>
      <c r="QQE51" s="108" t="s">
        <v>67</v>
      </c>
      <c r="QQR51" s="108">
        <f t="shared" si="887"/>
        <v>0</v>
      </c>
      <c r="QRK51" s="108" t="s">
        <v>67</v>
      </c>
      <c r="QRX51" s="108">
        <f t="shared" si="888"/>
        <v>0</v>
      </c>
      <c r="QSQ51" s="108" t="s">
        <v>67</v>
      </c>
      <c r="QTD51" s="108">
        <f t="shared" si="889"/>
        <v>0</v>
      </c>
      <c r="QTW51" s="108" t="s">
        <v>67</v>
      </c>
      <c r="QUJ51" s="108">
        <f t="shared" si="890"/>
        <v>0</v>
      </c>
      <c r="QVC51" s="108" t="s">
        <v>67</v>
      </c>
      <c r="QVP51" s="108">
        <f t="shared" si="891"/>
        <v>0</v>
      </c>
      <c r="QWI51" s="108" t="s">
        <v>67</v>
      </c>
      <c r="QWV51" s="108">
        <f t="shared" si="892"/>
        <v>0</v>
      </c>
      <c r="QXO51" s="108" t="s">
        <v>67</v>
      </c>
      <c r="QYB51" s="108">
        <f t="shared" si="893"/>
        <v>0</v>
      </c>
      <c r="QYU51" s="108" t="s">
        <v>67</v>
      </c>
      <c r="QZH51" s="108">
        <f t="shared" si="894"/>
        <v>0</v>
      </c>
      <c r="RAA51" s="108" t="s">
        <v>67</v>
      </c>
      <c r="RAN51" s="108">
        <f t="shared" si="895"/>
        <v>0</v>
      </c>
      <c r="RBG51" s="108" t="s">
        <v>67</v>
      </c>
      <c r="RBT51" s="108">
        <f t="shared" si="896"/>
        <v>0</v>
      </c>
      <c r="RCM51" s="108" t="s">
        <v>67</v>
      </c>
      <c r="RCZ51" s="108">
        <f t="shared" si="897"/>
        <v>0</v>
      </c>
      <c r="RDS51" s="108" t="s">
        <v>67</v>
      </c>
      <c r="REF51" s="108">
        <f t="shared" si="898"/>
        <v>0</v>
      </c>
      <c r="REY51" s="108" t="s">
        <v>67</v>
      </c>
      <c r="RFL51" s="108">
        <f t="shared" si="899"/>
        <v>0</v>
      </c>
      <c r="RGE51" s="108" t="s">
        <v>67</v>
      </c>
      <c r="RGR51" s="108">
        <f t="shared" si="900"/>
        <v>0</v>
      </c>
      <c r="RHK51" s="108" t="s">
        <v>67</v>
      </c>
      <c r="RHX51" s="108">
        <f t="shared" si="901"/>
        <v>0</v>
      </c>
      <c r="RIQ51" s="108" t="s">
        <v>67</v>
      </c>
      <c r="RJD51" s="108">
        <f t="shared" si="902"/>
        <v>0</v>
      </c>
      <c r="RJW51" s="108" t="s">
        <v>67</v>
      </c>
      <c r="RKJ51" s="108">
        <f t="shared" si="903"/>
        <v>0</v>
      </c>
      <c r="RLC51" s="108" t="s">
        <v>67</v>
      </c>
      <c r="RLP51" s="108">
        <f t="shared" si="904"/>
        <v>0</v>
      </c>
      <c r="RMI51" s="108" t="s">
        <v>67</v>
      </c>
      <c r="RMV51" s="108">
        <f t="shared" si="905"/>
        <v>0</v>
      </c>
      <c r="RNO51" s="108" t="s">
        <v>67</v>
      </c>
      <c r="ROB51" s="108">
        <f t="shared" si="906"/>
        <v>0</v>
      </c>
      <c r="ROU51" s="108" t="s">
        <v>67</v>
      </c>
      <c r="RPH51" s="108">
        <f t="shared" si="907"/>
        <v>0</v>
      </c>
      <c r="RQA51" s="108" t="s">
        <v>67</v>
      </c>
      <c r="RQN51" s="108">
        <f t="shared" si="908"/>
        <v>0</v>
      </c>
      <c r="RRG51" s="108" t="s">
        <v>67</v>
      </c>
      <c r="RRT51" s="108">
        <f t="shared" si="909"/>
        <v>0</v>
      </c>
      <c r="RSM51" s="108" t="s">
        <v>67</v>
      </c>
      <c r="RSZ51" s="108">
        <f t="shared" si="910"/>
        <v>0</v>
      </c>
      <c r="RTS51" s="108" t="s">
        <v>67</v>
      </c>
      <c r="RUF51" s="108">
        <f t="shared" si="911"/>
        <v>0</v>
      </c>
      <c r="RUY51" s="108" t="s">
        <v>67</v>
      </c>
      <c r="RVL51" s="108">
        <f t="shared" si="912"/>
        <v>0</v>
      </c>
      <c r="RWE51" s="108" t="s">
        <v>67</v>
      </c>
      <c r="RWR51" s="108">
        <f t="shared" si="913"/>
        <v>0</v>
      </c>
      <c r="RXK51" s="108" t="s">
        <v>67</v>
      </c>
      <c r="RXX51" s="108">
        <f t="shared" si="914"/>
        <v>0</v>
      </c>
      <c r="RYQ51" s="108" t="s">
        <v>67</v>
      </c>
      <c r="RZD51" s="108">
        <f t="shared" si="915"/>
        <v>0</v>
      </c>
      <c r="RZW51" s="108" t="s">
        <v>67</v>
      </c>
      <c r="SAJ51" s="108">
        <f t="shared" si="916"/>
        <v>0</v>
      </c>
      <c r="SBC51" s="108" t="s">
        <v>67</v>
      </c>
      <c r="SBP51" s="108">
        <f t="shared" si="917"/>
        <v>0</v>
      </c>
      <c r="SCI51" s="108" t="s">
        <v>67</v>
      </c>
      <c r="SCV51" s="108">
        <f t="shared" si="918"/>
        <v>0</v>
      </c>
      <c r="SDO51" s="108" t="s">
        <v>67</v>
      </c>
      <c r="SEB51" s="108">
        <f t="shared" si="919"/>
        <v>0</v>
      </c>
      <c r="SEU51" s="108" t="s">
        <v>67</v>
      </c>
      <c r="SFH51" s="108">
        <f t="shared" si="920"/>
        <v>0</v>
      </c>
      <c r="SGA51" s="108" t="s">
        <v>67</v>
      </c>
      <c r="SGN51" s="108">
        <f t="shared" si="921"/>
        <v>0</v>
      </c>
      <c r="SHG51" s="108" t="s">
        <v>67</v>
      </c>
      <c r="SHT51" s="108">
        <f t="shared" si="922"/>
        <v>0</v>
      </c>
      <c r="SIM51" s="108" t="s">
        <v>67</v>
      </c>
      <c r="SIZ51" s="108">
        <f t="shared" si="923"/>
        <v>0</v>
      </c>
      <c r="SJS51" s="108" t="s">
        <v>67</v>
      </c>
      <c r="SKF51" s="108">
        <f t="shared" si="924"/>
        <v>0</v>
      </c>
      <c r="SKY51" s="108" t="s">
        <v>67</v>
      </c>
      <c r="SLL51" s="108">
        <f t="shared" si="925"/>
        <v>0</v>
      </c>
      <c r="SME51" s="108" t="s">
        <v>67</v>
      </c>
      <c r="SMR51" s="108">
        <f t="shared" si="926"/>
        <v>0</v>
      </c>
      <c r="SNK51" s="108" t="s">
        <v>67</v>
      </c>
      <c r="SNX51" s="108">
        <f t="shared" si="927"/>
        <v>0</v>
      </c>
      <c r="SOQ51" s="108" t="s">
        <v>67</v>
      </c>
      <c r="SPD51" s="108">
        <f t="shared" si="928"/>
        <v>0</v>
      </c>
      <c r="SPW51" s="108" t="s">
        <v>67</v>
      </c>
      <c r="SQJ51" s="108">
        <f t="shared" si="929"/>
        <v>0</v>
      </c>
      <c r="SRC51" s="108" t="s">
        <v>67</v>
      </c>
      <c r="SRP51" s="108">
        <f t="shared" si="930"/>
        <v>0</v>
      </c>
      <c r="SSI51" s="108" t="s">
        <v>67</v>
      </c>
      <c r="SSV51" s="108">
        <f t="shared" si="931"/>
        <v>0</v>
      </c>
      <c r="STO51" s="108" t="s">
        <v>67</v>
      </c>
      <c r="SUB51" s="108">
        <f t="shared" si="932"/>
        <v>0</v>
      </c>
      <c r="SUU51" s="108" t="s">
        <v>67</v>
      </c>
      <c r="SVH51" s="108">
        <f t="shared" si="933"/>
        <v>0</v>
      </c>
      <c r="SWA51" s="108" t="s">
        <v>67</v>
      </c>
      <c r="SWN51" s="108">
        <f t="shared" si="934"/>
        <v>0</v>
      </c>
      <c r="SXG51" s="108" t="s">
        <v>67</v>
      </c>
      <c r="SXT51" s="108">
        <f t="shared" si="935"/>
        <v>0</v>
      </c>
      <c r="SYM51" s="108" t="s">
        <v>67</v>
      </c>
      <c r="SYZ51" s="108">
        <f t="shared" si="936"/>
        <v>0</v>
      </c>
      <c r="SZS51" s="108" t="s">
        <v>67</v>
      </c>
      <c r="TAF51" s="108">
        <f t="shared" si="937"/>
        <v>0</v>
      </c>
      <c r="TAY51" s="108" t="s">
        <v>67</v>
      </c>
      <c r="TBL51" s="108">
        <f t="shared" si="938"/>
        <v>0</v>
      </c>
      <c r="TCE51" s="108" t="s">
        <v>67</v>
      </c>
      <c r="TCR51" s="108">
        <f t="shared" si="939"/>
        <v>0</v>
      </c>
      <c r="TDK51" s="108" t="s">
        <v>67</v>
      </c>
      <c r="TDX51" s="108">
        <f t="shared" si="940"/>
        <v>0</v>
      </c>
      <c r="TEQ51" s="108" t="s">
        <v>67</v>
      </c>
      <c r="TFD51" s="108">
        <f t="shared" si="941"/>
        <v>0</v>
      </c>
      <c r="TFW51" s="108" t="s">
        <v>67</v>
      </c>
      <c r="TGJ51" s="108">
        <f t="shared" si="942"/>
        <v>0</v>
      </c>
      <c r="THC51" s="108" t="s">
        <v>67</v>
      </c>
      <c r="THP51" s="108">
        <f t="shared" si="943"/>
        <v>0</v>
      </c>
      <c r="TII51" s="108" t="s">
        <v>67</v>
      </c>
      <c r="TIV51" s="108">
        <f t="shared" si="944"/>
        <v>0</v>
      </c>
      <c r="TJO51" s="108" t="s">
        <v>67</v>
      </c>
      <c r="TKB51" s="108">
        <f t="shared" si="945"/>
        <v>0</v>
      </c>
      <c r="TKU51" s="108" t="s">
        <v>67</v>
      </c>
      <c r="TLH51" s="108">
        <f t="shared" si="946"/>
        <v>0</v>
      </c>
      <c r="TMA51" s="108" t="s">
        <v>67</v>
      </c>
      <c r="TMN51" s="108">
        <f t="shared" si="947"/>
        <v>0</v>
      </c>
      <c r="TNG51" s="108" t="s">
        <v>67</v>
      </c>
      <c r="TNT51" s="108">
        <f t="shared" si="948"/>
        <v>0</v>
      </c>
      <c r="TOM51" s="108" t="s">
        <v>67</v>
      </c>
      <c r="TOZ51" s="108">
        <f t="shared" si="949"/>
        <v>0</v>
      </c>
      <c r="TPS51" s="108" t="s">
        <v>67</v>
      </c>
      <c r="TQF51" s="108">
        <f t="shared" si="950"/>
        <v>0</v>
      </c>
      <c r="TQY51" s="108" t="s">
        <v>67</v>
      </c>
      <c r="TRL51" s="108">
        <f t="shared" si="951"/>
        <v>0</v>
      </c>
      <c r="TSE51" s="108" t="s">
        <v>67</v>
      </c>
      <c r="TSR51" s="108">
        <f t="shared" si="952"/>
        <v>0</v>
      </c>
      <c r="TTK51" s="108" t="s">
        <v>67</v>
      </c>
      <c r="TTX51" s="108">
        <f t="shared" si="953"/>
        <v>0</v>
      </c>
      <c r="TUQ51" s="108" t="s">
        <v>67</v>
      </c>
      <c r="TVD51" s="108">
        <f t="shared" si="954"/>
        <v>0</v>
      </c>
      <c r="TVW51" s="108" t="s">
        <v>67</v>
      </c>
      <c r="TWJ51" s="108">
        <f t="shared" si="955"/>
        <v>0</v>
      </c>
      <c r="TXC51" s="108" t="s">
        <v>67</v>
      </c>
      <c r="TXP51" s="108">
        <f t="shared" si="956"/>
        <v>0</v>
      </c>
      <c r="TYI51" s="108" t="s">
        <v>67</v>
      </c>
      <c r="TYV51" s="108">
        <f t="shared" si="957"/>
        <v>0</v>
      </c>
      <c r="TZO51" s="108" t="s">
        <v>67</v>
      </c>
      <c r="UAB51" s="108">
        <f t="shared" si="958"/>
        <v>0</v>
      </c>
      <c r="UAU51" s="108" t="s">
        <v>67</v>
      </c>
      <c r="UBH51" s="108">
        <f t="shared" si="959"/>
        <v>0</v>
      </c>
      <c r="UCA51" s="108" t="s">
        <v>67</v>
      </c>
      <c r="UCN51" s="108">
        <f t="shared" si="960"/>
        <v>0</v>
      </c>
      <c r="UDG51" s="108" t="s">
        <v>67</v>
      </c>
      <c r="UDT51" s="108">
        <f t="shared" si="961"/>
        <v>0</v>
      </c>
      <c r="UEM51" s="108" t="s">
        <v>67</v>
      </c>
      <c r="UEZ51" s="108">
        <f t="shared" si="962"/>
        <v>0</v>
      </c>
      <c r="UFS51" s="108" t="s">
        <v>67</v>
      </c>
      <c r="UGF51" s="108">
        <f t="shared" si="963"/>
        <v>0</v>
      </c>
      <c r="UGY51" s="108" t="s">
        <v>67</v>
      </c>
      <c r="UHL51" s="108">
        <f t="shared" si="964"/>
        <v>0</v>
      </c>
      <c r="UIE51" s="108" t="s">
        <v>67</v>
      </c>
      <c r="UIR51" s="108">
        <f t="shared" si="965"/>
        <v>0</v>
      </c>
      <c r="UJK51" s="108" t="s">
        <v>67</v>
      </c>
      <c r="UJX51" s="108">
        <f t="shared" si="966"/>
        <v>0</v>
      </c>
      <c r="UKQ51" s="108" t="s">
        <v>67</v>
      </c>
      <c r="ULD51" s="108">
        <f t="shared" si="967"/>
        <v>0</v>
      </c>
      <c r="ULW51" s="108" t="s">
        <v>67</v>
      </c>
      <c r="UMJ51" s="108">
        <f t="shared" si="968"/>
        <v>0</v>
      </c>
      <c r="UNC51" s="108" t="s">
        <v>67</v>
      </c>
      <c r="UNP51" s="108">
        <f t="shared" si="969"/>
        <v>0</v>
      </c>
      <c r="UOI51" s="108" t="s">
        <v>67</v>
      </c>
      <c r="UOV51" s="108">
        <f t="shared" si="970"/>
        <v>0</v>
      </c>
      <c r="UPO51" s="108" t="s">
        <v>67</v>
      </c>
      <c r="UQB51" s="108">
        <f t="shared" si="971"/>
        <v>0</v>
      </c>
      <c r="UQU51" s="108" t="s">
        <v>67</v>
      </c>
      <c r="URH51" s="108">
        <f t="shared" si="972"/>
        <v>0</v>
      </c>
      <c r="USA51" s="108" t="s">
        <v>67</v>
      </c>
      <c r="USN51" s="108">
        <f t="shared" si="973"/>
        <v>0</v>
      </c>
      <c r="UTG51" s="108" t="s">
        <v>67</v>
      </c>
      <c r="UTT51" s="108">
        <f t="shared" si="974"/>
        <v>0</v>
      </c>
      <c r="UUM51" s="108" t="s">
        <v>67</v>
      </c>
      <c r="UUZ51" s="108">
        <f t="shared" si="975"/>
        <v>0</v>
      </c>
      <c r="UVS51" s="108" t="s">
        <v>67</v>
      </c>
      <c r="UWF51" s="108">
        <f t="shared" si="976"/>
        <v>0</v>
      </c>
      <c r="UWY51" s="108" t="s">
        <v>67</v>
      </c>
      <c r="UXL51" s="108">
        <f t="shared" si="977"/>
        <v>0</v>
      </c>
      <c r="UYE51" s="108" t="s">
        <v>67</v>
      </c>
      <c r="UYR51" s="108">
        <f t="shared" si="978"/>
        <v>0</v>
      </c>
      <c r="UZK51" s="108" t="s">
        <v>67</v>
      </c>
      <c r="UZX51" s="108">
        <f t="shared" si="979"/>
        <v>0</v>
      </c>
      <c r="VAQ51" s="108" t="s">
        <v>67</v>
      </c>
      <c r="VBD51" s="108">
        <f t="shared" si="980"/>
        <v>0</v>
      </c>
      <c r="VBW51" s="108" t="s">
        <v>67</v>
      </c>
      <c r="VCJ51" s="108">
        <f t="shared" si="981"/>
        <v>0</v>
      </c>
      <c r="VDC51" s="108" t="s">
        <v>67</v>
      </c>
      <c r="VDP51" s="108">
        <f t="shared" si="982"/>
        <v>0</v>
      </c>
      <c r="VEI51" s="108" t="s">
        <v>67</v>
      </c>
      <c r="VEV51" s="108">
        <f t="shared" si="983"/>
        <v>0</v>
      </c>
      <c r="VFO51" s="108" t="s">
        <v>67</v>
      </c>
      <c r="VGB51" s="108">
        <f t="shared" si="984"/>
        <v>0</v>
      </c>
      <c r="VGU51" s="108" t="s">
        <v>67</v>
      </c>
      <c r="VHH51" s="108">
        <f t="shared" si="985"/>
        <v>0</v>
      </c>
      <c r="VIA51" s="108" t="s">
        <v>67</v>
      </c>
      <c r="VIN51" s="108">
        <f t="shared" si="986"/>
        <v>0</v>
      </c>
      <c r="VJG51" s="108" t="s">
        <v>67</v>
      </c>
      <c r="VJT51" s="108">
        <f t="shared" si="987"/>
        <v>0</v>
      </c>
      <c r="VKM51" s="108" t="s">
        <v>67</v>
      </c>
      <c r="VKZ51" s="108">
        <f t="shared" si="988"/>
        <v>0</v>
      </c>
      <c r="VLS51" s="108" t="s">
        <v>67</v>
      </c>
      <c r="VMF51" s="108">
        <f t="shared" si="989"/>
        <v>0</v>
      </c>
      <c r="VMY51" s="108" t="s">
        <v>67</v>
      </c>
      <c r="VNL51" s="108">
        <f t="shared" si="990"/>
        <v>0</v>
      </c>
      <c r="VOE51" s="108" t="s">
        <v>67</v>
      </c>
      <c r="VOR51" s="108">
        <f t="shared" si="991"/>
        <v>0</v>
      </c>
      <c r="VPK51" s="108" t="s">
        <v>67</v>
      </c>
      <c r="VPX51" s="108">
        <f t="shared" si="992"/>
        <v>0</v>
      </c>
      <c r="VQQ51" s="108" t="s">
        <v>67</v>
      </c>
      <c r="VRD51" s="108">
        <f t="shared" si="993"/>
        <v>0</v>
      </c>
      <c r="VRW51" s="108" t="s">
        <v>67</v>
      </c>
      <c r="VSJ51" s="108">
        <f t="shared" si="994"/>
        <v>0</v>
      </c>
      <c r="VTC51" s="108" t="s">
        <v>67</v>
      </c>
      <c r="VTP51" s="108">
        <f t="shared" si="995"/>
        <v>0</v>
      </c>
      <c r="VUI51" s="108" t="s">
        <v>67</v>
      </c>
      <c r="VUV51" s="108">
        <f t="shared" si="996"/>
        <v>0</v>
      </c>
      <c r="VVO51" s="108" t="s">
        <v>67</v>
      </c>
      <c r="VWB51" s="108">
        <f t="shared" si="997"/>
        <v>0</v>
      </c>
      <c r="VWU51" s="108" t="s">
        <v>67</v>
      </c>
      <c r="VXH51" s="108">
        <f t="shared" si="998"/>
        <v>0</v>
      </c>
      <c r="VYA51" s="108" t="s">
        <v>67</v>
      </c>
      <c r="VYN51" s="108">
        <f t="shared" si="999"/>
        <v>0</v>
      </c>
      <c r="VZG51" s="108" t="s">
        <v>67</v>
      </c>
      <c r="VZT51" s="108">
        <f t="shared" si="1000"/>
        <v>0</v>
      </c>
      <c r="WAM51" s="108" t="s">
        <v>67</v>
      </c>
      <c r="WAZ51" s="108">
        <f t="shared" si="1001"/>
        <v>0</v>
      </c>
      <c r="WBS51" s="108" t="s">
        <v>67</v>
      </c>
      <c r="WCF51" s="108">
        <f t="shared" si="1002"/>
        <v>0</v>
      </c>
      <c r="WCY51" s="108" t="s">
        <v>67</v>
      </c>
      <c r="WDL51" s="108">
        <f t="shared" si="1003"/>
        <v>0</v>
      </c>
      <c r="WEE51" s="108" t="s">
        <v>67</v>
      </c>
      <c r="WER51" s="108">
        <f t="shared" si="1004"/>
        <v>0</v>
      </c>
      <c r="WFK51" s="108" t="s">
        <v>67</v>
      </c>
      <c r="WFX51" s="108">
        <f t="shared" si="1005"/>
        <v>0</v>
      </c>
      <c r="WGQ51" s="108" t="s">
        <v>67</v>
      </c>
      <c r="WHD51" s="108">
        <f t="shared" si="1006"/>
        <v>0</v>
      </c>
      <c r="WHW51" s="108" t="s">
        <v>67</v>
      </c>
      <c r="WIJ51" s="108">
        <f t="shared" si="1007"/>
        <v>0</v>
      </c>
      <c r="WJC51" s="108" t="s">
        <v>67</v>
      </c>
      <c r="WJP51" s="108">
        <f t="shared" si="1008"/>
        <v>0</v>
      </c>
      <c r="WKI51" s="108" t="s">
        <v>67</v>
      </c>
      <c r="WKV51" s="108">
        <f t="shared" si="1009"/>
        <v>0</v>
      </c>
      <c r="WLO51" s="108" t="s">
        <v>67</v>
      </c>
      <c r="WMB51" s="108">
        <f t="shared" si="1010"/>
        <v>0</v>
      </c>
      <c r="WMU51" s="108" t="s">
        <v>67</v>
      </c>
      <c r="WNH51" s="108">
        <f t="shared" si="1011"/>
        <v>0</v>
      </c>
      <c r="WOA51" s="108" t="s">
        <v>67</v>
      </c>
      <c r="WON51" s="108">
        <f t="shared" si="1012"/>
        <v>0</v>
      </c>
      <c r="WPG51" s="108" t="s">
        <v>67</v>
      </c>
      <c r="WPT51" s="108">
        <f t="shared" si="1013"/>
        <v>0</v>
      </c>
      <c r="WQM51" s="108" t="s">
        <v>67</v>
      </c>
      <c r="WQZ51" s="108">
        <f t="shared" si="1014"/>
        <v>0</v>
      </c>
      <c r="WRS51" s="108" t="s">
        <v>67</v>
      </c>
      <c r="WSF51" s="108">
        <f t="shared" si="1015"/>
        <v>0</v>
      </c>
      <c r="WSY51" s="108" t="s">
        <v>67</v>
      </c>
      <c r="WTL51" s="108">
        <f t="shared" si="1016"/>
        <v>0</v>
      </c>
      <c r="WUE51" s="108" t="s">
        <v>67</v>
      </c>
      <c r="WUR51" s="108">
        <f t="shared" si="1017"/>
        <v>0</v>
      </c>
      <c r="WVK51" s="108" t="s">
        <v>67</v>
      </c>
      <c r="WVX51" s="108">
        <f t="shared" si="1018"/>
        <v>0</v>
      </c>
      <c r="WWQ51" s="108" t="s">
        <v>67</v>
      </c>
      <c r="WXD51" s="108">
        <f t="shared" si="1019"/>
        <v>0</v>
      </c>
      <c r="WXW51" s="108" t="s">
        <v>67</v>
      </c>
      <c r="WYJ51" s="108">
        <f t="shared" si="1020"/>
        <v>0</v>
      </c>
      <c r="WZC51" s="108" t="s">
        <v>67</v>
      </c>
      <c r="WZP51" s="108">
        <f t="shared" si="1021"/>
        <v>0</v>
      </c>
      <c r="XAI51" s="108" t="s">
        <v>67</v>
      </c>
      <c r="XAV51" s="108">
        <f t="shared" si="1022"/>
        <v>0</v>
      </c>
      <c r="XBO51" s="108" t="s">
        <v>67</v>
      </c>
      <c r="XCB51" s="108">
        <f t="shared" si="1023"/>
        <v>0</v>
      </c>
      <c r="XCU51" s="108" t="s">
        <v>67</v>
      </c>
      <c r="XDH51" s="108">
        <f t="shared" si="1024"/>
        <v>0</v>
      </c>
      <c r="XEA51" s="108" t="s">
        <v>67</v>
      </c>
      <c r="XEN51" s="108">
        <f t="shared" si="1025"/>
        <v>0</v>
      </c>
    </row>
    <row r="55" spans="1:1008 1025:2032 2049:3056 3073:4080 4097:5104 5121:6128 6145:7152 7169:8176 8193:9200 9217:10224 10241:11248 11265:12272 12289:13296 13313:14320 14337:15344 15361:16368" s="274" customFormat="1" ht="21.75" customHeight="1" x14ac:dyDescent="0.25">
      <c r="A55" s="488" t="s">
        <v>102</v>
      </c>
      <c r="B55" s="488" t="s">
        <v>69</v>
      </c>
      <c r="C55" s="490" t="s">
        <v>70</v>
      </c>
      <c r="D55" s="491"/>
      <c r="E55" s="491"/>
      <c r="F55" s="491"/>
      <c r="G55" s="491"/>
      <c r="H55" s="491"/>
      <c r="I55" s="491"/>
      <c r="J55" s="491"/>
      <c r="K55" s="491"/>
      <c r="L55" s="491"/>
      <c r="M55" s="491"/>
      <c r="N55" s="491"/>
      <c r="O55" s="491"/>
      <c r="P55" s="492"/>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row>
    <row r="56" spans="1:1008 1025:2032 2049:3056 3073:4080 4097:5104 5121:6128 6145:7152 7169:8176 8193:9200 9217:10224 10241:11248 11265:12272 12289:13296 13313:14320 14337:15344 15361:16368" s="274" customFormat="1" ht="21.75" customHeight="1" x14ac:dyDescent="0.25">
      <c r="A56" s="489"/>
      <c r="B56" s="489"/>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row>
    <row r="57" spans="1:1008 1025:2032 2049:3056 3073:4080 4097:5104 5121:6128 6145:7152 7169:8176 8193:9200 9217:10224 10241:11248 11265:12272 12289:13296 13313:14320 14337:15344 15361:16368" s="274" customFormat="1" ht="12.75" customHeight="1" x14ac:dyDescent="0.25">
      <c r="A57" s="484"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494">
        <f>B38</f>
        <v>0.05</v>
      </c>
      <c r="C57" s="199" t="s">
        <v>63</v>
      </c>
      <c r="D57" s="230">
        <f>D38*$B$38/$P$38</f>
        <v>2.5000000000000009E-3</v>
      </c>
      <c r="E57" s="230">
        <f t="shared" ref="E57:O58" si="1026">E38*$B$38/$P$38</f>
        <v>2.5000000000000009E-3</v>
      </c>
      <c r="F57" s="230">
        <f t="shared" si="1026"/>
        <v>4.5000000000000005E-3</v>
      </c>
      <c r="G57" s="230">
        <f t="shared" si="1026"/>
        <v>4.5000000000000005E-3</v>
      </c>
      <c r="H57" s="230">
        <f t="shared" si="1026"/>
        <v>4.5000000000000005E-3</v>
      </c>
      <c r="I57" s="230">
        <f t="shared" si="1026"/>
        <v>4.5000000000000005E-3</v>
      </c>
      <c r="J57" s="230">
        <f t="shared" si="1026"/>
        <v>4.5000000000000005E-3</v>
      </c>
      <c r="K57" s="230">
        <f t="shared" si="1026"/>
        <v>4.5000000000000005E-3</v>
      </c>
      <c r="L57" s="230">
        <f t="shared" si="1026"/>
        <v>4.5000000000000005E-3</v>
      </c>
      <c r="M57" s="230">
        <f t="shared" si="1026"/>
        <v>4.5000000000000005E-3</v>
      </c>
      <c r="N57" s="230">
        <f t="shared" si="1026"/>
        <v>4.5000000000000005E-3</v>
      </c>
      <c r="O57" s="230">
        <f t="shared" si="1026"/>
        <v>4.5000000000000005E-3</v>
      </c>
      <c r="P57" s="231">
        <f t="shared" ref="P57:P60" si="1027">SUM(D57:O57)</f>
        <v>5.0000000000000017E-2</v>
      </c>
      <c r="Q57" s="108">
        <v>0.05</v>
      </c>
      <c r="R57" s="232">
        <f>+P57-Q57</f>
        <v>0</v>
      </c>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13"/>
      <c r="AR57" s="213"/>
      <c r="AS57" s="213"/>
      <c r="AT57" s="213"/>
      <c r="AU57" s="213"/>
      <c r="AV57" s="213"/>
      <c r="AW57" s="213"/>
      <c r="AX57" s="213"/>
      <c r="AY57" s="213"/>
    </row>
    <row r="58" spans="1:1008 1025:2032 2049:3056 3073:4080 4097:5104 5121:6128 6145:7152 7169:8176 8193:9200 9217:10224 10241:11248 11265:12272 12289:13296 13313:14320 14337:15344 15361:16368" s="274" customFormat="1" ht="12.75" customHeight="1" x14ac:dyDescent="0.25">
      <c r="A58" s="493"/>
      <c r="B58" s="495"/>
      <c r="C58" s="204" t="s">
        <v>67</v>
      </c>
      <c r="D58" s="234">
        <f>D39*$B$38/$P$38</f>
        <v>2.5000000000000009E-3</v>
      </c>
      <c r="E58" s="234">
        <f t="shared" si="1026"/>
        <v>2.5000000000000009E-3</v>
      </c>
      <c r="F58" s="234">
        <f t="shared" si="1026"/>
        <v>4.5000000000000005E-3</v>
      </c>
      <c r="G58" s="234">
        <f t="shared" si="1026"/>
        <v>4.5000000000000005E-3</v>
      </c>
      <c r="H58" s="234">
        <f t="shared" si="1026"/>
        <v>4.5000000000000005E-3</v>
      </c>
      <c r="I58" s="234">
        <f t="shared" si="1026"/>
        <v>4.5000000000000005E-3</v>
      </c>
      <c r="J58" s="234">
        <f t="shared" si="1026"/>
        <v>4.5000000000000005E-3</v>
      </c>
      <c r="K58" s="234">
        <f t="shared" si="1026"/>
        <v>0</v>
      </c>
      <c r="L58" s="234">
        <f t="shared" si="1026"/>
        <v>0</v>
      </c>
      <c r="M58" s="234">
        <f t="shared" si="1026"/>
        <v>0</v>
      </c>
      <c r="N58" s="234">
        <f t="shared" si="1026"/>
        <v>0</v>
      </c>
      <c r="O58" s="234">
        <f t="shared" si="1026"/>
        <v>0</v>
      </c>
      <c r="P58" s="235">
        <f t="shared" si="1027"/>
        <v>2.7500000000000004E-2</v>
      </c>
      <c r="Q58" s="236">
        <f>+P58</f>
        <v>2.7500000000000004E-2</v>
      </c>
      <c r="R58" s="232">
        <f t="shared" ref="R58:R70" si="1028">+P58-Q58</f>
        <v>0</v>
      </c>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13"/>
      <c r="AR58" s="213"/>
      <c r="AS58" s="213"/>
      <c r="AT58" s="213"/>
      <c r="AU58" s="213"/>
      <c r="AV58" s="213"/>
      <c r="AW58" s="213"/>
      <c r="AX58" s="213"/>
      <c r="AY58" s="213"/>
    </row>
    <row r="59" spans="1:1008 1025:2032 2049:3056 3073:4080 4097:5104 5121:6128 6145:7152 7169:8176 8193:9200 9217:10224 10241:11248 11265:12272 12289:13296 13313:14320 14337:15344 15361:16368" s="274" customFormat="1" ht="12.75" customHeight="1" x14ac:dyDescent="0.25">
      <c r="A59" s="484" t="str">
        <f>A40</f>
        <v xml:space="preserve">2. Diseñar, implementar o divulgar herramientas que contribuyan a la eliminación de barreras de acceso a los servicios y a la realización de acciones afirmativas dirigidas a mujeres en sus diferencias y diversidad para la garantía de sus derechos en el Distrito Capital. </v>
      </c>
      <c r="B59" s="486">
        <f>B40</f>
        <v>2.5000000000000001E-2</v>
      </c>
      <c r="C59" s="199" t="s">
        <v>63</v>
      </c>
      <c r="D59" s="230">
        <f>D40*$B$40/$P$40</f>
        <v>0</v>
      </c>
      <c r="E59" s="230">
        <f t="shared" ref="E59:O60" si="1029">E40*$B$40/$P$40</f>
        <v>1.2500000000000005E-3</v>
      </c>
      <c r="F59" s="230">
        <f t="shared" si="1029"/>
        <v>1.2500000000000005E-3</v>
      </c>
      <c r="G59" s="230">
        <f t="shared" si="1029"/>
        <v>2.5000000000000009E-3</v>
      </c>
      <c r="H59" s="230">
        <f t="shared" si="1029"/>
        <v>2.5000000000000009E-3</v>
      </c>
      <c r="I59" s="230">
        <f t="shared" si="1029"/>
        <v>2.5000000000000009E-3</v>
      </c>
      <c r="J59" s="230">
        <f t="shared" si="1029"/>
        <v>2.5000000000000009E-3</v>
      </c>
      <c r="K59" s="230">
        <f t="shared" si="1029"/>
        <v>2.5000000000000009E-3</v>
      </c>
      <c r="L59" s="230">
        <f t="shared" si="1029"/>
        <v>2.5000000000000009E-3</v>
      </c>
      <c r="M59" s="230">
        <f t="shared" si="1029"/>
        <v>2.5000000000000009E-3</v>
      </c>
      <c r="N59" s="230">
        <f t="shared" si="1029"/>
        <v>2.5000000000000009E-3</v>
      </c>
      <c r="O59" s="230">
        <f t="shared" si="1029"/>
        <v>2.5000000000000009E-3</v>
      </c>
      <c r="P59" s="231">
        <f t="shared" si="1027"/>
        <v>2.5000000000000012E-2</v>
      </c>
      <c r="Q59" s="108">
        <v>2.5000000000000001E-2</v>
      </c>
      <c r="R59" s="232">
        <f t="shared" si="1028"/>
        <v>0</v>
      </c>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13"/>
      <c r="AR59" s="213"/>
      <c r="AS59" s="213"/>
      <c r="AT59" s="213"/>
      <c r="AU59" s="213"/>
      <c r="AV59" s="213"/>
      <c r="AW59" s="213"/>
      <c r="AX59" s="213"/>
      <c r="AY59" s="213"/>
    </row>
    <row r="60" spans="1:1008 1025:2032 2049:3056 3073:4080 4097:5104 5121:6128 6145:7152 7169:8176 8193:9200 9217:10224 10241:11248 11265:12272 12289:13296 13313:14320 14337:15344 15361:16368" s="274" customFormat="1" ht="12.75" customHeight="1" x14ac:dyDescent="0.25">
      <c r="A60" s="485"/>
      <c r="B60" s="487"/>
      <c r="C60" s="204" t="s">
        <v>67</v>
      </c>
      <c r="D60" s="234">
        <f>D41*$B$40/$P$40</f>
        <v>0</v>
      </c>
      <c r="E60" s="234">
        <f t="shared" si="1029"/>
        <v>1.2500000000000005E-3</v>
      </c>
      <c r="F60" s="234">
        <f t="shared" si="1029"/>
        <v>1.2500000000000005E-3</v>
      </c>
      <c r="G60" s="234">
        <f t="shared" si="1029"/>
        <v>2.5000000000000009E-3</v>
      </c>
      <c r="H60" s="234">
        <f t="shared" si="1029"/>
        <v>2.5000000000000009E-3</v>
      </c>
      <c r="I60" s="234">
        <f t="shared" si="1029"/>
        <v>2.5000000000000009E-3</v>
      </c>
      <c r="J60" s="234">
        <f t="shared" si="1029"/>
        <v>2.5000000000000009E-3</v>
      </c>
      <c r="K60" s="234">
        <f t="shared" si="1029"/>
        <v>0</v>
      </c>
      <c r="L60" s="234">
        <f t="shared" si="1029"/>
        <v>0</v>
      </c>
      <c r="M60" s="234">
        <f t="shared" si="1029"/>
        <v>0</v>
      </c>
      <c r="N60" s="234">
        <f t="shared" si="1029"/>
        <v>0</v>
      </c>
      <c r="O60" s="234">
        <f t="shared" si="1029"/>
        <v>0</v>
      </c>
      <c r="P60" s="235">
        <f t="shared" si="1027"/>
        <v>1.2500000000000004E-2</v>
      </c>
      <c r="Q60" s="236">
        <f>+P60</f>
        <v>1.2500000000000004E-2</v>
      </c>
      <c r="R60" s="232">
        <f t="shared" si="1028"/>
        <v>0</v>
      </c>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13"/>
      <c r="AR60" s="213"/>
      <c r="AS60" s="213"/>
      <c r="AT60" s="213"/>
      <c r="AU60" s="213"/>
      <c r="AV60" s="213"/>
      <c r="AW60" s="213"/>
      <c r="AX60" s="213"/>
      <c r="AY60" s="213"/>
    </row>
    <row r="61" spans="1:1008 1025:2032 2049:3056 3073:4080 4097:5104 5121:6128 6145:7152 7169:8176 8193:9200 9217:10224 10241:11248 11265:12272 12289:13296 13313:14320 14337:15344 15361:16368" s="274" customFormat="1" ht="12.75" customHeight="1" x14ac:dyDescent="0.25">
      <c r="A61" s="484" t="str">
        <f>A42</f>
        <v>3. Formular un plan de fortalecimiento interno para la incorporación de acciones afirmativas con enfoque diferencial, que permitan el acceso de las mujeres en toda su diversidad a los servicios que presta la Secretaría Distrital de la Mujer.</v>
      </c>
      <c r="B61" s="486">
        <f>B42</f>
        <v>2.5000000000000001E-2</v>
      </c>
      <c r="C61" s="199" t="s">
        <v>63</v>
      </c>
      <c r="D61" s="230">
        <f>D42*$B$42/$P$42</f>
        <v>1.2500000000000002E-3</v>
      </c>
      <c r="E61" s="230">
        <f t="shared" ref="E61:O62" si="1030">E42*$B$42/$P$42</f>
        <v>3.7499999999999999E-3</v>
      </c>
      <c r="F61" s="230">
        <f t="shared" si="1030"/>
        <v>5.000000000000001E-3</v>
      </c>
      <c r="G61" s="230">
        <f t="shared" si="1030"/>
        <v>3.7499999999999999E-3</v>
      </c>
      <c r="H61" s="230">
        <f t="shared" si="1030"/>
        <v>3.7499999999999999E-3</v>
      </c>
      <c r="I61" s="230">
        <f t="shared" si="1030"/>
        <v>3.7499999999999999E-3</v>
      </c>
      <c r="J61" s="230">
        <f t="shared" si="1030"/>
        <v>2.5000000000000005E-3</v>
      </c>
      <c r="K61" s="230">
        <f t="shared" si="1030"/>
        <v>1.2500000000000002E-3</v>
      </c>
      <c r="L61" s="230">
        <f t="shared" si="1030"/>
        <v>0</v>
      </c>
      <c r="M61" s="230">
        <f t="shared" si="1030"/>
        <v>0</v>
      </c>
      <c r="N61" s="230">
        <f t="shared" si="1030"/>
        <v>0</v>
      </c>
      <c r="O61" s="230">
        <f t="shared" si="1030"/>
        <v>0</v>
      </c>
      <c r="P61" s="231">
        <f t="shared" ref="P61:P64" si="1031">SUM(D61:O61)</f>
        <v>2.5000000000000001E-2</v>
      </c>
      <c r="Q61" s="108">
        <v>2.5000000000000001E-2</v>
      </c>
      <c r="R61" s="232">
        <f t="shared" si="1028"/>
        <v>0</v>
      </c>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13"/>
      <c r="AR61" s="213"/>
      <c r="AS61" s="213"/>
      <c r="AT61" s="213"/>
      <c r="AU61" s="213"/>
      <c r="AV61" s="213"/>
      <c r="AW61" s="213"/>
      <c r="AX61" s="213"/>
      <c r="AY61" s="213"/>
    </row>
    <row r="62" spans="1:1008 1025:2032 2049:3056 3073:4080 4097:5104 5121:6128 6145:7152 7169:8176 8193:9200 9217:10224 10241:11248 11265:12272 12289:13296 13313:14320 14337:15344 15361:16368" s="274" customFormat="1" ht="12.75" customHeight="1" x14ac:dyDescent="0.25">
      <c r="A62" s="485"/>
      <c r="B62" s="487"/>
      <c r="C62" s="204" t="s">
        <v>67</v>
      </c>
      <c r="D62" s="234">
        <f>D43*$B$42/$P$42</f>
        <v>1.2500000000000002E-3</v>
      </c>
      <c r="E62" s="234">
        <f t="shared" si="1030"/>
        <v>3.7499999999999999E-3</v>
      </c>
      <c r="F62" s="234">
        <f t="shared" si="1030"/>
        <v>5.000000000000001E-3</v>
      </c>
      <c r="G62" s="234">
        <f t="shared" si="1030"/>
        <v>3.7499999999999999E-3</v>
      </c>
      <c r="H62" s="234">
        <f t="shared" si="1030"/>
        <v>3.7499999999999999E-3</v>
      </c>
      <c r="I62" s="234">
        <f t="shared" si="1030"/>
        <v>3.7499999999999999E-3</v>
      </c>
      <c r="J62" s="234">
        <f t="shared" si="1030"/>
        <v>2.5000000000000005E-3</v>
      </c>
      <c r="K62" s="234">
        <f t="shared" si="1030"/>
        <v>0</v>
      </c>
      <c r="L62" s="234">
        <f t="shared" si="1030"/>
        <v>0</v>
      </c>
      <c r="M62" s="234">
        <f t="shared" si="1030"/>
        <v>0</v>
      </c>
      <c r="N62" s="234">
        <f t="shared" si="1030"/>
        <v>0</v>
      </c>
      <c r="O62" s="234">
        <f t="shared" si="1030"/>
        <v>0</v>
      </c>
      <c r="P62" s="235">
        <f t="shared" si="1031"/>
        <v>2.375E-2</v>
      </c>
      <c r="Q62" s="236">
        <f>+P62</f>
        <v>2.375E-2</v>
      </c>
      <c r="R62" s="232">
        <f t="shared" si="1028"/>
        <v>0</v>
      </c>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13"/>
      <c r="AR62" s="213"/>
      <c r="AS62" s="213"/>
      <c r="AT62" s="213"/>
      <c r="AU62" s="213"/>
      <c r="AV62" s="213"/>
      <c r="AW62" s="213"/>
      <c r="AX62" s="213"/>
      <c r="AY62" s="213"/>
    </row>
    <row r="63" spans="1:1008 1025:2032 2049:3056 3073:4080 4097:5104 5121:6128 6145:7152 7169:8176 8193:9200 9217:10224 10241:11248 11265:12272 12289:13296 13313:14320 14337:15344 15361:16368" s="274" customFormat="1" ht="12.75" customHeight="1" x14ac:dyDescent="0.25">
      <c r="A63" s="484" t="str">
        <f>A44</f>
        <v>4. Socializar los lineamientos de la estrategia de corresponsabilidad y elaborar su manual operativo, teniendo en cuenta los enfoques de derechos de las mujeres, de genero y diferencial.</v>
      </c>
      <c r="B63" s="486">
        <f>B44</f>
        <v>0.02</v>
      </c>
      <c r="C63" s="199" t="s">
        <v>63</v>
      </c>
      <c r="D63" s="230">
        <f>D44*$B$44/$P$44</f>
        <v>0</v>
      </c>
      <c r="E63" s="230">
        <f t="shared" ref="E63:O64" si="1032">E44*$B$44/$P$44</f>
        <v>2E-3</v>
      </c>
      <c r="F63" s="230">
        <f t="shared" si="1032"/>
        <v>3.0000000000000001E-3</v>
      </c>
      <c r="G63" s="230">
        <f t="shared" si="1032"/>
        <v>3.0000000000000001E-3</v>
      </c>
      <c r="H63" s="230">
        <f t="shared" si="1032"/>
        <v>3.0000000000000001E-3</v>
      </c>
      <c r="I63" s="230">
        <f t="shared" si="1032"/>
        <v>3.0000000000000001E-3</v>
      </c>
      <c r="J63" s="230">
        <f t="shared" si="1032"/>
        <v>3.0000000000000001E-3</v>
      </c>
      <c r="K63" s="230">
        <f t="shared" si="1032"/>
        <v>3.0000000000000001E-3</v>
      </c>
      <c r="L63" s="230">
        <f t="shared" si="1032"/>
        <v>0</v>
      </c>
      <c r="M63" s="230">
        <f t="shared" si="1032"/>
        <v>0</v>
      </c>
      <c r="N63" s="230">
        <f t="shared" si="1032"/>
        <v>0</v>
      </c>
      <c r="O63" s="230">
        <f t="shared" si="1032"/>
        <v>0</v>
      </c>
      <c r="P63" s="231">
        <f t="shared" si="1031"/>
        <v>1.9999999999999997E-2</v>
      </c>
      <c r="Q63" s="108">
        <v>0.02</v>
      </c>
      <c r="R63" s="232">
        <f t="shared" si="1028"/>
        <v>0</v>
      </c>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1008 1025:2032 2049:3056 3073:4080 4097:5104 5121:6128 6145:7152 7169:8176 8193:9200 9217:10224 10241:11248 11265:12272 12289:13296 13313:14320 14337:15344 15361:16368" s="274" customFormat="1" ht="12.75" customHeight="1" x14ac:dyDescent="0.25">
      <c r="A64" s="485"/>
      <c r="B64" s="487"/>
      <c r="C64" s="204" t="s">
        <v>67</v>
      </c>
      <c r="D64" s="234">
        <f>D45*$B$44/$P$44</f>
        <v>0</v>
      </c>
      <c r="E64" s="234">
        <f t="shared" si="1032"/>
        <v>2E-3</v>
      </c>
      <c r="F64" s="234">
        <f t="shared" si="1032"/>
        <v>3.0000000000000001E-3</v>
      </c>
      <c r="G64" s="234">
        <f t="shared" si="1032"/>
        <v>3.0000000000000001E-3</v>
      </c>
      <c r="H64" s="234">
        <f t="shared" si="1032"/>
        <v>3.0000000000000001E-3</v>
      </c>
      <c r="I64" s="234">
        <f t="shared" si="1032"/>
        <v>3.0000000000000001E-3</v>
      </c>
      <c r="J64" s="234">
        <f t="shared" si="1032"/>
        <v>3.0000000000000001E-3</v>
      </c>
      <c r="K64" s="234">
        <f t="shared" si="1032"/>
        <v>0</v>
      </c>
      <c r="L64" s="234">
        <f t="shared" si="1032"/>
        <v>0</v>
      </c>
      <c r="M64" s="234">
        <f t="shared" si="1032"/>
        <v>0</v>
      </c>
      <c r="N64" s="234">
        <f t="shared" si="1032"/>
        <v>0</v>
      </c>
      <c r="O64" s="234">
        <f t="shared" si="1032"/>
        <v>0</v>
      </c>
      <c r="P64" s="235">
        <f t="shared" si="1031"/>
        <v>1.6999999999999998E-2</v>
      </c>
      <c r="Q64" s="236">
        <f>+P64</f>
        <v>1.6999999999999998E-2</v>
      </c>
      <c r="R64" s="232">
        <f t="shared" si="1028"/>
        <v>0</v>
      </c>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13"/>
      <c r="AR64" s="213"/>
      <c r="AS64" s="213"/>
      <c r="AT64" s="213"/>
      <c r="AU64" s="213"/>
      <c r="AV64" s="213"/>
      <c r="AW64" s="213"/>
      <c r="AX64" s="213"/>
      <c r="AY64" s="213"/>
    </row>
    <row r="65" spans="1:51" s="274" customFormat="1" ht="12.75" customHeight="1" x14ac:dyDescent="0.25">
      <c r="A65" s="484" t="str">
        <f>A46</f>
        <v>5. Socializar e implementar la hoja de ruta para incorporar los enfoques de derechos, de género y diferencial para mujeres, a través del acompañamiento y articulación con las consejeras territoriales por el Sector Mujeres en el CTPD.</v>
      </c>
      <c r="B65" s="486">
        <f>B46</f>
        <v>0.02</v>
      </c>
      <c r="C65" s="199" t="s">
        <v>63</v>
      </c>
      <c r="D65" s="230">
        <f>D46*$B$46/$P$46</f>
        <v>0</v>
      </c>
      <c r="E65" s="230">
        <f t="shared" ref="E65:O66" si="1033">E46*$B$46/$P$46</f>
        <v>1.9999999999999996E-3</v>
      </c>
      <c r="F65" s="230">
        <f t="shared" si="1033"/>
        <v>2.9999999999999992E-3</v>
      </c>
      <c r="G65" s="230">
        <f t="shared" si="1033"/>
        <v>2.9999999999999992E-3</v>
      </c>
      <c r="H65" s="230">
        <f t="shared" si="1033"/>
        <v>2.9999999999999992E-3</v>
      </c>
      <c r="I65" s="230">
        <f t="shared" si="1033"/>
        <v>9.999999999999998E-4</v>
      </c>
      <c r="J65" s="230">
        <f t="shared" si="1033"/>
        <v>9.999999999999998E-4</v>
      </c>
      <c r="K65" s="230">
        <f t="shared" si="1033"/>
        <v>9.999999999999998E-4</v>
      </c>
      <c r="L65" s="230">
        <f t="shared" si="1033"/>
        <v>9.999999999999998E-4</v>
      </c>
      <c r="M65" s="230">
        <f t="shared" si="1033"/>
        <v>9.999999999999998E-4</v>
      </c>
      <c r="N65" s="230">
        <f t="shared" si="1033"/>
        <v>9.999999999999998E-4</v>
      </c>
      <c r="O65" s="230">
        <f t="shared" si="1033"/>
        <v>2.9999999999999992E-3</v>
      </c>
      <c r="P65" s="231">
        <f t="shared" ref="P65:P66" si="1034">SUM(D65:O65)</f>
        <v>1.9999999999999993E-2</v>
      </c>
      <c r="Q65" s="108">
        <v>0.02</v>
      </c>
      <c r="R65" s="232">
        <f t="shared" si="1028"/>
        <v>0</v>
      </c>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13"/>
      <c r="AR65" s="213"/>
      <c r="AS65" s="213"/>
      <c r="AT65" s="213"/>
      <c r="AU65" s="213"/>
      <c r="AV65" s="213"/>
      <c r="AW65" s="213"/>
      <c r="AX65" s="213"/>
      <c r="AY65" s="213"/>
    </row>
    <row r="66" spans="1:51" s="274" customFormat="1" ht="12.75" customHeight="1" x14ac:dyDescent="0.25">
      <c r="A66" s="485"/>
      <c r="B66" s="487"/>
      <c r="C66" s="204" t="s">
        <v>67</v>
      </c>
      <c r="D66" s="234">
        <f>D47*$B$46/$P$46</f>
        <v>0</v>
      </c>
      <c r="E66" s="234">
        <f t="shared" si="1033"/>
        <v>1.9999999999999996E-3</v>
      </c>
      <c r="F66" s="234">
        <f t="shared" si="1033"/>
        <v>2.9999999999999992E-3</v>
      </c>
      <c r="G66" s="234">
        <f t="shared" si="1033"/>
        <v>2.9999999999999992E-3</v>
      </c>
      <c r="H66" s="234">
        <f t="shared" si="1033"/>
        <v>2.9999999999999992E-3</v>
      </c>
      <c r="I66" s="234">
        <f t="shared" si="1033"/>
        <v>9.999999999999998E-4</v>
      </c>
      <c r="J66" s="234">
        <f t="shared" si="1033"/>
        <v>9.999999999999998E-4</v>
      </c>
      <c r="K66" s="234">
        <f t="shared" si="1033"/>
        <v>0</v>
      </c>
      <c r="L66" s="234">
        <f t="shared" si="1033"/>
        <v>0</v>
      </c>
      <c r="M66" s="234">
        <f t="shared" si="1033"/>
        <v>0</v>
      </c>
      <c r="N66" s="234">
        <f t="shared" si="1033"/>
        <v>0</v>
      </c>
      <c r="O66" s="234">
        <f t="shared" si="1033"/>
        <v>0</v>
      </c>
      <c r="P66" s="235">
        <f t="shared" si="1034"/>
        <v>1.2999999999999996E-2</v>
      </c>
      <c r="Q66" s="236">
        <f>+P66</f>
        <v>1.2999999999999996E-2</v>
      </c>
      <c r="R66" s="232">
        <f t="shared" si="1028"/>
        <v>0</v>
      </c>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13"/>
      <c r="AR66" s="213"/>
      <c r="AS66" s="213"/>
      <c r="AT66" s="213"/>
      <c r="AU66" s="213"/>
      <c r="AV66" s="213"/>
      <c r="AW66" s="213"/>
      <c r="AX66" s="213"/>
      <c r="AY66" s="213"/>
    </row>
    <row r="67" spans="1:51" s="274" customFormat="1" ht="12.75" customHeight="1" x14ac:dyDescent="0.25">
      <c r="A67" s="484" t="str">
        <f>A48</f>
        <v>6. Socializar e implementar la hoja de ruta para incorporar los enfoques de derechos, de género y diferencial para mujeres, a través del acompañamiento y articulación con la Subcomisión de Género del Decreto 563 de 2015.</v>
      </c>
      <c r="B67" s="486">
        <f>B48</f>
        <v>0.02</v>
      </c>
      <c r="C67" s="199" t="s">
        <v>63</v>
      </c>
      <c r="D67" s="230">
        <f>D48*$B$48/$P$48</f>
        <v>0</v>
      </c>
      <c r="E67" s="230">
        <f t="shared" ref="E67:O68" si="1035">E48*$B$48/$P$48</f>
        <v>1.9999999999999996E-3</v>
      </c>
      <c r="F67" s="230">
        <f t="shared" si="1035"/>
        <v>2.9999999999999992E-3</v>
      </c>
      <c r="G67" s="230">
        <f t="shared" si="1035"/>
        <v>2.9999999999999992E-3</v>
      </c>
      <c r="H67" s="230">
        <f t="shared" si="1035"/>
        <v>2.9999999999999992E-3</v>
      </c>
      <c r="I67" s="230">
        <f t="shared" si="1035"/>
        <v>9.999999999999998E-4</v>
      </c>
      <c r="J67" s="230">
        <f t="shared" si="1035"/>
        <v>9.999999999999998E-4</v>
      </c>
      <c r="K67" s="230">
        <f t="shared" si="1035"/>
        <v>9.999999999999998E-4</v>
      </c>
      <c r="L67" s="230">
        <f t="shared" si="1035"/>
        <v>9.999999999999998E-4</v>
      </c>
      <c r="M67" s="230">
        <f t="shared" si="1035"/>
        <v>9.999999999999998E-4</v>
      </c>
      <c r="N67" s="230">
        <f t="shared" si="1035"/>
        <v>9.999999999999998E-4</v>
      </c>
      <c r="O67" s="230">
        <f t="shared" si="1035"/>
        <v>2.9999999999999992E-3</v>
      </c>
      <c r="P67" s="231">
        <f t="shared" ref="P67:P70" si="1036">SUM(D67:O67)</f>
        <v>1.9999999999999993E-2</v>
      </c>
      <c r="Q67" s="108">
        <v>0.02</v>
      </c>
      <c r="R67" s="232">
        <f t="shared" si="1028"/>
        <v>0</v>
      </c>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13"/>
      <c r="AR67" s="213"/>
      <c r="AS67" s="213"/>
      <c r="AT67" s="213"/>
      <c r="AU67" s="213"/>
      <c r="AV67" s="213"/>
      <c r="AW67" s="213"/>
      <c r="AX67" s="213"/>
      <c r="AY67" s="213"/>
    </row>
    <row r="68" spans="1:51" s="274" customFormat="1" ht="12.75" customHeight="1" x14ac:dyDescent="0.25">
      <c r="A68" s="485"/>
      <c r="B68" s="487"/>
      <c r="C68" s="204" t="s">
        <v>67</v>
      </c>
      <c r="D68" s="234">
        <f>D49*$B$48/$P$48</f>
        <v>0</v>
      </c>
      <c r="E68" s="234">
        <f t="shared" si="1035"/>
        <v>1.9999999999999996E-3</v>
      </c>
      <c r="F68" s="234">
        <f t="shared" si="1035"/>
        <v>2.9999999999999992E-3</v>
      </c>
      <c r="G68" s="234">
        <f t="shared" si="1035"/>
        <v>2.9999999999999992E-3</v>
      </c>
      <c r="H68" s="234">
        <f t="shared" si="1035"/>
        <v>2.9999999999999992E-3</v>
      </c>
      <c r="I68" s="234">
        <f t="shared" si="1035"/>
        <v>9.999999999999998E-4</v>
      </c>
      <c r="J68" s="234">
        <f t="shared" si="1035"/>
        <v>9.999999999999998E-4</v>
      </c>
      <c r="K68" s="234">
        <f t="shared" si="1035"/>
        <v>0</v>
      </c>
      <c r="L68" s="234">
        <f t="shared" si="1035"/>
        <v>0</v>
      </c>
      <c r="M68" s="234">
        <f t="shared" si="1035"/>
        <v>0</v>
      </c>
      <c r="N68" s="234">
        <f t="shared" si="1035"/>
        <v>0</v>
      </c>
      <c r="O68" s="234">
        <f t="shared" si="1035"/>
        <v>0</v>
      </c>
      <c r="P68" s="235">
        <f t="shared" si="1036"/>
        <v>1.2999999999999996E-2</v>
      </c>
      <c r="Q68" s="236">
        <f>+P68</f>
        <v>1.2999999999999996E-2</v>
      </c>
      <c r="R68" s="232">
        <f t="shared" si="1028"/>
        <v>0</v>
      </c>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13"/>
      <c r="AR68" s="213"/>
      <c r="AS68" s="213"/>
      <c r="AT68" s="213"/>
      <c r="AU68" s="213"/>
      <c r="AV68" s="213"/>
      <c r="AW68" s="213"/>
      <c r="AX68" s="213"/>
      <c r="AY68" s="213"/>
    </row>
    <row r="69" spans="1:51" s="274" customFormat="1" ht="12.75" customHeight="1" x14ac:dyDescent="0.25">
      <c r="A69" s="484" t="str">
        <f>A50</f>
        <v>7. Realizar un documento que dé cuenta de la incorporación de los enfoques de derechos de las mujeres, de género y diferencial para mujeres en las instancias que se acompañan desde la Subsecretaría del Cuidado y Políticas de Igualdad.</v>
      </c>
      <c r="B69" s="486">
        <f>B50</f>
        <v>0.02</v>
      </c>
      <c r="C69" s="199" t="s">
        <v>63</v>
      </c>
      <c r="D69" s="230">
        <f>D50*$B$50/$P$50</f>
        <v>0</v>
      </c>
      <c r="E69" s="230">
        <f t="shared" ref="E69:O70" si="1037">E50*$B$50/$P$50</f>
        <v>0</v>
      </c>
      <c r="F69" s="230">
        <f t="shared" si="1037"/>
        <v>0</v>
      </c>
      <c r="G69" s="230">
        <f t="shared" si="1037"/>
        <v>0</v>
      </c>
      <c r="H69" s="230">
        <f t="shared" si="1037"/>
        <v>0</v>
      </c>
      <c r="I69" s="230">
        <f t="shared" si="1037"/>
        <v>0</v>
      </c>
      <c r="J69" s="230">
        <f t="shared" si="1037"/>
        <v>0</v>
      </c>
      <c r="K69" s="230">
        <f t="shared" si="1037"/>
        <v>0</v>
      </c>
      <c r="L69" s="230">
        <f t="shared" si="1037"/>
        <v>0</v>
      </c>
      <c r="M69" s="230">
        <f t="shared" si="1037"/>
        <v>0</v>
      </c>
      <c r="N69" s="230">
        <f t="shared" si="1037"/>
        <v>6.0000000000000001E-3</v>
      </c>
      <c r="O69" s="230">
        <f t="shared" si="1037"/>
        <v>1.3999999999999999E-2</v>
      </c>
      <c r="P69" s="231">
        <f t="shared" si="1036"/>
        <v>1.9999999999999997E-2</v>
      </c>
      <c r="Q69" s="108">
        <v>0.02</v>
      </c>
      <c r="R69" s="232">
        <f t="shared" si="1028"/>
        <v>0</v>
      </c>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13"/>
      <c r="AR69" s="213"/>
      <c r="AS69" s="213"/>
      <c r="AT69" s="213"/>
      <c r="AU69" s="213"/>
      <c r="AV69" s="213"/>
      <c r="AW69" s="213"/>
      <c r="AX69" s="213"/>
      <c r="AY69" s="213"/>
    </row>
    <row r="70" spans="1:51" s="274" customFormat="1" ht="12.75" customHeight="1" x14ac:dyDescent="0.25">
      <c r="A70" s="485"/>
      <c r="B70" s="487"/>
      <c r="C70" s="204" t="s">
        <v>67</v>
      </c>
      <c r="D70" s="234">
        <f>D51*$B$50/$P$50</f>
        <v>0</v>
      </c>
      <c r="E70" s="234">
        <f t="shared" si="1037"/>
        <v>0</v>
      </c>
      <c r="F70" s="234">
        <f t="shared" si="1037"/>
        <v>0</v>
      </c>
      <c r="G70" s="234">
        <f t="shared" si="1037"/>
        <v>0</v>
      </c>
      <c r="H70" s="234">
        <f t="shared" si="1037"/>
        <v>0</v>
      </c>
      <c r="I70" s="234">
        <f t="shared" si="1037"/>
        <v>0</v>
      </c>
      <c r="J70" s="234">
        <f t="shared" si="1037"/>
        <v>0</v>
      </c>
      <c r="K70" s="234">
        <f t="shared" si="1037"/>
        <v>0</v>
      </c>
      <c r="L70" s="234">
        <f t="shared" si="1037"/>
        <v>0</v>
      </c>
      <c r="M70" s="234">
        <f t="shared" si="1037"/>
        <v>0</v>
      </c>
      <c r="N70" s="234">
        <f t="shared" si="1037"/>
        <v>0</v>
      </c>
      <c r="O70" s="234">
        <f t="shared" si="1037"/>
        <v>0</v>
      </c>
      <c r="P70" s="235">
        <f t="shared" si="1036"/>
        <v>0</v>
      </c>
      <c r="Q70" s="236">
        <f>+P70</f>
        <v>0</v>
      </c>
      <c r="R70" s="232">
        <f t="shared" si="1028"/>
        <v>0</v>
      </c>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13"/>
      <c r="AR70" s="213"/>
      <c r="AS70" s="213"/>
      <c r="AT70" s="213"/>
      <c r="AU70" s="213"/>
      <c r="AV70" s="213"/>
      <c r="AW70" s="213"/>
      <c r="AX70" s="213"/>
      <c r="AY70" s="213"/>
    </row>
    <row r="71" spans="1:51" s="274" customFormat="1" ht="15.75" customHeight="1" x14ac:dyDescent="0.25">
      <c r="A71" s="233"/>
      <c r="B71" s="233"/>
      <c r="C71" s="237"/>
      <c r="D71" s="238">
        <f>D58+D60+D62+D64+D66+D68+D70</f>
        <v>3.7500000000000012E-3</v>
      </c>
      <c r="E71" s="238">
        <f t="shared" ref="E71:N71" si="1038">E58+E60+E62+E64+E66+E68+E70</f>
        <v>1.3500000000000002E-2</v>
      </c>
      <c r="F71" s="238">
        <f t="shared" si="1038"/>
        <v>1.975E-2</v>
      </c>
      <c r="G71" s="238">
        <f t="shared" si="1038"/>
        <v>1.975E-2</v>
      </c>
      <c r="H71" s="238">
        <f t="shared" si="1038"/>
        <v>1.975E-2</v>
      </c>
      <c r="I71" s="238">
        <f t="shared" si="1038"/>
        <v>1.575E-2</v>
      </c>
      <c r="J71" s="238">
        <f t="shared" si="1038"/>
        <v>1.4499999999999999E-2</v>
      </c>
      <c r="K71" s="238">
        <f t="shared" si="1038"/>
        <v>0</v>
      </c>
      <c r="L71" s="238">
        <f t="shared" si="1038"/>
        <v>0</v>
      </c>
      <c r="M71" s="238">
        <f t="shared" si="1038"/>
        <v>0</v>
      </c>
      <c r="N71" s="238">
        <f t="shared" si="1038"/>
        <v>0</v>
      </c>
      <c r="O71" s="238">
        <f>O58+O60+O62+O64+O66+O68+O70</f>
        <v>0</v>
      </c>
      <c r="P71" s="238">
        <f>P58+P60+P62+P64+P66+P68+P70</f>
        <v>0.10675</v>
      </c>
      <c r="Q71" s="233"/>
      <c r="R71" s="232">
        <f>+P71-Q71</f>
        <v>0.10675</v>
      </c>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13"/>
      <c r="AR71" s="213"/>
      <c r="AS71" s="213"/>
      <c r="AT71" s="213"/>
      <c r="AU71" s="213"/>
      <c r="AV71" s="213"/>
      <c r="AW71" s="213"/>
      <c r="AX71" s="213"/>
      <c r="AY71" s="213"/>
    </row>
    <row r="72" spans="1:51" s="274" customFormat="1" ht="15.75" customHeight="1" x14ac:dyDescent="0.25">
      <c r="A72" s="213"/>
      <c r="B72" s="213"/>
      <c r="C72" s="217" t="s">
        <v>67</v>
      </c>
      <c r="D72" s="239">
        <f>D71*$W$17/$B$34</f>
        <v>1.1458333333333339E-2</v>
      </c>
      <c r="E72" s="239">
        <f t="shared" ref="E72:O72" si="1039">E71*$W$17/$B$34</f>
        <v>4.1250000000000009E-2</v>
      </c>
      <c r="F72" s="239">
        <f t="shared" si="1039"/>
        <v>6.0347222222222226E-2</v>
      </c>
      <c r="G72" s="239">
        <f t="shared" si="1039"/>
        <v>6.0347222222222226E-2</v>
      </c>
      <c r="H72" s="239">
        <f t="shared" si="1039"/>
        <v>6.0347222222222226E-2</v>
      </c>
      <c r="I72" s="239">
        <f t="shared" si="1039"/>
        <v>4.8125000000000001E-2</v>
      </c>
      <c r="J72" s="239">
        <f t="shared" si="1039"/>
        <v>4.4305555555555556E-2</v>
      </c>
      <c r="K72" s="239">
        <f t="shared" si="1039"/>
        <v>0</v>
      </c>
      <c r="L72" s="239">
        <f t="shared" si="1039"/>
        <v>0</v>
      </c>
      <c r="M72" s="239">
        <f t="shared" si="1039"/>
        <v>0</v>
      </c>
      <c r="N72" s="239">
        <f t="shared" si="1039"/>
        <v>0</v>
      </c>
      <c r="O72" s="239">
        <f t="shared" si="1039"/>
        <v>0</v>
      </c>
      <c r="P72" s="240">
        <f>SUM(D72:O72)</f>
        <v>0.32618055555555553</v>
      </c>
      <c r="Q72" s="212"/>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row>
    <row r="73" spans="1:51" s="274" customFormat="1" ht="13.5" customHeight="1" x14ac:dyDescent="0.25">
      <c r="A73" s="212"/>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row>
    <row r="74" spans="1:51" x14ac:dyDescent="0.25">
      <c r="D74" s="238">
        <f>+D57+D59+D61+D63+D65+D67+D69</f>
        <v>3.7500000000000012E-3</v>
      </c>
      <c r="E74" s="238">
        <f t="shared" ref="E74:O74" si="1040">+E57+E59+E61+E63+E65+E67+E69</f>
        <v>1.3500000000000002E-2</v>
      </c>
      <c r="F74" s="238">
        <f t="shared" si="1040"/>
        <v>1.975E-2</v>
      </c>
      <c r="G74" s="238">
        <f t="shared" si="1040"/>
        <v>1.975E-2</v>
      </c>
      <c r="H74" s="238">
        <f t="shared" si="1040"/>
        <v>1.975E-2</v>
      </c>
      <c r="I74" s="238">
        <f t="shared" si="1040"/>
        <v>1.575E-2</v>
      </c>
      <c r="J74" s="238">
        <f t="shared" si="1040"/>
        <v>1.4499999999999999E-2</v>
      </c>
      <c r="K74" s="238">
        <f t="shared" si="1040"/>
        <v>1.3249999999999998E-2</v>
      </c>
      <c r="L74" s="238">
        <f t="shared" si="1040"/>
        <v>8.9999999999999993E-3</v>
      </c>
      <c r="M74" s="238">
        <f t="shared" si="1040"/>
        <v>8.9999999999999993E-3</v>
      </c>
      <c r="N74" s="238">
        <f t="shared" si="1040"/>
        <v>1.4999999999999999E-2</v>
      </c>
      <c r="O74" s="238">
        <f t="shared" si="1040"/>
        <v>2.6999999999999996E-2</v>
      </c>
      <c r="P74" s="238">
        <f>SUM(D74:O74)</f>
        <v>0.18000000000000002</v>
      </c>
    </row>
    <row r="75" spans="1:51" x14ac:dyDescent="0.25">
      <c r="C75" s="217" t="s">
        <v>63</v>
      </c>
      <c r="D75" s="239">
        <f>D74*$W$17/$B$34</f>
        <v>1.1458333333333339E-2</v>
      </c>
      <c r="E75" s="239">
        <f t="shared" ref="E75:O75" si="1041">E74*$W$17/$B$34</f>
        <v>4.1250000000000009E-2</v>
      </c>
      <c r="F75" s="239">
        <f t="shared" si="1041"/>
        <v>6.0347222222222226E-2</v>
      </c>
      <c r="G75" s="239">
        <f t="shared" si="1041"/>
        <v>6.0347222222222226E-2</v>
      </c>
      <c r="H75" s="239">
        <f t="shared" si="1041"/>
        <v>6.0347222222222226E-2</v>
      </c>
      <c r="I75" s="239">
        <f t="shared" si="1041"/>
        <v>4.8125000000000001E-2</v>
      </c>
      <c r="J75" s="239">
        <f t="shared" si="1041"/>
        <v>4.4305555555555556E-2</v>
      </c>
      <c r="K75" s="239">
        <f t="shared" si="1041"/>
        <v>4.0486111111111112E-2</v>
      </c>
      <c r="L75" s="239">
        <f t="shared" si="1041"/>
        <v>2.7500000000000004E-2</v>
      </c>
      <c r="M75" s="239">
        <f t="shared" si="1041"/>
        <v>2.7500000000000004E-2</v>
      </c>
      <c r="N75" s="239">
        <f t="shared" si="1041"/>
        <v>4.5833333333333337E-2</v>
      </c>
      <c r="O75" s="239">
        <f t="shared" si="1041"/>
        <v>8.249999999999999E-2</v>
      </c>
      <c r="P75" s="240">
        <f>SUM(D75:O75)</f>
        <v>0.55000000000000004</v>
      </c>
    </row>
  </sheetData>
  <mergeCells count="102">
    <mergeCell ref="C55:P55"/>
    <mergeCell ref="A57:A58"/>
    <mergeCell ref="B57:B58"/>
    <mergeCell ref="A59:A60"/>
    <mergeCell ref="B59:B60"/>
    <mergeCell ref="A61:A62"/>
    <mergeCell ref="B61:B62"/>
    <mergeCell ref="A63:A64"/>
    <mergeCell ref="B63:B64"/>
    <mergeCell ref="A65:A66"/>
    <mergeCell ref="B65:B66"/>
    <mergeCell ref="A67:A68"/>
    <mergeCell ref="B67:B68"/>
    <mergeCell ref="A69:A70"/>
    <mergeCell ref="B69:B70"/>
    <mergeCell ref="A48:A49"/>
    <mergeCell ref="B48:B49"/>
    <mergeCell ref="A55:A56"/>
    <mergeCell ref="B55:B56"/>
    <mergeCell ref="Q48:AD49"/>
    <mergeCell ref="A46:A47"/>
    <mergeCell ref="B46:B47"/>
    <mergeCell ref="Q46:AD47"/>
    <mergeCell ref="A50:A51"/>
    <mergeCell ref="B50:B51"/>
    <mergeCell ref="Q50:AD51"/>
    <mergeCell ref="A38:A39"/>
    <mergeCell ref="B38:B39"/>
    <mergeCell ref="Q38:AD39"/>
    <mergeCell ref="A44:A45"/>
    <mergeCell ref="B44:B45"/>
    <mergeCell ref="Q44:AD45"/>
    <mergeCell ref="A40:A41"/>
    <mergeCell ref="B40:B41"/>
    <mergeCell ref="Q40:AD41"/>
    <mergeCell ref="A42:A43"/>
    <mergeCell ref="B42:B43"/>
    <mergeCell ref="Q42:AD43"/>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A15:AD15"/>
    <mergeCell ref="C16:AB16"/>
    <mergeCell ref="A17:B17"/>
    <mergeCell ref="C17:Q17"/>
    <mergeCell ref="AC17:AD17"/>
    <mergeCell ref="C15:K15"/>
    <mergeCell ref="R15:X15"/>
    <mergeCell ref="Y15:Z15"/>
    <mergeCell ref="W17:X17"/>
    <mergeCell ref="A15:B15"/>
    <mergeCell ref="A19:AD19"/>
    <mergeCell ref="Y17:AB17"/>
    <mergeCell ref="Q20:AD20"/>
    <mergeCell ref="C20:P20"/>
    <mergeCell ref="R17:V17"/>
    <mergeCell ref="L15:Q15"/>
    <mergeCell ref="A1:A4"/>
    <mergeCell ref="B1:AA1"/>
    <mergeCell ref="AB1:AD1"/>
    <mergeCell ref="B2:AA2"/>
    <mergeCell ref="AB2:AD2"/>
    <mergeCell ref="B3:AA4"/>
    <mergeCell ref="AB3:AD3"/>
    <mergeCell ref="AB4:AD4"/>
    <mergeCell ref="C11:H13"/>
    <mergeCell ref="A7:B9"/>
    <mergeCell ref="C7:C9"/>
    <mergeCell ref="A11:B13"/>
    <mergeCell ref="D7:H9"/>
    <mergeCell ref="I7:J9"/>
    <mergeCell ref="K7:L9"/>
    <mergeCell ref="O7:P7"/>
    <mergeCell ref="M8:N8"/>
    <mergeCell ref="O8:P8"/>
    <mergeCell ref="M9:N9"/>
    <mergeCell ref="O9:P9"/>
    <mergeCell ref="M7:N7"/>
  </mergeCells>
  <phoneticPr fontId="50" type="noConversion"/>
  <dataValidations count="4">
    <dataValidation type="textLength" operator="lessThanOrEqual" allowBlank="1" showInputMessage="1" showErrorMessage="1" errorTitle="Máximo 2.000 caracteres" error="Máximo 2.000 caracteres" sqref="XDI48:XDV51 XEO48:XFB51 W34 AW48:BJ51 CC48:CP51 DI48:DV51 EO48:FB51 FU48:GH51 HA48:HN51 IG48:IT51 JM48:JZ51 KS48:LF51 LY48:ML51 NE48:NR51 OK48:OX51 PQ48:QD51 QW48:RJ51 SC48:SP51 TI48:TV51 UO48:VB51 VU48:WH51 XA48:XN51 YG48:YT51 ZM48:ZZ51 AAS48:ABF51 ABY48:ACL51 ADE48:ADR51 AEK48:AEX51 AFQ48:AGD51 AGW48:AHJ51 AIC48:AIP51 AJI48:AJV51 AKO48:ALB51 ALU48:AMH51 ANA48:ANN51 AOG48:AOT51 APM48:APZ51 AQS48:ARF51 ARY48:ASL51 ATE48:ATR51 AUK48:AUX51 AVQ48:AWD51 AWW48:AXJ51 AYC48:AYP51 AZI48:AZV51 BAO48:BBB51 BBU48:BCH51 BDA48:BDN51 BEG48:BET51 BFM48:BFZ51 BGS48:BHF51 BHY48:BIL51 BJE48:BJR51 BKK48:BKX51 BLQ48:BMD51 BMW48:BNJ51 BOC48:BOP51 BPI48:BPV51 BQO48:BRB51 BRU48:BSH51 BTA48:BTN51 BUG48:BUT51 BVM48:BVZ51 BWS48:BXF51 BXY48:BYL51 BZE48:BZR51 CAK48:CAX51 CBQ48:CCD51 CCW48:CDJ51 CEC48:CEP51 CFI48:CFV51 CGO48:CHB51 CHU48:CIH51 CJA48:CJN51 CKG48:CKT51 CLM48:CLZ51 CMS48:CNF51 CNY48:COL51 CPE48:CPR51 CQK48:CQX51 CRQ48:CSD51 CSW48:CTJ51 CUC48:CUP51 CVI48:CVV51 CWO48:CXB51 CXU48:CYH51 CZA48:CZN51 DAG48:DAT51 DBM48:DBZ51 DCS48:DDF51 DDY48:DEL51 DFE48:DFR51 DGK48:DGX51 DHQ48:DID51 DIW48:DJJ51 DKC48:DKP51 DLI48:DLV51 DMO48:DNB51 DNU48:DOH51 DPA48:DPN51 DQG48:DQT51 DRM48:DRZ51 DSS48:DTF51 DTY48:DUL51 DVE48:DVR51 DWK48:DWX51 DXQ48:DYD51 DYW48:DZJ51 EAC48:EAP51 EBI48:EBV51 ECO48:EDB51 EDU48:EEH51 EFA48:EFN51 EGG48:EGT51 EHM48:EHZ51 EIS48:EJF51 EJY48:EKL51 ELE48:ELR51 EMK48:EMX51 ENQ48:EOD51 EOW48:EPJ51 EQC48:EQP51 ERI48:ERV51 ESO48:ETB51 ETU48:EUH51 EVA48:EVN51 EWG48:EWT51 EXM48:EXZ51 EYS48:EZF51 EZY48:FAL51 FBE48:FBR51 FCK48:FCX51 FDQ48:FED51 FEW48:FFJ51 FGC48:FGP51 FHI48:FHV51 FIO48:FJB51 FJU48:FKH51 FLA48:FLN51 FMG48:FMT51 FNM48:FNZ51 FOS48:FPF51 FPY48:FQL51 FRE48:FRR51 FSK48:FSX51 FTQ48:FUD51 FUW48:FVJ51 FWC48:FWP51 FXI48:FXV51 FYO48:FZB51 FZU48:GAH51 GBA48:GBN51 GCG48:GCT51 GDM48:GDZ51 GES48:GFF51 GFY48:GGL51 GHE48:GHR51 GIK48:GIX51 GJQ48:GKD51 GKW48:GLJ51 GMC48:GMP51 GNI48:GNV51 GOO48:GPB51 GPU48:GQH51 GRA48:GRN51 GSG48:GST51 GTM48:GTZ51 GUS48:GVF51 GVY48:GWL51 GXE48:GXR51 GYK48:GYX51 GZQ48:HAD51 HAW48:HBJ51 HCC48:HCP51 HDI48:HDV51 HEO48:HFB51 HFU48:HGH51 HHA48:HHN51 HIG48:HIT51 HJM48:HJZ51 HKS48:HLF51 HLY48:HML51 HNE48:HNR51 HOK48:HOX51 HPQ48:HQD51 HQW48:HRJ51 HSC48:HSP51 HTI48:HTV51 HUO48:HVB51 HVU48:HWH51 HXA48:HXN51 HYG48:HYT51 HZM48:HZZ51 IAS48:IBF51 IBY48:ICL51 IDE48:IDR51 IEK48:IEX51 IFQ48:IGD51 IGW48:IHJ51 IIC48:IIP51 IJI48:IJV51 IKO48:ILB51 ILU48:IMH51 INA48:INN51 IOG48:IOT51 IPM48:IPZ51 IQS48:IRF51 IRY48:ISL51 ITE48:ITR51 IUK48:IUX51 IVQ48:IWD51 IWW48:IXJ51 IYC48:IYP51 IZI48:IZV51 JAO48:JBB51 JBU48:JCH51 JDA48:JDN51 JEG48:JET51 JFM48:JFZ51 JGS48:JHF51 JHY48:JIL51 JJE48:JJR51 JKK48:JKX51 JLQ48:JMD51 JMW48:JNJ51 JOC48:JOP51 JPI48:JPV51 JQO48:JRB51 JRU48:JSH51 JTA48:JTN51 JUG48:JUT51 JVM48:JVZ51 JWS48:JXF51 JXY48:JYL51 JZE48:JZR51 KAK48:KAX51 KBQ48:KCD51 KCW48:KDJ51 KEC48:KEP51 KFI48:KFV51 KGO48:KHB51 KHU48:KIH51 KJA48:KJN51 KKG48:KKT51 KLM48:KLZ51 KMS48:KNF51 KNY48:KOL51 KPE48:KPR51 KQK48:KQX51 KRQ48:KSD51 KSW48:KTJ51 KUC48:KUP51 KVI48:KVV51 KWO48:KXB51 KXU48:KYH51 KZA48:KZN51 LAG48:LAT51 LBM48:LBZ51 LCS48:LDF51 LDY48:LEL51 LFE48:LFR51 LGK48:LGX51 LHQ48:LID51 LIW48:LJJ51 LKC48:LKP51 LLI48:LLV51 LMO48:LNB51 LNU48:LOH51 LPA48:LPN51 LQG48:LQT51 LRM48:LRZ51 LSS48:LTF51 LTY48:LUL51 LVE48:LVR51 LWK48:LWX51 LXQ48:LYD51 LYW48:LZJ51 MAC48:MAP51 MBI48:MBV51 MCO48:MDB51 MDU48:MEH51 MFA48:MFN51 MGG48:MGT51 MHM48:MHZ51 MIS48:MJF51 MJY48:MKL51 MLE48:MLR51 MMK48:MMX51 MNQ48:MOD51 MOW48:MPJ51 MQC48:MQP51 MRI48:MRV51 MSO48:MTB51 MTU48:MUH51 MVA48:MVN51 MWG48:MWT51 MXM48:MXZ51 MYS48:MZF51 MZY48:NAL51 NBE48:NBR51 NCK48:NCX51 NDQ48:NED51 NEW48:NFJ51 NGC48:NGP51 NHI48:NHV51 NIO48:NJB51 NJU48:NKH51 NLA48:NLN51 NMG48:NMT51 NNM48:NNZ51 NOS48:NPF51 NPY48:NQL51 NRE48:NRR51 NSK48:NSX51 NTQ48:NUD51 NUW48:NVJ51 NWC48:NWP51 NXI48:NXV51 NYO48:NZB51 NZU48:OAH51 OBA48:OBN51 OCG48:OCT51 ODM48:ODZ51 OES48:OFF51 OFY48:OGL51 OHE48:OHR51 OIK48:OIX51 OJQ48:OKD51 OKW48:OLJ51 OMC48:OMP51 ONI48:ONV51 OOO48:OPB51 OPU48:OQH51 ORA48:ORN51 OSG48:OST51 OTM48:OTZ51 OUS48:OVF51 OVY48:OWL51 OXE48:OXR51 OYK48:OYX51 OZQ48:PAD51 PAW48:PBJ51 PCC48:PCP51 PDI48:PDV51 PEO48:PFB51 PFU48:PGH51 PHA48:PHN51 PIG48:PIT51 PJM48:PJZ51 PKS48:PLF51 PLY48:PML51 PNE48:PNR51 POK48:POX51 PPQ48:PQD51 PQW48:PRJ51 PSC48:PSP51 PTI48:PTV51 PUO48:PVB51 PVU48:PWH51 PXA48:PXN51 PYG48:PYT51 PZM48:PZZ51 QAS48:QBF51 QBY48:QCL51 QDE48:QDR51 QEK48:QEX51 QFQ48:QGD51 QGW48:QHJ51 QIC48:QIP51 QJI48:QJV51 QKO48:QLB51 QLU48:QMH51 QNA48:QNN51 QOG48:QOT51 QPM48:QPZ51 QQS48:QRF51 QRY48:QSL51 QTE48:QTR51 QUK48:QUX51 QVQ48:QWD51 QWW48:QXJ51 QYC48:QYP51 QZI48:QZV51 RAO48:RBB51 RBU48:RCH51 RDA48:RDN51 REG48:RET51 RFM48:RFZ51 RGS48:RHF51 RHY48:RIL51 RJE48:RJR51 RKK48:RKX51 RLQ48:RMD51 RMW48:RNJ51 ROC48:ROP51 RPI48:RPV51 RQO48:RRB51 RRU48:RSH51 RTA48:RTN51 RUG48:RUT51 RVM48:RVZ51 RWS48:RXF51 RXY48:RYL51 RZE48:RZR51 SAK48:SAX51 SBQ48:SCD51 SCW48:SDJ51 SEC48:SEP51 SFI48:SFV51 SGO48:SHB51 SHU48:SIH51 SJA48:SJN51 SKG48:SKT51 SLM48:SLZ51 SMS48:SNF51 SNY48:SOL51 SPE48:SPR51 SQK48:SQX51 SRQ48:SSD51 SSW48:STJ51 SUC48:SUP51 SVI48:SVV51 SWO48:SXB51 SXU48:SYH51 SZA48:SZN51 TAG48:TAT51 TBM48:TBZ51 TCS48:TDF51 TDY48:TEL51 TFE48:TFR51 TGK48:TGX51 THQ48:TID51 TIW48:TJJ51 TKC48:TKP51 TLI48:TLV51 TMO48:TNB51 TNU48:TOH51 TPA48:TPN51 TQG48:TQT51 TRM48:TRZ51 TSS48:TTF51 TTY48:TUL51 TVE48:TVR51 TWK48:TWX51 TXQ48:TYD51 TYW48:TZJ51 UAC48:UAP51 UBI48:UBV51 UCO48:UDB51 UDU48:UEH51 UFA48:UFN51 UGG48:UGT51 UHM48:UHZ51 UIS48:UJF51 UJY48:UKL51 ULE48:ULR51 UMK48:UMX51 UNQ48:UOD51 UOW48:UPJ51 UQC48:UQP51 URI48:URV51 USO48:UTB51 UTU48:UUH51 UVA48:UVN51 UWG48:UWT51 UXM48:UXZ51 UYS48:UZF51 UZY48:VAL51 VBE48:VBR51 VCK48:VCX51 VDQ48:VED51 VEW48:VFJ51 VGC48:VGP51 VHI48:VHV51 VIO48:VJB51 VJU48:VKH51 VLA48:VLN51 VMG48:VMT51 VNM48:VNZ51 VOS48:VPF51 VPY48:VQL51 VRE48:VRR51 VSK48:VSX51 VTQ48:VUD51 VUW48:VVJ51 VWC48:VWP51 VXI48:VXV51 VYO48:VZB51 VZU48:WAH51 WBA48:WBN51 WCG48:WCT51 WDM48:WDZ51 WES48:WFF51 WFY48:WGL51 WHE48:WHR51 WIK48:WIX51 WJQ48:WKD51 WKW48:WLJ51 WMC48:WMP51 WNI48:WNV51 WOO48:WPB51 WPU48:WQH51 WRA48:WRN51 WSG48:WST51 WTM48:WTZ51 WUS48:WVF51 WVY48:WWL51 WXE48:WXR51 WYK48:WYX51 WZQ48:XAD51 XAW48:XBJ51 XCC48:XCP51 Q34 AA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4:AD51" xr:uid="{7AEC113A-887D-4BF2-839D-ADCC85CD4ABD}">
      <formula1>20000</formula1>
    </dataValidation>
  </dataValidations>
  <printOptions horizontalCentered="1"/>
  <pageMargins left="0.19685039370078741" right="0.19685039370078741" top="0.19685039370078741" bottom="0.19685039370078741" header="0" footer="0"/>
  <pageSetup scale="26" fitToHeight="0" orientation="landscape" r:id="rId1"/>
  <rowBreaks count="2" manualBreakCount="2">
    <brk id="47" max="29" man="1"/>
    <brk id="49"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BQ89"/>
  <sheetViews>
    <sheetView topLeftCell="B36" zoomScale="75" zoomScaleNormal="75" workbookViewId="0">
      <selection activeCell="G48" sqref="G48"/>
    </sheetView>
  </sheetViews>
  <sheetFormatPr baseColWidth="10" defaultColWidth="19.42578125" defaultRowHeight="15" x14ac:dyDescent="0.25"/>
  <cols>
    <col min="1" max="1" width="24" style="108" bestFit="1" customWidth="1"/>
    <col min="2" max="25" width="11" style="108" customWidth="1"/>
    <col min="26" max="27" width="12.140625" style="108" customWidth="1"/>
    <col min="28" max="28" width="35.42578125" style="108" customWidth="1"/>
    <col min="29" max="34" width="7.85546875" style="108" customWidth="1"/>
    <col min="35" max="35" width="2.42578125" style="108" customWidth="1"/>
    <col min="36" max="36" width="19.42578125" style="108" customWidth="1"/>
    <col min="37" max="46" width="11.42578125" style="108" customWidth="1"/>
    <col min="47" max="47" width="13.42578125" style="108" customWidth="1"/>
    <col min="48" max="62" width="11.42578125" style="108" customWidth="1"/>
    <col min="63" max="63" width="35.42578125" style="108" customWidth="1"/>
    <col min="64" max="69" width="7.85546875" style="108" customWidth="1"/>
    <col min="70" max="16384" width="19.42578125" style="108"/>
  </cols>
  <sheetData>
    <row r="1" spans="1:69" ht="15.95" customHeight="1" x14ac:dyDescent="0.25">
      <c r="A1" s="866" t="s">
        <v>0</v>
      </c>
      <c r="B1" s="866"/>
      <c r="C1" s="866"/>
      <c r="D1" s="866"/>
      <c r="E1" s="866"/>
      <c r="F1" s="866"/>
      <c r="G1" s="866"/>
      <c r="H1" s="866"/>
      <c r="I1" s="866"/>
      <c r="J1" s="866"/>
      <c r="K1" s="866"/>
      <c r="L1" s="866"/>
      <c r="M1" s="866"/>
      <c r="N1" s="866"/>
      <c r="O1" s="866"/>
      <c r="P1" s="866"/>
      <c r="Q1" s="866"/>
      <c r="R1" s="866"/>
      <c r="S1" s="866"/>
      <c r="T1" s="866"/>
      <c r="U1" s="866"/>
      <c r="V1" s="866"/>
      <c r="W1" s="866"/>
      <c r="X1" s="866"/>
      <c r="Y1" s="866"/>
      <c r="Z1" s="866"/>
      <c r="AA1" s="866"/>
      <c r="AB1" s="866"/>
      <c r="AC1" s="866"/>
      <c r="AD1" s="866"/>
      <c r="AE1" s="866"/>
      <c r="AF1" s="866"/>
      <c r="AG1" s="866"/>
      <c r="AH1" s="866"/>
      <c r="AI1" s="866"/>
      <c r="AJ1" s="866"/>
      <c r="AK1" s="866"/>
      <c r="AL1" s="866"/>
      <c r="AM1" s="866"/>
      <c r="AN1" s="866"/>
      <c r="AO1" s="866"/>
      <c r="AP1" s="866"/>
      <c r="AQ1" s="866"/>
      <c r="AR1" s="866"/>
      <c r="AS1" s="866"/>
      <c r="AT1" s="866"/>
      <c r="AU1" s="866"/>
      <c r="AV1" s="866"/>
      <c r="AW1" s="866"/>
      <c r="AX1" s="866"/>
      <c r="AY1" s="866"/>
      <c r="AZ1" s="866"/>
      <c r="BA1" s="866"/>
      <c r="BB1" s="866"/>
      <c r="BC1" s="866"/>
      <c r="BD1" s="866"/>
      <c r="BE1" s="866"/>
      <c r="BF1" s="866"/>
      <c r="BG1" s="866"/>
      <c r="BH1" s="866"/>
      <c r="BI1" s="866"/>
      <c r="BJ1" s="866"/>
      <c r="BK1" s="866"/>
      <c r="BL1" s="866"/>
      <c r="BM1" s="866"/>
      <c r="BN1" s="866"/>
      <c r="BO1" s="867" t="s">
        <v>1</v>
      </c>
      <c r="BP1" s="867"/>
      <c r="BQ1" s="867"/>
    </row>
    <row r="2" spans="1:69" ht="15.95" customHeight="1" x14ac:dyDescent="0.25">
      <c r="A2" s="866" t="s">
        <v>2</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6"/>
      <c r="AZ2" s="866"/>
      <c r="BA2" s="866"/>
      <c r="BB2" s="866"/>
      <c r="BC2" s="866"/>
      <c r="BD2" s="866"/>
      <c r="BE2" s="866"/>
      <c r="BF2" s="866"/>
      <c r="BG2" s="866"/>
      <c r="BH2" s="866"/>
      <c r="BI2" s="866"/>
      <c r="BJ2" s="866"/>
      <c r="BK2" s="866"/>
      <c r="BL2" s="866"/>
      <c r="BM2" s="866"/>
      <c r="BN2" s="866"/>
      <c r="BO2" s="344" t="s">
        <v>3</v>
      </c>
      <c r="BP2" s="345"/>
      <c r="BQ2" s="346"/>
    </row>
    <row r="3" spans="1:69" ht="26.25" customHeight="1" x14ac:dyDescent="0.25">
      <c r="A3" s="866" t="s">
        <v>323</v>
      </c>
      <c r="B3" s="866"/>
      <c r="C3" s="866"/>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866"/>
      <c r="AF3" s="866"/>
      <c r="AG3" s="866"/>
      <c r="AH3" s="866"/>
      <c r="AI3" s="866"/>
      <c r="AJ3" s="866"/>
      <c r="AK3" s="866"/>
      <c r="AL3" s="866"/>
      <c r="AM3" s="866"/>
      <c r="AN3" s="866"/>
      <c r="AO3" s="866"/>
      <c r="AP3" s="866"/>
      <c r="AQ3" s="866"/>
      <c r="AR3" s="866"/>
      <c r="AS3" s="866"/>
      <c r="AT3" s="866"/>
      <c r="AU3" s="866"/>
      <c r="AV3" s="866"/>
      <c r="AW3" s="866"/>
      <c r="AX3" s="866"/>
      <c r="AY3" s="866"/>
      <c r="AZ3" s="866"/>
      <c r="BA3" s="866"/>
      <c r="BB3" s="866"/>
      <c r="BC3" s="866"/>
      <c r="BD3" s="866"/>
      <c r="BE3" s="866"/>
      <c r="BF3" s="866"/>
      <c r="BG3" s="866"/>
      <c r="BH3" s="866"/>
      <c r="BI3" s="866"/>
      <c r="BJ3" s="866"/>
      <c r="BK3" s="866"/>
      <c r="BL3" s="866"/>
      <c r="BM3" s="866"/>
      <c r="BN3" s="866"/>
      <c r="BO3" s="344" t="s">
        <v>5</v>
      </c>
      <c r="BP3" s="345"/>
      <c r="BQ3" s="346"/>
    </row>
    <row r="4" spans="1:69" ht="15.95" customHeight="1" x14ac:dyDescent="0.25">
      <c r="A4" s="866" t="s">
        <v>324</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6"/>
      <c r="AZ4" s="866"/>
      <c r="BA4" s="866"/>
      <c r="BB4" s="866"/>
      <c r="BC4" s="866"/>
      <c r="BD4" s="866"/>
      <c r="BE4" s="866"/>
      <c r="BF4" s="866"/>
      <c r="BG4" s="866"/>
      <c r="BH4" s="866"/>
      <c r="BI4" s="866"/>
      <c r="BJ4" s="866"/>
      <c r="BK4" s="866"/>
      <c r="BL4" s="866"/>
      <c r="BM4" s="866"/>
      <c r="BN4" s="866"/>
      <c r="BO4" s="863" t="s">
        <v>325</v>
      </c>
      <c r="BP4" s="864"/>
      <c r="BQ4" s="865"/>
    </row>
    <row r="5" spans="1:69" ht="26.25" customHeight="1" x14ac:dyDescent="0.25">
      <c r="A5" s="868" t="s">
        <v>326</v>
      </c>
      <c r="B5" s="868"/>
      <c r="C5" s="868"/>
      <c r="D5" s="868"/>
      <c r="E5" s="868"/>
      <c r="F5" s="868"/>
      <c r="G5" s="868"/>
      <c r="H5" s="868"/>
      <c r="I5" s="868"/>
      <c r="J5" s="868"/>
      <c r="K5" s="868"/>
      <c r="L5" s="868"/>
      <c r="M5" s="868"/>
      <c r="N5" s="868"/>
      <c r="O5" s="868"/>
      <c r="P5" s="868"/>
      <c r="Q5" s="868"/>
      <c r="R5" s="868"/>
      <c r="S5" s="868"/>
      <c r="T5" s="868"/>
      <c r="U5" s="868"/>
      <c r="V5" s="868"/>
      <c r="W5" s="868"/>
      <c r="X5" s="868"/>
      <c r="Y5" s="868"/>
      <c r="Z5" s="868"/>
      <c r="AA5" s="868"/>
      <c r="AB5" s="868"/>
      <c r="AC5" s="868"/>
      <c r="AD5" s="868"/>
      <c r="AE5" s="868"/>
      <c r="AF5" s="868"/>
      <c r="AG5" s="868"/>
      <c r="AH5" s="868"/>
      <c r="AJ5" s="868" t="s">
        <v>327</v>
      </c>
      <c r="AK5" s="868"/>
      <c r="AL5" s="868"/>
      <c r="AM5" s="868"/>
      <c r="AN5" s="868"/>
      <c r="AO5" s="868"/>
      <c r="AP5" s="868"/>
      <c r="AQ5" s="868"/>
      <c r="AR5" s="868"/>
      <c r="AS5" s="868"/>
      <c r="AT5" s="868"/>
      <c r="AU5" s="868"/>
      <c r="AV5" s="868"/>
      <c r="AW5" s="868"/>
      <c r="AX5" s="868"/>
      <c r="AY5" s="868"/>
      <c r="AZ5" s="868"/>
      <c r="BA5" s="868"/>
      <c r="BB5" s="868"/>
      <c r="BC5" s="868"/>
      <c r="BD5" s="868"/>
      <c r="BE5" s="868"/>
      <c r="BF5" s="868"/>
      <c r="BG5" s="868"/>
      <c r="BH5" s="868"/>
      <c r="BI5" s="868"/>
      <c r="BJ5" s="868"/>
      <c r="BK5" s="868"/>
      <c r="BL5" s="868"/>
      <c r="BM5" s="868"/>
      <c r="BN5" s="868"/>
      <c r="BO5" s="869"/>
      <c r="BP5" s="869"/>
      <c r="BQ5" s="869"/>
    </row>
    <row r="6" spans="1:69" ht="28.5" x14ac:dyDescent="0.25">
      <c r="A6" s="296" t="s">
        <v>328</v>
      </c>
      <c r="B6" s="858" t="s">
        <v>329</v>
      </c>
      <c r="C6" s="858"/>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858"/>
      <c r="AF6" s="858"/>
      <c r="AG6" s="858"/>
      <c r="AH6" s="858"/>
      <c r="AI6" s="858"/>
      <c r="AJ6" s="858"/>
      <c r="AK6" s="858"/>
      <c r="AL6" s="858"/>
      <c r="AM6" s="858"/>
      <c r="AN6" s="858"/>
      <c r="AO6" s="858"/>
      <c r="AP6" s="858"/>
      <c r="AQ6" s="858"/>
      <c r="AR6" s="858"/>
      <c r="AS6" s="858"/>
      <c r="AT6" s="858"/>
      <c r="AU6" s="858"/>
      <c r="AV6" s="858"/>
      <c r="AW6" s="858"/>
      <c r="AX6" s="858"/>
      <c r="AY6" s="858"/>
      <c r="AZ6" s="858"/>
      <c r="BA6" s="858"/>
      <c r="BB6" s="858"/>
      <c r="BC6" s="858"/>
      <c r="BD6" s="858"/>
      <c r="BE6" s="858"/>
      <c r="BF6" s="858"/>
      <c r="BG6" s="858"/>
      <c r="BH6" s="858"/>
      <c r="BI6" s="858"/>
      <c r="BJ6" s="858"/>
      <c r="BK6" s="858"/>
      <c r="BL6" s="858"/>
      <c r="BM6" s="858"/>
      <c r="BN6" s="858"/>
      <c r="BO6" s="858"/>
      <c r="BP6" s="858"/>
      <c r="BQ6" s="858"/>
    </row>
    <row r="7" spans="1:69" ht="29.25" customHeight="1" x14ac:dyDescent="0.25">
      <c r="A7" s="150" t="s">
        <v>330</v>
      </c>
      <c r="B7" s="860" t="s">
        <v>331</v>
      </c>
      <c r="C7" s="861"/>
      <c r="D7" s="861"/>
      <c r="E7" s="861"/>
      <c r="F7" s="861"/>
      <c r="G7" s="861"/>
      <c r="H7" s="861"/>
      <c r="I7" s="861"/>
      <c r="J7" s="861"/>
      <c r="K7" s="861"/>
      <c r="L7" s="861"/>
      <c r="M7" s="861"/>
      <c r="N7" s="861"/>
      <c r="O7" s="861"/>
      <c r="P7" s="861"/>
      <c r="Q7" s="861"/>
      <c r="R7" s="861"/>
      <c r="S7" s="861"/>
      <c r="T7" s="861"/>
      <c r="U7" s="861"/>
      <c r="V7" s="861"/>
      <c r="W7" s="861"/>
      <c r="X7" s="861"/>
      <c r="Y7" s="861"/>
      <c r="Z7" s="861"/>
      <c r="AA7" s="861"/>
      <c r="AB7" s="861"/>
      <c r="AC7" s="861"/>
      <c r="AD7" s="861"/>
      <c r="AE7" s="861"/>
      <c r="AF7" s="861"/>
      <c r="AG7" s="861"/>
      <c r="AH7" s="861"/>
      <c r="AI7" s="861"/>
      <c r="AJ7" s="861"/>
      <c r="AK7" s="861"/>
      <c r="AL7" s="861"/>
      <c r="AM7" s="861"/>
      <c r="AN7" s="861"/>
      <c r="AO7" s="861"/>
      <c r="AP7" s="861"/>
      <c r="AQ7" s="861"/>
      <c r="AR7" s="861"/>
      <c r="AS7" s="861"/>
      <c r="AT7" s="861"/>
      <c r="AU7" s="861"/>
      <c r="AV7" s="861"/>
      <c r="AW7" s="861"/>
      <c r="AX7" s="861"/>
      <c r="AY7" s="861"/>
      <c r="AZ7" s="861"/>
      <c r="BA7" s="861"/>
      <c r="BB7" s="861"/>
      <c r="BC7" s="861"/>
      <c r="BD7" s="861"/>
      <c r="BE7" s="861"/>
      <c r="BF7" s="861"/>
      <c r="BG7" s="861"/>
      <c r="BH7" s="861"/>
      <c r="BI7" s="861"/>
      <c r="BJ7" s="861"/>
      <c r="BK7" s="861"/>
      <c r="BL7" s="861"/>
      <c r="BM7" s="861"/>
      <c r="BN7" s="861"/>
      <c r="BO7" s="861"/>
      <c r="BP7" s="861"/>
      <c r="BQ7" s="862"/>
    </row>
    <row r="8" spans="1:69" ht="6" customHeight="1" x14ac:dyDescent="0.25">
      <c r="A8" s="142"/>
      <c r="B8" s="142"/>
      <c r="C8" s="142"/>
      <c r="D8" s="142"/>
      <c r="E8" s="142"/>
      <c r="F8" s="142"/>
      <c r="G8" s="142"/>
      <c r="H8" s="142"/>
      <c r="I8" s="142"/>
      <c r="J8" s="142"/>
      <c r="K8" s="142"/>
      <c r="L8" s="142"/>
      <c r="M8" s="142"/>
      <c r="N8" s="142"/>
      <c r="O8" s="143"/>
      <c r="P8" s="143"/>
      <c r="Q8" s="143"/>
      <c r="R8" s="143"/>
      <c r="S8" s="143"/>
      <c r="T8" s="143"/>
      <c r="U8" s="143"/>
      <c r="V8" s="143"/>
      <c r="W8" s="143"/>
      <c r="X8" s="143"/>
      <c r="Y8" s="143"/>
      <c r="Z8" s="143"/>
      <c r="AA8" s="143"/>
      <c r="AB8" s="143"/>
      <c r="AC8" s="143"/>
      <c r="AD8" s="143"/>
      <c r="AE8" s="143"/>
      <c r="AF8" s="143"/>
      <c r="AG8" s="143"/>
      <c r="AH8" s="143"/>
      <c r="AJ8" s="142"/>
      <c r="AK8" s="143"/>
      <c r="AL8" s="143"/>
      <c r="AM8" s="143"/>
      <c r="AN8" s="143"/>
      <c r="AO8" s="143"/>
      <c r="AP8" s="143"/>
      <c r="AQ8" s="143"/>
      <c r="AR8" s="143"/>
      <c r="AS8" s="143"/>
      <c r="AT8" s="143"/>
      <c r="AU8" s="143"/>
      <c r="AV8" s="143"/>
    </row>
    <row r="9" spans="1:69" ht="30" customHeight="1" x14ac:dyDescent="0.25">
      <c r="A9" s="855" t="s">
        <v>332</v>
      </c>
      <c r="B9" s="853" t="s">
        <v>30</v>
      </c>
      <c r="C9" s="854"/>
      <c r="D9" s="853" t="s">
        <v>31</v>
      </c>
      <c r="E9" s="854"/>
      <c r="F9" s="853" t="s">
        <v>32</v>
      </c>
      <c r="G9" s="854"/>
      <c r="H9" s="853" t="s">
        <v>33</v>
      </c>
      <c r="I9" s="854"/>
      <c r="J9" s="853" t="s">
        <v>34</v>
      </c>
      <c r="K9" s="854"/>
      <c r="L9" s="853" t="s">
        <v>35</v>
      </c>
      <c r="M9" s="854"/>
      <c r="N9" s="853" t="s">
        <v>8</v>
      </c>
      <c r="O9" s="854"/>
      <c r="P9" s="853" t="s">
        <v>36</v>
      </c>
      <c r="Q9" s="854"/>
      <c r="R9" s="853" t="s">
        <v>37</v>
      </c>
      <c r="S9" s="854"/>
      <c r="T9" s="853" t="s">
        <v>38</v>
      </c>
      <c r="U9" s="854"/>
      <c r="V9" s="853" t="s">
        <v>39</v>
      </c>
      <c r="W9" s="854"/>
      <c r="X9" s="853" t="s">
        <v>40</v>
      </c>
      <c r="Y9" s="854"/>
      <c r="Z9" s="853" t="s">
        <v>333</v>
      </c>
      <c r="AA9" s="854"/>
      <c r="AB9" s="855" t="s">
        <v>334</v>
      </c>
      <c r="AC9" s="853" t="s">
        <v>335</v>
      </c>
      <c r="AD9" s="857"/>
      <c r="AE9" s="857"/>
      <c r="AF9" s="857"/>
      <c r="AG9" s="857"/>
      <c r="AH9" s="854"/>
      <c r="AJ9" s="855" t="s">
        <v>332</v>
      </c>
      <c r="AK9" s="853" t="s">
        <v>30</v>
      </c>
      <c r="AL9" s="854"/>
      <c r="AM9" s="853" t="s">
        <v>31</v>
      </c>
      <c r="AN9" s="854"/>
      <c r="AO9" s="853" t="s">
        <v>32</v>
      </c>
      <c r="AP9" s="854"/>
      <c r="AQ9" s="853" t="s">
        <v>33</v>
      </c>
      <c r="AR9" s="854"/>
      <c r="AS9" s="853" t="s">
        <v>34</v>
      </c>
      <c r="AT9" s="854"/>
      <c r="AU9" s="853" t="s">
        <v>35</v>
      </c>
      <c r="AV9" s="854"/>
      <c r="AW9" s="853" t="s">
        <v>8</v>
      </c>
      <c r="AX9" s="854"/>
      <c r="AY9" s="853" t="s">
        <v>36</v>
      </c>
      <c r="AZ9" s="854"/>
      <c r="BA9" s="853" t="s">
        <v>37</v>
      </c>
      <c r="BB9" s="854"/>
      <c r="BC9" s="853" t="s">
        <v>38</v>
      </c>
      <c r="BD9" s="854"/>
      <c r="BE9" s="853" t="s">
        <v>39</v>
      </c>
      <c r="BF9" s="854"/>
      <c r="BG9" s="853" t="s">
        <v>40</v>
      </c>
      <c r="BH9" s="854"/>
      <c r="BI9" s="853" t="s">
        <v>333</v>
      </c>
      <c r="BJ9" s="854"/>
      <c r="BK9" s="855" t="s">
        <v>334</v>
      </c>
      <c r="BL9" s="853" t="s">
        <v>335</v>
      </c>
      <c r="BM9" s="857"/>
      <c r="BN9" s="857"/>
      <c r="BO9" s="857"/>
      <c r="BP9" s="857"/>
      <c r="BQ9" s="854"/>
    </row>
    <row r="10" spans="1:69" ht="28.5" customHeight="1" x14ac:dyDescent="0.25">
      <c r="A10" s="856"/>
      <c r="B10" s="295" t="s">
        <v>336</v>
      </c>
      <c r="C10" s="295" t="s">
        <v>337</v>
      </c>
      <c r="D10" s="295" t="s">
        <v>336</v>
      </c>
      <c r="E10" s="295" t="s">
        <v>337</v>
      </c>
      <c r="F10" s="295" t="s">
        <v>336</v>
      </c>
      <c r="G10" s="295" t="s">
        <v>337</v>
      </c>
      <c r="H10" s="295" t="s">
        <v>336</v>
      </c>
      <c r="I10" s="295" t="s">
        <v>337</v>
      </c>
      <c r="J10" s="295" t="s">
        <v>336</v>
      </c>
      <c r="K10" s="295" t="s">
        <v>337</v>
      </c>
      <c r="L10" s="295" t="s">
        <v>336</v>
      </c>
      <c r="M10" s="295" t="s">
        <v>337</v>
      </c>
      <c r="N10" s="295" t="s">
        <v>336</v>
      </c>
      <c r="O10" s="295" t="s">
        <v>337</v>
      </c>
      <c r="P10" s="295" t="s">
        <v>336</v>
      </c>
      <c r="Q10" s="295" t="s">
        <v>337</v>
      </c>
      <c r="R10" s="295" t="s">
        <v>336</v>
      </c>
      <c r="S10" s="295" t="s">
        <v>337</v>
      </c>
      <c r="T10" s="295" t="s">
        <v>336</v>
      </c>
      <c r="U10" s="295" t="s">
        <v>337</v>
      </c>
      <c r="V10" s="295" t="s">
        <v>336</v>
      </c>
      <c r="W10" s="295" t="s">
        <v>337</v>
      </c>
      <c r="X10" s="295" t="s">
        <v>336</v>
      </c>
      <c r="Y10" s="295" t="s">
        <v>337</v>
      </c>
      <c r="Z10" s="295" t="s">
        <v>336</v>
      </c>
      <c r="AA10" s="295" t="s">
        <v>337</v>
      </c>
      <c r="AB10" s="856"/>
      <c r="AC10" s="295" t="s">
        <v>338</v>
      </c>
      <c r="AD10" s="144" t="s">
        <v>339</v>
      </c>
      <c r="AE10" s="295" t="s">
        <v>340</v>
      </c>
      <c r="AF10" s="295" t="s">
        <v>341</v>
      </c>
      <c r="AG10" s="295" t="s">
        <v>342</v>
      </c>
      <c r="AH10" s="295" t="s">
        <v>343</v>
      </c>
      <c r="AJ10" s="856"/>
      <c r="AK10" s="295" t="s">
        <v>336</v>
      </c>
      <c r="AL10" s="295" t="s">
        <v>337</v>
      </c>
      <c r="AM10" s="295" t="s">
        <v>336</v>
      </c>
      <c r="AN10" s="295" t="s">
        <v>337</v>
      </c>
      <c r="AO10" s="295" t="s">
        <v>336</v>
      </c>
      <c r="AP10" s="295" t="s">
        <v>337</v>
      </c>
      <c r="AQ10" s="295" t="s">
        <v>336</v>
      </c>
      <c r="AR10" s="295" t="s">
        <v>337</v>
      </c>
      <c r="AS10" s="295" t="s">
        <v>336</v>
      </c>
      <c r="AT10" s="295" t="s">
        <v>337</v>
      </c>
      <c r="AU10" s="295" t="s">
        <v>336</v>
      </c>
      <c r="AV10" s="295" t="s">
        <v>337</v>
      </c>
      <c r="AW10" s="295" t="s">
        <v>336</v>
      </c>
      <c r="AX10" s="295" t="s">
        <v>337</v>
      </c>
      <c r="AY10" s="295" t="s">
        <v>336</v>
      </c>
      <c r="AZ10" s="295" t="s">
        <v>337</v>
      </c>
      <c r="BA10" s="295" t="s">
        <v>336</v>
      </c>
      <c r="BB10" s="295" t="s">
        <v>337</v>
      </c>
      <c r="BC10" s="295" t="s">
        <v>336</v>
      </c>
      <c r="BD10" s="295" t="s">
        <v>337</v>
      </c>
      <c r="BE10" s="295" t="s">
        <v>336</v>
      </c>
      <c r="BF10" s="295" t="s">
        <v>337</v>
      </c>
      <c r="BG10" s="295" t="s">
        <v>336</v>
      </c>
      <c r="BH10" s="295" t="s">
        <v>337</v>
      </c>
      <c r="BI10" s="295" t="s">
        <v>336</v>
      </c>
      <c r="BJ10" s="295" t="s">
        <v>337</v>
      </c>
      <c r="BK10" s="856"/>
      <c r="BL10" s="295" t="s">
        <v>338</v>
      </c>
      <c r="BM10" s="144" t="s">
        <v>339</v>
      </c>
      <c r="BN10" s="295" t="s">
        <v>340</v>
      </c>
      <c r="BO10" s="295" t="s">
        <v>341</v>
      </c>
      <c r="BP10" s="295" t="s">
        <v>342</v>
      </c>
      <c r="BQ10" s="295" t="s">
        <v>343</v>
      </c>
    </row>
    <row r="11" spans="1:69" ht="189" customHeight="1" x14ac:dyDescent="0.25">
      <c r="A11" s="145" t="s">
        <v>344</v>
      </c>
      <c r="B11" s="246">
        <v>100</v>
      </c>
      <c r="C11" s="246"/>
      <c r="D11" s="246">
        <v>230</v>
      </c>
      <c r="E11" s="246"/>
      <c r="F11" s="246">
        <v>230</v>
      </c>
      <c r="G11" s="246"/>
      <c r="H11" s="246"/>
      <c r="I11" s="246"/>
      <c r="J11" s="246"/>
      <c r="K11" s="246"/>
      <c r="L11" s="246"/>
      <c r="M11" s="246"/>
      <c r="N11" s="145"/>
      <c r="O11" s="146"/>
      <c r="P11" s="146"/>
      <c r="Q11" s="146"/>
      <c r="R11" s="146"/>
      <c r="S11" s="146"/>
      <c r="T11" s="146"/>
      <c r="U11" s="146"/>
      <c r="V11" s="146"/>
      <c r="W11" s="146"/>
      <c r="X11" s="146"/>
      <c r="Y11" s="146"/>
      <c r="Z11" s="297">
        <f>B11+D11+F11+H11+J11+L11+N11+P11+R11+T11+V11+X11</f>
        <v>560</v>
      </c>
      <c r="AA11" s="151">
        <f>C11+E11+G11+I11+K11+M11+O11+Q11+S11+U11+W11+Y11</f>
        <v>0</v>
      </c>
      <c r="AB11" s="291" t="s">
        <v>345</v>
      </c>
      <c r="AC11" s="145">
        <v>0</v>
      </c>
      <c r="AD11" s="145">
        <v>0</v>
      </c>
      <c r="AE11" s="145">
        <v>0</v>
      </c>
      <c r="AF11" s="145">
        <v>81</v>
      </c>
      <c r="AG11" s="145">
        <v>109</v>
      </c>
      <c r="AH11" s="291">
        <v>2</v>
      </c>
      <c r="AJ11" s="145" t="s">
        <v>344</v>
      </c>
      <c r="AK11" s="145">
        <v>221</v>
      </c>
      <c r="AL11" s="145"/>
      <c r="AM11" s="145">
        <v>300</v>
      </c>
      <c r="AN11" s="145"/>
      <c r="AO11" s="145">
        <v>378</v>
      </c>
      <c r="AP11" s="145"/>
      <c r="AQ11" s="145"/>
      <c r="AR11" s="145"/>
      <c r="AS11" s="145"/>
      <c r="AT11" s="145"/>
      <c r="AU11" s="145"/>
      <c r="AV11" s="145"/>
      <c r="AW11" s="145"/>
      <c r="AX11" s="146"/>
      <c r="AY11" s="146"/>
      <c r="AZ11" s="146"/>
      <c r="BA11" s="146"/>
      <c r="BB11" s="146"/>
      <c r="BC11" s="146"/>
      <c r="BD11" s="146"/>
      <c r="BE11" s="146"/>
      <c r="BF11" s="146"/>
      <c r="BG11" s="146"/>
      <c r="BH11" s="146"/>
      <c r="BI11" s="146">
        <f>AK11+AM11+AO11+AQ11+AS11+AU11+AW11+AY11+BA11+BC11+BE11+BG11</f>
        <v>899</v>
      </c>
      <c r="BJ11" s="151">
        <f>AL11+AN11+AP11+AR11+AT11+AV11+AX11+AZ11+BB11+BD11+BF11+BH11</f>
        <v>0</v>
      </c>
      <c r="BK11" s="291" t="s">
        <v>345</v>
      </c>
      <c r="BL11" s="145">
        <v>0</v>
      </c>
      <c r="BM11" s="145">
        <v>0</v>
      </c>
      <c r="BN11" s="145">
        <v>0</v>
      </c>
      <c r="BO11" s="145">
        <v>81</v>
      </c>
      <c r="BP11" s="145">
        <v>109</v>
      </c>
      <c r="BQ11" s="291">
        <v>2</v>
      </c>
    </row>
    <row r="12" spans="1:69" x14ac:dyDescent="0.25">
      <c r="A12" s="145" t="s">
        <v>346</v>
      </c>
      <c r="B12" s="145"/>
      <c r="C12" s="145"/>
      <c r="D12" s="145"/>
      <c r="E12" s="145"/>
      <c r="F12" s="145"/>
      <c r="G12" s="145"/>
      <c r="H12" s="145"/>
      <c r="I12" s="145"/>
      <c r="J12" s="145"/>
      <c r="K12" s="145"/>
      <c r="L12" s="145"/>
      <c r="M12" s="145"/>
      <c r="N12" s="145"/>
      <c r="O12" s="146"/>
      <c r="P12" s="146"/>
      <c r="Q12" s="146"/>
      <c r="R12" s="146"/>
      <c r="S12" s="146"/>
      <c r="T12" s="146"/>
      <c r="U12" s="146"/>
      <c r="V12" s="146"/>
      <c r="W12" s="146"/>
      <c r="X12" s="146"/>
      <c r="Y12" s="146"/>
      <c r="Z12" s="146">
        <f t="shared" ref="Z12:AA31" si="0">B12+D12+F12+H12+J12+L12+N12+P12+R12+T12+V12+X12</f>
        <v>0</v>
      </c>
      <c r="AA12" s="151">
        <f t="shared" si="0"/>
        <v>0</v>
      </c>
      <c r="AB12" s="148"/>
      <c r="AC12" s="148"/>
      <c r="AD12" s="148"/>
      <c r="AE12" s="148"/>
      <c r="AF12" s="148"/>
      <c r="AG12" s="148"/>
      <c r="AH12" s="148"/>
      <c r="AJ12" s="145" t="s">
        <v>346</v>
      </c>
      <c r="AK12" s="145"/>
      <c r="AL12" s="145"/>
      <c r="AM12" s="145"/>
      <c r="AN12" s="145"/>
      <c r="AO12" s="145"/>
      <c r="AP12" s="145"/>
      <c r="AQ12" s="145"/>
      <c r="AR12" s="145"/>
      <c r="AS12" s="145"/>
      <c r="AT12" s="145"/>
      <c r="AU12" s="145"/>
      <c r="AV12" s="145"/>
      <c r="AW12" s="145"/>
      <c r="AX12" s="146"/>
      <c r="AY12" s="146"/>
      <c r="AZ12" s="146"/>
      <c r="BA12" s="146"/>
      <c r="BB12" s="146"/>
      <c r="BC12" s="146"/>
      <c r="BD12" s="146"/>
      <c r="BE12" s="146"/>
      <c r="BF12" s="146"/>
      <c r="BG12" s="146"/>
      <c r="BH12" s="146"/>
      <c r="BI12" s="146">
        <f t="shared" ref="BI12:BJ31" si="1">AK12+AM12+AO12+AQ12+AS12+AU12+AW12+AY12+BA12+BC12+BE12+BG12</f>
        <v>0</v>
      </c>
      <c r="BJ12" s="151">
        <f t="shared" si="1"/>
        <v>0</v>
      </c>
      <c r="BK12" s="148"/>
      <c r="BL12" s="148"/>
      <c r="BM12" s="148"/>
      <c r="BN12" s="148"/>
      <c r="BO12" s="148"/>
      <c r="BP12" s="148"/>
      <c r="BQ12" s="148"/>
    </row>
    <row r="13" spans="1:69" x14ac:dyDescent="0.25">
      <c r="A13" s="145" t="s">
        <v>347</v>
      </c>
      <c r="B13" s="145"/>
      <c r="C13" s="145"/>
      <c r="D13" s="145"/>
      <c r="E13" s="145"/>
      <c r="F13" s="145"/>
      <c r="G13" s="145"/>
      <c r="H13" s="145"/>
      <c r="I13" s="145"/>
      <c r="J13" s="145"/>
      <c r="K13" s="145"/>
      <c r="L13" s="145"/>
      <c r="M13" s="145"/>
      <c r="N13" s="145"/>
      <c r="O13" s="146"/>
      <c r="P13" s="146"/>
      <c r="Q13" s="146"/>
      <c r="R13" s="146"/>
      <c r="S13" s="146"/>
      <c r="T13" s="146"/>
      <c r="U13" s="146"/>
      <c r="V13" s="146"/>
      <c r="W13" s="146"/>
      <c r="X13" s="146"/>
      <c r="Y13" s="146"/>
      <c r="Z13" s="146">
        <f t="shared" si="0"/>
        <v>0</v>
      </c>
      <c r="AA13" s="151">
        <f t="shared" si="0"/>
        <v>0</v>
      </c>
      <c r="AB13" s="148"/>
      <c r="AC13" s="148"/>
      <c r="AD13" s="148"/>
      <c r="AE13" s="148"/>
      <c r="AF13" s="148"/>
      <c r="AG13" s="148"/>
      <c r="AH13" s="148"/>
      <c r="AJ13" s="145" t="s">
        <v>347</v>
      </c>
      <c r="AK13" s="145"/>
      <c r="AL13" s="145"/>
      <c r="AM13" s="145"/>
      <c r="AN13" s="145"/>
      <c r="AO13" s="145"/>
      <c r="AP13" s="145"/>
      <c r="AQ13" s="145"/>
      <c r="AR13" s="145"/>
      <c r="AS13" s="145"/>
      <c r="AT13" s="145"/>
      <c r="AU13" s="145"/>
      <c r="AV13" s="145"/>
      <c r="AW13" s="145"/>
      <c r="AX13" s="146"/>
      <c r="AY13" s="146"/>
      <c r="AZ13" s="146"/>
      <c r="BA13" s="146"/>
      <c r="BB13" s="146"/>
      <c r="BC13" s="146"/>
      <c r="BD13" s="146"/>
      <c r="BE13" s="146"/>
      <c r="BF13" s="146"/>
      <c r="BG13" s="146"/>
      <c r="BH13" s="146"/>
      <c r="BI13" s="146">
        <f t="shared" si="1"/>
        <v>0</v>
      </c>
      <c r="BJ13" s="151">
        <f t="shared" si="1"/>
        <v>0</v>
      </c>
      <c r="BK13" s="148"/>
      <c r="BL13" s="148"/>
      <c r="BM13" s="148"/>
      <c r="BN13" s="148"/>
      <c r="BO13" s="148"/>
      <c r="BP13" s="148"/>
      <c r="BQ13" s="148"/>
    </row>
    <row r="14" spans="1:69" x14ac:dyDescent="0.25">
      <c r="A14" s="145" t="s">
        <v>348</v>
      </c>
      <c r="B14" s="145"/>
      <c r="C14" s="145"/>
      <c r="D14" s="145"/>
      <c r="E14" s="145"/>
      <c r="F14" s="145"/>
      <c r="G14" s="145"/>
      <c r="H14" s="145"/>
      <c r="I14" s="145"/>
      <c r="J14" s="145"/>
      <c r="K14" s="145"/>
      <c r="L14" s="145"/>
      <c r="M14" s="145"/>
      <c r="N14" s="145"/>
      <c r="O14" s="146"/>
      <c r="P14" s="146"/>
      <c r="Q14" s="146"/>
      <c r="R14" s="146"/>
      <c r="S14" s="146"/>
      <c r="T14" s="146"/>
      <c r="U14" s="146"/>
      <c r="V14" s="146"/>
      <c r="W14" s="146"/>
      <c r="X14" s="146"/>
      <c r="Y14" s="146"/>
      <c r="Z14" s="146">
        <f t="shared" si="0"/>
        <v>0</v>
      </c>
      <c r="AA14" s="151">
        <f t="shared" si="0"/>
        <v>0</v>
      </c>
      <c r="AB14" s="148"/>
      <c r="AC14" s="148"/>
      <c r="AD14" s="148"/>
      <c r="AE14" s="148"/>
      <c r="AF14" s="148"/>
      <c r="AG14" s="148"/>
      <c r="AH14" s="148"/>
      <c r="AJ14" s="145" t="s">
        <v>348</v>
      </c>
      <c r="AK14" s="145"/>
      <c r="AL14" s="145"/>
      <c r="AM14" s="145"/>
      <c r="AN14" s="145"/>
      <c r="AO14" s="145"/>
      <c r="AP14" s="145"/>
      <c r="AQ14" s="145"/>
      <c r="AR14" s="145"/>
      <c r="AS14" s="145"/>
      <c r="AT14" s="145"/>
      <c r="AU14" s="145"/>
      <c r="AV14" s="145"/>
      <c r="AW14" s="145"/>
      <c r="AX14" s="146"/>
      <c r="AY14" s="146"/>
      <c r="AZ14" s="146"/>
      <c r="BA14" s="146"/>
      <c r="BB14" s="146"/>
      <c r="BC14" s="146"/>
      <c r="BD14" s="146"/>
      <c r="BE14" s="146"/>
      <c r="BF14" s="146"/>
      <c r="BG14" s="146"/>
      <c r="BH14" s="146"/>
      <c r="BI14" s="146">
        <f t="shared" si="1"/>
        <v>0</v>
      </c>
      <c r="BJ14" s="151">
        <f t="shared" si="1"/>
        <v>0</v>
      </c>
      <c r="BK14" s="148"/>
      <c r="BL14" s="148"/>
      <c r="BM14" s="148"/>
      <c r="BN14" s="148"/>
      <c r="BO14" s="148"/>
      <c r="BP14" s="148"/>
      <c r="BQ14" s="148"/>
    </row>
    <row r="15" spans="1:69" x14ac:dyDescent="0.25">
      <c r="A15" s="145" t="s">
        <v>349</v>
      </c>
      <c r="B15" s="145"/>
      <c r="C15" s="145"/>
      <c r="D15" s="145"/>
      <c r="E15" s="145"/>
      <c r="F15" s="145"/>
      <c r="G15" s="145"/>
      <c r="H15" s="145"/>
      <c r="I15" s="145"/>
      <c r="J15" s="145"/>
      <c r="K15" s="145"/>
      <c r="L15" s="145"/>
      <c r="M15" s="145"/>
      <c r="N15" s="145"/>
      <c r="O15" s="146"/>
      <c r="P15" s="146"/>
      <c r="Q15" s="146"/>
      <c r="R15" s="146"/>
      <c r="S15" s="146"/>
      <c r="T15" s="146"/>
      <c r="U15" s="146"/>
      <c r="V15" s="146"/>
      <c r="W15" s="146"/>
      <c r="X15" s="146"/>
      <c r="Y15" s="146"/>
      <c r="Z15" s="146">
        <f t="shared" si="0"/>
        <v>0</v>
      </c>
      <c r="AA15" s="151">
        <f t="shared" si="0"/>
        <v>0</v>
      </c>
      <c r="AB15" s="148"/>
      <c r="AC15" s="148"/>
      <c r="AD15" s="148"/>
      <c r="AE15" s="148"/>
      <c r="AF15" s="148"/>
      <c r="AG15" s="148"/>
      <c r="AH15" s="148"/>
      <c r="AJ15" s="145" t="s">
        <v>349</v>
      </c>
      <c r="AK15" s="145"/>
      <c r="AL15" s="145"/>
      <c r="AM15" s="145"/>
      <c r="AN15" s="145"/>
      <c r="AO15" s="145"/>
      <c r="AP15" s="145"/>
      <c r="AQ15" s="145"/>
      <c r="AR15" s="145"/>
      <c r="AS15" s="145"/>
      <c r="AT15" s="145"/>
      <c r="AU15" s="145"/>
      <c r="AV15" s="145"/>
      <c r="AW15" s="145"/>
      <c r="AX15" s="146"/>
      <c r="AY15" s="146"/>
      <c r="AZ15" s="146"/>
      <c r="BA15" s="146"/>
      <c r="BB15" s="146"/>
      <c r="BC15" s="146"/>
      <c r="BD15" s="146"/>
      <c r="BE15" s="146"/>
      <c r="BF15" s="146"/>
      <c r="BG15" s="146"/>
      <c r="BH15" s="146"/>
      <c r="BI15" s="146">
        <f t="shared" si="1"/>
        <v>0</v>
      </c>
      <c r="BJ15" s="151">
        <f t="shared" si="1"/>
        <v>0</v>
      </c>
      <c r="BK15" s="148"/>
      <c r="BL15" s="148"/>
      <c r="BM15" s="148"/>
      <c r="BN15" s="148"/>
      <c r="BO15" s="148"/>
      <c r="BP15" s="148"/>
      <c r="BQ15" s="148"/>
    </row>
    <row r="16" spans="1:69" x14ac:dyDescent="0.25">
      <c r="A16" s="145" t="s">
        <v>350</v>
      </c>
      <c r="B16" s="145"/>
      <c r="C16" s="145"/>
      <c r="D16" s="145"/>
      <c r="E16" s="145"/>
      <c r="F16" s="145"/>
      <c r="G16" s="145"/>
      <c r="H16" s="145"/>
      <c r="I16" s="145"/>
      <c r="J16" s="145"/>
      <c r="K16" s="145"/>
      <c r="L16" s="145"/>
      <c r="M16" s="145"/>
      <c r="N16" s="145"/>
      <c r="O16" s="146"/>
      <c r="P16" s="146"/>
      <c r="Q16" s="146"/>
      <c r="R16" s="146"/>
      <c r="S16" s="146"/>
      <c r="T16" s="146"/>
      <c r="U16" s="146"/>
      <c r="V16" s="146"/>
      <c r="W16" s="146"/>
      <c r="X16" s="146"/>
      <c r="Y16" s="146"/>
      <c r="Z16" s="146">
        <f t="shared" si="0"/>
        <v>0</v>
      </c>
      <c r="AA16" s="151">
        <f t="shared" si="0"/>
        <v>0</v>
      </c>
      <c r="AB16" s="148"/>
      <c r="AC16" s="148"/>
      <c r="AD16" s="148"/>
      <c r="AE16" s="148"/>
      <c r="AF16" s="148"/>
      <c r="AG16" s="148"/>
      <c r="AH16" s="148"/>
      <c r="AJ16" s="145" t="s">
        <v>350</v>
      </c>
      <c r="AK16" s="145"/>
      <c r="AL16" s="145"/>
      <c r="AM16" s="145"/>
      <c r="AN16" s="145"/>
      <c r="AO16" s="145"/>
      <c r="AP16" s="145"/>
      <c r="AQ16" s="145"/>
      <c r="AR16" s="145"/>
      <c r="AS16" s="145"/>
      <c r="AT16" s="145"/>
      <c r="AU16" s="145"/>
      <c r="AV16" s="145"/>
      <c r="AW16" s="145"/>
      <c r="AX16" s="146"/>
      <c r="AY16" s="146"/>
      <c r="AZ16" s="146"/>
      <c r="BA16" s="146"/>
      <c r="BB16" s="146"/>
      <c r="BC16" s="146"/>
      <c r="BD16" s="146"/>
      <c r="BE16" s="146"/>
      <c r="BF16" s="146"/>
      <c r="BG16" s="146"/>
      <c r="BH16" s="146"/>
      <c r="BI16" s="146">
        <f t="shared" si="1"/>
        <v>0</v>
      </c>
      <c r="BJ16" s="151">
        <f t="shared" si="1"/>
        <v>0</v>
      </c>
      <c r="BK16" s="148"/>
      <c r="BL16" s="148"/>
      <c r="BM16" s="148"/>
      <c r="BN16" s="148"/>
      <c r="BO16" s="148"/>
      <c r="BP16" s="148"/>
      <c r="BQ16" s="148"/>
    </row>
    <row r="17" spans="1:69" x14ac:dyDescent="0.25">
      <c r="A17" s="145" t="s">
        <v>351</v>
      </c>
      <c r="B17" s="145"/>
      <c r="C17" s="145"/>
      <c r="D17" s="145"/>
      <c r="E17" s="145"/>
      <c r="F17" s="145"/>
      <c r="G17" s="145"/>
      <c r="H17" s="145"/>
      <c r="I17" s="145"/>
      <c r="J17" s="145"/>
      <c r="K17" s="145"/>
      <c r="L17" s="145"/>
      <c r="M17" s="145"/>
      <c r="N17" s="145"/>
      <c r="O17" s="146"/>
      <c r="P17" s="146"/>
      <c r="Q17" s="146"/>
      <c r="R17" s="146"/>
      <c r="S17" s="146"/>
      <c r="T17" s="146"/>
      <c r="U17" s="146"/>
      <c r="V17" s="146"/>
      <c r="W17" s="146"/>
      <c r="X17" s="146"/>
      <c r="Y17" s="146"/>
      <c r="Z17" s="146">
        <f t="shared" si="0"/>
        <v>0</v>
      </c>
      <c r="AA17" s="151">
        <f t="shared" si="0"/>
        <v>0</v>
      </c>
      <c r="AB17" s="148"/>
      <c r="AC17" s="148"/>
      <c r="AD17" s="148"/>
      <c r="AE17" s="148"/>
      <c r="AF17" s="148"/>
      <c r="AG17" s="148"/>
      <c r="AH17" s="148"/>
      <c r="AJ17" s="145" t="s">
        <v>351</v>
      </c>
      <c r="AK17" s="145"/>
      <c r="AL17" s="145"/>
      <c r="AM17" s="145"/>
      <c r="AN17" s="145"/>
      <c r="AO17" s="145"/>
      <c r="AP17" s="145"/>
      <c r="AQ17" s="145"/>
      <c r="AR17" s="145"/>
      <c r="AS17" s="145"/>
      <c r="AT17" s="145"/>
      <c r="AU17" s="145"/>
      <c r="AV17" s="145"/>
      <c r="AW17" s="145"/>
      <c r="AX17" s="146"/>
      <c r="AY17" s="146"/>
      <c r="AZ17" s="146"/>
      <c r="BA17" s="146"/>
      <c r="BB17" s="146"/>
      <c r="BC17" s="146"/>
      <c r="BD17" s="146"/>
      <c r="BE17" s="146"/>
      <c r="BF17" s="146"/>
      <c r="BG17" s="146"/>
      <c r="BH17" s="146"/>
      <c r="BI17" s="146">
        <f t="shared" si="1"/>
        <v>0</v>
      </c>
      <c r="BJ17" s="151">
        <f t="shared" si="1"/>
        <v>0</v>
      </c>
      <c r="BK17" s="148"/>
      <c r="BL17" s="148"/>
      <c r="BM17" s="148"/>
      <c r="BN17" s="148"/>
      <c r="BO17" s="148"/>
      <c r="BP17" s="148"/>
      <c r="BQ17" s="148"/>
    </row>
    <row r="18" spans="1:69" x14ac:dyDescent="0.25">
      <c r="A18" s="145" t="s">
        <v>352</v>
      </c>
      <c r="B18" s="145"/>
      <c r="C18" s="145"/>
      <c r="D18" s="145"/>
      <c r="E18" s="145"/>
      <c r="F18" s="145"/>
      <c r="G18" s="145"/>
      <c r="H18" s="145"/>
      <c r="I18" s="145"/>
      <c r="J18" s="145"/>
      <c r="K18" s="145"/>
      <c r="L18" s="145"/>
      <c r="M18" s="145"/>
      <c r="N18" s="145"/>
      <c r="O18" s="146"/>
      <c r="P18" s="146"/>
      <c r="Q18" s="146"/>
      <c r="R18" s="146"/>
      <c r="S18" s="146"/>
      <c r="T18" s="146"/>
      <c r="U18" s="146"/>
      <c r="V18" s="146"/>
      <c r="W18" s="146"/>
      <c r="X18" s="146"/>
      <c r="Y18" s="146"/>
      <c r="Z18" s="146">
        <f t="shared" si="0"/>
        <v>0</v>
      </c>
      <c r="AA18" s="151">
        <f t="shared" si="0"/>
        <v>0</v>
      </c>
      <c r="AB18" s="148"/>
      <c r="AC18" s="148"/>
      <c r="AD18" s="148"/>
      <c r="AE18" s="148"/>
      <c r="AF18" s="148"/>
      <c r="AG18" s="148"/>
      <c r="AH18" s="148"/>
      <c r="AJ18" s="145" t="s">
        <v>352</v>
      </c>
      <c r="AK18" s="145"/>
      <c r="AL18" s="145"/>
      <c r="AM18" s="145"/>
      <c r="AN18" s="145"/>
      <c r="AO18" s="145"/>
      <c r="AP18" s="145"/>
      <c r="AQ18" s="145"/>
      <c r="AR18" s="145"/>
      <c r="AS18" s="145"/>
      <c r="AT18" s="145"/>
      <c r="AU18" s="145"/>
      <c r="AV18" s="145"/>
      <c r="AW18" s="145"/>
      <c r="AX18" s="146"/>
      <c r="AY18" s="146"/>
      <c r="AZ18" s="146"/>
      <c r="BA18" s="146"/>
      <c r="BB18" s="146"/>
      <c r="BC18" s="146"/>
      <c r="BD18" s="146"/>
      <c r="BE18" s="146"/>
      <c r="BF18" s="146"/>
      <c r="BG18" s="146"/>
      <c r="BH18" s="146"/>
      <c r="BI18" s="146">
        <f t="shared" si="1"/>
        <v>0</v>
      </c>
      <c r="BJ18" s="151">
        <f t="shared" si="1"/>
        <v>0</v>
      </c>
      <c r="BK18" s="148"/>
      <c r="BL18" s="148"/>
      <c r="BM18" s="148"/>
      <c r="BN18" s="148"/>
      <c r="BO18" s="148"/>
      <c r="BP18" s="148"/>
      <c r="BQ18" s="148"/>
    </row>
    <row r="19" spans="1:69" x14ac:dyDescent="0.25">
      <c r="A19" s="145" t="s">
        <v>353</v>
      </c>
      <c r="B19" s="145"/>
      <c r="C19" s="145"/>
      <c r="D19" s="145"/>
      <c r="E19" s="145"/>
      <c r="F19" s="145"/>
      <c r="G19" s="145"/>
      <c r="H19" s="145"/>
      <c r="I19" s="145"/>
      <c r="J19" s="145"/>
      <c r="K19" s="145"/>
      <c r="L19" s="145"/>
      <c r="M19" s="145"/>
      <c r="N19" s="145"/>
      <c r="O19" s="146"/>
      <c r="P19" s="146"/>
      <c r="Q19" s="146"/>
      <c r="R19" s="146"/>
      <c r="S19" s="146"/>
      <c r="T19" s="146"/>
      <c r="U19" s="146"/>
      <c r="V19" s="146"/>
      <c r="W19" s="146"/>
      <c r="X19" s="146"/>
      <c r="Y19" s="146"/>
      <c r="Z19" s="146">
        <f t="shared" si="0"/>
        <v>0</v>
      </c>
      <c r="AA19" s="151">
        <f t="shared" si="0"/>
        <v>0</v>
      </c>
      <c r="AB19" s="148"/>
      <c r="AC19" s="148"/>
      <c r="AD19" s="148"/>
      <c r="AE19" s="148"/>
      <c r="AF19" s="148"/>
      <c r="AG19" s="148"/>
      <c r="AH19" s="148"/>
      <c r="AJ19" s="145" t="s">
        <v>353</v>
      </c>
      <c r="AK19" s="145"/>
      <c r="AL19" s="145"/>
      <c r="AM19" s="145"/>
      <c r="AN19" s="145"/>
      <c r="AO19" s="145"/>
      <c r="AP19" s="145"/>
      <c r="AQ19" s="145"/>
      <c r="AR19" s="145"/>
      <c r="AS19" s="145"/>
      <c r="AT19" s="145"/>
      <c r="AU19" s="145"/>
      <c r="AV19" s="145"/>
      <c r="AW19" s="145"/>
      <c r="AX19" s="146"/>
      <c r="AY19" s="146"/>
      <c r="AZ19" s="146"/>
      <c r="BA19" s="146"/>
      <c r="BB19" s="146"/>
      <c r="BC19" s="146"/>
      <c r="BD19" s="146"/>
      <c r="BE19" s="146"/>
      <c r="BF19" s="146"/>
      <c r="BG19" s="146"/>
      <c r="BH19" s="146"/>
      <c r="BI19" s="146">
        <f t="shared" si="1"/>
        <v>0</v>
      </c>
      <c r="BJ19" s="151">
        <f t="shared" si="1"/>
        <v>0</v>
      </c>
      <c r="BK19" s="148"/>
      <c r="BL19" s="148"/>
      <c r="BM19" s="148"/>
      <c r="BN19" s="148"/>
      <c r="BO19" s="148"/>
      <c r="BP19" s="148"/>
      <c r="BQ19" s="148"/>
    </row>
    <row r="20" spans="1:69" x14ac:dyDescent="0.25">
      <c r="A20" s="145" t="s">
        <v>354</v>
      </c>
      <c r="B20" s="145"/>
      <c r="C20" s="145"/>
      <c r="D20" s="145"/>
      <c r="E20" s="145"/>
      <c r="F20" s="145"/>
      <c r="G20" s="145"/>
      <c r="H20" s="145"/>
      <c r="I20" s="145"/>
      <c r="J20" s="145"/>
      <c r="K20" s="145"/>
      <c r="L20" s="145"/>
      <c r="M20" s="145"/>
      <c r="N20" s="145"/>
      <c r="O20" s="146"/>
      <c r="P20" s="146"/>
      <c r="Q20" s="146"/>
      <c r="R20" s="146"/>
      <c r="S20" s="146"/>
      <c r="T20" s="146"/>
      <c r="U20" s="146"/>
      <c r="V20" s="146"/>
      <c r="W20" s="146"/>
      <c r="X20" s="146"/>
      <c r="Y20" s="146"/>
      <c r="Z20" s="146">
        <f t="shared" si="0"/>
        <v>0</v>
      </c>
      <c r="AA20" s="151">
        <f t="shared" si="0"/>
        <v>0</v>
      </c>
      <c r="AB20" s="148"/>
      <c r="AC20" s="148"/>
      <c r="AD20" s="148"/>
      <c r="AE20" s="148"/>
      <c r="AF20" s="148"/>
      <c r="AG20" s="148"/>
      <c r="AH20" s="148"/>
      <c r="AJ20" s="145" t="s">
        <v>354</v>
      </c>
      <c r="AK20" s="145"/>
      <c r="AL20" s="145"/>
      <c r="AM20" s="145"/>
      <c r="AN20" s="145"/>
      <c r="AO20" s="145"/>
      <c r="AP20" s="145"/>
      <c r="AQ20" s="145"/>
      <c r="AR20" s="145"/>
      <c r="AS20" s="145"/>
      <c r="AT20" s="145"/>
      <c r="AU20" s="145"/>
      <c r="AV20" s="145"/>
      <c r="AW20" s="145"/>
      <c r="AX20" s="146"/>
      <c r="AY20" s="146"/>
      <c r="AZ20" s="146"/>
      <c r="BA20" s="146"/>
      <c r="BB20" s="146"/>
      <c r="BC20" s="146"/>
      <c r="BD20" s="146"/>
      <c r="BE20" s="146"/>
      <c r="BF20" s="146"/>
      <c r="BG20" s="146"/>
      <c r="BH20" s="146"/>
      <c r="BI20" s="146">
        <f t="shared" si="1"/>
        <v>0</v>
      </c>
      <c r="BJ20" s="151">
        <f t="shared" si="1"/>
        <v>0</v>
      </c>
      <c r="BK20" s="148"/>
      <c r="BL20" s="148"/>
      <c r="BM20" s="148"/>
      <c r="BN20" s="148"/>
      <c r="BO20" s="148"/>
      <c r="BP20" s="148"/>
      <c r="BQ20" s="148"/>
    </row>
    <row r="21" spans="1:69" x14ac:dyDescent="0.25">
      <c r="A21" s="145" t="s">
        <v>355</v>
      </c>
      <c r="B21" s="145"/>
      <c r="C21" s="145"/>
      <c r="D21" s="145"/>
      <c r="E21" s="145"/>
      <c r="F21" s="145"/>
      <c r="G21" s="145"/>
      <c r="H21" s="145"/>
      <c r="I21" s="145"/>
      <c r="J21" s="145"/>
      <c r="K21" s="145"/>
      <c r="L21" s="145"/>
      <c r="M21" s="145"/>
      <c r="N21" s="145"/>
      <c r="O21" s="146"/>
      <c r="P21" s="146"/>
      <c r="Q21" s="146"/>
      <c r="R21" s="146"/>
      <c r="S21" s="146"/>
      <c r="T21" s="146"/>
      <c r="U21" s="146"/>
      <c r="V21" s="146"/>
      <c r="W21" s="146"/>
      <c r="X21" s="146"/>
      <c r="Y21" s="146"/>
      <c r="Z21" s="146">
        <f t="shared" si="0"/>
        <v>0</v>
      </c>
      <c r="AA21" s="151">
        <f t="shared" si="0"/>
        <v>0</v>
      </c>
      <c r="AB21" s="148"/>
      <c r="AC21" s="148"/>
      <c r="AD21" s="148"/>
      <c r="AE21" s="148"/>
      <c r="AF21" s="148"/>
      <c r="AG21" s="148"/>
      <c r="AH21" s="148"/>
      <c r="AJ21" s="145" t="s">
        <v>355</v>
      </c>
      <c r="AK21" s="145"/>
      <c r="AL21" s="145"/>
      <c r="AM21" s="145"/>
      <c r="AN21" s="145"/>
      <c r="AO21" s="145"/>
      <c r="AP21" s="145"/>
      <c r="AQ21" s="145"/>
      <c r="AR21" s="145"/>
      <c r="AS21" s="145"/>
      <c r="AT21" s="145"/>
      <c r="AU21" s="145"/>
      <c r="AV21" s="145"/>
      <c r="AW21" s="145"/>
      <c r="AX21" s="146"/>
      <c r="AY21" s="146"/>
      <c r="AZ21" s="146"/>
      <c r="BA21" s="146"/>
      <c r="BB21" s="146"/>
      <c r="BC21" s="146"/>
      <c r="BD21" s="146"/>
      <c r="BE21" s="146"/>
      <c r="BF21" s="146"/>
      <c r="BG21" s="146"/>
      <c r="BH21" s="146"/>
      <c r="BI21" s="146">
        <f t="shared" si="1"/>
        <v>0</v>
      </c>
      <c r="BJ21" s="151">
        <f t="shared" si="1"/>
        <v>0</v>
      </c>
      <c r="BK21" s="148"/>
      <c r="BL21" s="148"/>
      <c r="BM21" s="148"/>
      <c r="BN21" s="148"/>
      <c r="BO21" s="148"/>
      <c r="BP21" s="148"/>
      <c r="BQ21" s="148"/>
    </row>
    <row r="22" spans="1:69" x14ac:dyDescent="0.25">
      <c r="A22" s="145" t="s">
        <v>356</v>
      </c>
      <c r="B22" s="145"/>
      <c r="C22" s="145"/>
      <c r="D22" s="145"/>
      <c r="E22" s="145"/>
      <c r="F22" s="145"/>
      <c r="G22" s="145"/>
      <c r="H22" s="145"/>
      <c r="I22" s="145"/>
      <c r="J22" s="145"/>
      <c r="K22" s="145"/>
      <c r="L22" s="145"/>
      <c r="M22" s="145"/>
      <c r="N22" s="145"/>
      <c r="O22" s="146"/>
      <c r="P22" s="146"/>
      <c r="Q22" s="146"/>
      <c r="R22" s="146"/>
      <c r="S22" s="146"/>
      <c r="T22" s="146"/>
      <c r="U22" s="146"/>
      <c r="V22" s="146"/>
      <c r="W22" s="146"/>
      <c r="X22" s="146"/>
      <c r="Y22" s="146"/>
      <c r="Z22" s="146">
        <f t="shared" si="0"/>
        <v>0</v>
      </c>
      <c r="AA22" s="151">
        <f t="shared" si="0"/>
        <v>0</v>
      </c>
      <c r="AB22" s="148"/>
      <c r="AC22" s="148"/>
      <c r="AD22" s="148"/>
      <c r="AE22" s="148"/>
      <c r="AF22" s="148"/>
      <c r="AG22" s="148"/>
      <c r="AH22" s="148"/>
      <c r="AJ22" s="145" t="s">
        <v>356</v>
      </c>
      <c r="AK22" s="145"/>
      <c r="AL22" s="145"/>
      <c r="AM22" s="145"/>
      <c r="AN22" s="145"/>
      <c r="AO22" s="145"/>
      <c r="AP22" s="145"/>
      <c r="AQ22" s="145"/>
      <c r="AR22" s="145"/>
      <c r="AS22" s="145"/>
      <c r="AT22" s="145"/>
      <c r="AU22" s="145"/>
      <c r="AV22" s="145"/>
      <c r="AW22" s="145"/>
      <c r="AX22" s="146"/>
      <c r="AY22" s="146"/>
      <c r="AZ22" s="146"/>
      <c r="BA22" s="146"/>
      <c r="BB22" s="146"/>
      <c r="BC22" s="146"/>
      <c r="BD22" s="146"/>
      <c r="BE22" s="146"/>
      <c r="BF22" s="146"/>
      <c r="BG22" s="146"/>
      <c r="BH22" s="146"/>
      <c r="BI22" s="146">
        <f t="shared" si="1"/>
        <v>0</v>
      </c>
      <c r="BJ22" s="151">
        <f t="shared" si="1"/>
        <v>0</v>
      </c>
      <c r="BK22" s="148"/>
      <c r="BL22" s="148"/>
      <c r="BM22" s="148"/>
      <c r="BN22" s="148"/>
      <c r="BO22" s="148"/>
      <c r="BP22" s="148"/>
      <c r="BQ22" s="148"/>
    </row>
    <row r="23" spans="1:69" x14ac:dyDescent="0.25">
      <c r="A23" s="145" t="s">
        <v>357</v>
      </c>
      <c r="B23" s="145"/>
      <c r="C23" s="145"/>
      <c r="D23" s="145"/>
      <c r="E23" s="145"/>
      <c r="F23" s="145"/>
      <c r="G23" s="145"/>
      <c r="H23" s="145"/>
      <c r="I23" s="145"/>
      <c r="J23" s="145"/>
      <c r="K23" s="145"/>
      <c r="L23" s="145"/>
      <c r="M23" s="145"/>
      <c r="N23" s="145"/>
      <c r="O23" s="146"/>
      <c r="P23" s="146"/>
      <c r="Q23" s="146"/>
      <c r="R23" s="146"/>
      <c r="S23" s="146"/>
      <c r="T23" s="146"/>
      <c r="U23" s="146"/>
      <c r="V23" s="146"/>
      <c r="W23" s="146"/>
      <c r="X23" s="146"/>
      <c r="Y23" s="146"/>
      <c r="Z23" s="146">
        <f t="shared" si="0"/>
        <v>0</v>
      </c>
      <c r="AA23" s="151">
        <f t="shared" si="0"/>
        <v>0</v>
      </c>
      <c r="AB23" s="148"/>
      <c r="AC23" s="148"/>
      <c r="AD23" s="148"/>
      <c r="AE23" s="148"/>
      <c r="AF23" s="148"/>
      <c r="AG23" s="148"/>
      <c r="AH23" s="148"/>
      <c r="AJ23" s="145" t="s">
        <v>357</v>
      </c>
      <c r="AK23" s="145"/>
      <c r="AL23" s="145"/>
      <c r="AM23" s="145"/>
      <c r="AN23" s="145"/>
      <c r="AO23" s="145"/>
      <c r="AP23" s="145"/>
      <c r="AQ23" s="145"/>
      <c r="AR23" s="145"/>
      <c r="AS23" s="145"/>
      <c r="AT23" s="145"/>
      <c r="AU23" s="145"/>
      <c r="AV23" s="145"/>
      <c r="AW23" s="145"/>
      <c r="AX23" s="146"/>
      <c r="AY23" s="146"/>
      <c r="AZ23" s="146"/>
      <c r="BA23" s="146"/>
      <c r="BB23" s="146"/>
      <c r="BC23" s="146"/>
      <c r="BD23" s="146"/>
      <c r="BE23" s="146"/>
      <c r="BF23" s="146"/>
      <c r="BG23" s="146"/>
      <c r="BH23" s="146"/>
      <c r="BI23" s="146">
        <f t="shared" si="1"/>
        <v>0</v>
      </c>
      <c r="BJ23" s="151">
        <f t="shared" si="1"/>
        <v>0</v>
      </c>
      <c r="BK23" s="148"/>
      <c r="BL23" s="148"/>
      <c r="BM23" s="148"/>
      <c r="BN23" s="148"/>
      <c r="BO23" s="148"/>
      <c r="BP23" s="148"/>
      <c r="BQ23" s="148"/>
    </row>
    <row r="24" spans="1:69" x14ac:dyDescent="0.25">
      <c r="A24" s="145" t="s">
        <v>358</v>
      </c>
      <c r="B24" s="145"/>
      <c r="C24" s="145"/>
      <c r="D24" s="145"/>
      <c r="E24" s="145"/>
      <c r="F24" s="145"/>
      <c r="G24" s="145"/>
      <c r="H24" s="145"/>
      <c r="I24" s="145"/>
      <c r="J24" s="145"/>
      <c r="K24" s="145"/>
      <c r="L24" s="145"/>
      <c r="M24" s="145"/>
      <c r="N24" s="145"/>
      <c r="O24" s="146"/>
      <c r="P24" s="146"/>
      <c r="Q24" s="146"/>
      <c r="R24" s="146"/>
      <c r="S24" s="146"/>
      <c r="T24" s="146"/>
      <c r="U24" s="146"/>
      <c r="V24" s="146"/>
      <c r="W24" s="146"/>
      <c r="X24" s="146"/>
      <c r="Y24" s="146"/>
      <c r="Z24" s="146">
        <f t="shared" si="0"/>
        <v>0</v>
      </c>
      <c r="AA24" s="151">
        <f t="shared" si="0"/>
        <v>0</v>
      </c>
      <c r="AB24" s="148"/>
      <c r="AC24" s="148"/>
      <c r="AD24" s="148"/>
      <c r="AE24" s="148"/>
      <c r="AF24" s="148"/>
      <c r="AG24" s="148"/>
      <c r="AH24" s="148"/>
      <c r="AJ24" s="145" t="s">
        <v>358</v>
      </c>
      <c r="AK24" s="145"/>
      <c r="AL24" s="145"/>
      <c r="AM24" s="145"/>
      <c r="AN24" s="145"/>
      <c r="AO24" s="145"/>
      <c r="AP24" s="145"/>
      <c r="AQ24" s="145"/>
      <c r="AR24" s="145"/>
      <c r="AS24" s="145"/>
      <c r="AT24" s="145"/>
      <c r="AU24" s="145"/>
      <c r="AV24" s="145"/>
      <c r="AW24" s="145"/>
      <c r="AX24" s="146"/>
      <c r="AY24" s="146"/>
      <c r="AZ24" s="146"/>
      <c r="BA24" s="146"/>
      <c r="BB24" s="146"/>
      <c r="BC24" s="146"/>
      <c r="BD24" s="146"/>
      <c r="BE24" s="146"/>
      <c r="BF24" s="146"/>
      <c r="BG24" s="146"/>
      <c r="BH24" s="146"/>
      <c r="BI24" s="146">
        <f t="shared" si="1"/>
        <v>0</v>
      </c>
      <c r="BJ24" s="151">
        <f t="shared" si="1"/>
        <v>0</v>
      </c>
      <c r="BK24" s="148"/>
      <c r="BL24" s="148"/>
      <c r="BM24" s="148"/>
      <c r="BN24" s="148"/>
      <c r="BO24" s="148"/>
      <c r="BP24" s="148"/>
      <c r="BQ24" s="148"/>
    </row>
    <row r="25" spans="1:69" ht="177.75" customHeight="1" x14ac:dyDescent="0.25">
      <c r="A25" s="145" t="s">
        <v>359</v>
      </c>
      <c r="B25" s="145">
        <v>100</v>
      </c>
      <c r="C25" s="145"/>
      <c r="D25" s="145">
        <v>230</v>
      </c>
      <c r="E25" s="145"/>
      <c r="F25" s="145">
        <v>230</v>
      </c>
      <c r="G25" s="145"/>
      <c r="H25" s="145"/>
      <c r="I25" s="145"/>
      <c r="J25" s="145"/>
      <c r="K25" s="145"/>
      <c r="L25" s="145"/>
      <c r="M25" s="145"/>
      <c r="N25" s="145"/>
      <c r="O25" s="146"/>
      <c r="P25" s="145"/>
      <c r="Q25" s="146"/>
      <c r="R25" s="145"/>
      <c r="S25" s="146"/>
      <c r="T25" s="145"/>
      <c r="U25" s="146"/>
      <c r="V25" s="145"/>
      <c r="W25" s="146"/>
      <c r="X25" s="146"/>
      <c r="Y25" s="145"/>
      <c r="Z25" s="146">
        <f t="shared" si="0"/>
        <v>560</v>
      </c>
      <c r="AA25" s="293">
        <f t="shared" si="0"/>
        <v>0</v>
      </c>
      <c r="AB25" s="291" t="s">
        <v>345</v>
      </c>
      <c r="AC25" s="145">
        <v>0</v>
      </c>
      <c r="AD25" s="145">
        <v>0</v>
      </c>
      <c r="AE25" s="145">
        <v>0</v>
      </c>
      <c r="AF25" s="145">
        <v>81</v>
      </c>
      <c r="AG25" s="145">
        <v>109</v>
      </c>
      <c r="AH25" s="291">
        <v>2</v>
      </c>
      <c r="AJ25" s="145" t="s">
        <v>359</v>
      </c>
      <c r="AK25" s="145">
        <v>221</v>
      </c>
      <c r="AL25" s="145"/>
      <c r="AM25" s="145">
        <v>300</v>
      </c>
      <c r="AN25" s="145"/>
      <c r="AO25" s="145">
        <v>378</v>
      </c>
      <c r="AP25" s="145"/>
      <c r="AQ25" s="145"/>
      <c r="AR25" s="145"/>
      <c r="AS25" s="145"/>
      <c r="AT25" s="145"/>
      <c r="AU25" s="145"/>
      <c r="AV25" s="145"/>
      <c r="AW25" s="145"/>
      <c r="AX25" s="146"/>
      <c r="AY25" s="146"/>
      <c r="AZ25" s="146"/>
      <c r="BA25" s="146"/>
      <c r="BB25" s="146"/>
      <c r="BC25" s="146"/>
      <c r="BD25" s="146"/>
      <c r="BE25" s="146"/>
      <c r="BF25" s="146"/>
      <c r="BG25" s="146"/>
      <c r="BH25" s="146"/>
      <c r="BI25" s="146">
        <f t="shared" si="1"/>
        <v>899</v>
      </c>
      <c r="BJ25" s="293">
        <f t="shared" si="1"/>
        <v>0</v>
      </c>
      <c r="BK25" s="291" t="s">
        <v>345</v>
      </c>
      <c r="BL25" s="145">
        <v>0</v>
      </c>
      <c r="BM25" s="145">
        <v>0</v>
      </c>
      <c r="BN25" s="145">
        <v>0</v>
      </c>
      <c r="BO25" s="145">
        <v>81</v>
      </c>
      <c r="BP25" s="145">
        <v>109</v>
      </c>
      <c r="BQ25" s="291">
        <v>2</v>
      </c>
    </row>
    <row r="26" spans="1:69" x14ac:dyDescent="0.25">
      <c r="A26" s="145" t="s">
        <v>360</v>
      </c>
      <c r="B26" s="145"/>
      <c r="C26" s="145"/>
      <c r="D26" s="145"/>
      <c r="E26" s="145"/>
      <c r="F26" s="145"/>
      <c r="G26" s="145"/>
      <c r="H26" s="145"/>
      <c r="I26" s="145"/>
      <c r="J26" s="145"/>
      <c r="K26" s="145"/>
      <c r="L26" s="145"/>
      <c r="M26" s="145"/>
      <c r="N26" s="145"/>
      <c r="O26" s="146"/>
      <c r="P26" s="146"/>
      <c r="Q26" s="146"/>
      <c r="R26" s="146"/>
      <c r="S26" s="146"/>
      <c r="T26" s="146"/>
      <c r="U26" s="146"/>
      <c r="V26" s="146"/>
      <c r="W26" s="146"/>
      <c r="X26" s="146"/>
      <c r="Y26" s="146"/>
      <c r="Z26" s="146">
        <f t="shared" si="0"/>
        <v>0</v>
      </c>
      <c r="AA26" s="151">
        <f t="shared" si="0"/>
        <v>0</v>
      </c>
      <c r="AB26" s="148"/>
      <c r="AC26" s="148"/>
      <c r="AD26" s="148"/>
      <c r="AE26" s="148"/>
      <c r="AF26" s="148"/>
      <c r="AG26" s="148"/>
      <c r="AH26" s="148"/>
      <c r="AJ26" s="145" t="s">
        <v>360</v>
      </c>
      <c r="AK26" s="145"/>
      <c r="AL26" s="145"/>
      <c r="AM26" s="145"/>
      <c r="AN26" s="145"/>
      <c r="AO26" s="145"/>
      <c r="AP26" s="145"/>
      <c r="AQ26" s="145"/>
      <c r="AR26" s="145"/>
      <c r="AS26" s="145"/>
      <c r="AT26" s="145"/>
      <c r="AU26" s="145"/>
      <c r="AV26" s="145"/>
      <c r="AW26" s="145"/>
      <c r="AX26" s="146"/>
      <c r="AY26" s="146"/>
      <c r="AZ26" s="146"/>
      <c r="BA26" s="146"/>
      <c r="BB26" s="146"/>
      <c r="BC26" s="146"/>
      <c r="BD26" s="146"/>
      <c r="BE26" s="146"/>
      <c r="BF26" s="146"/>
      <c r="BG26" s="146"/>
      <c r="BH26" s="146"/>
      <c r="BI26" s="146">
        <f t="shared" si="1"/>
        <v>0</v>
      </c>
      <c r="BJ26" s="151">
        <f t="shared" si="1"/>
        <v>0</v>
      </c>
      <c r="BK26" s="148"/>
      <c r="BL26" s="148"/>
      <c r="BM26" s="148"/>
      <c r="BN26" s="148"/>
      <c r="BO26" s="148"/>
      <c r="BP26" s="148"/>
      <c r="BQ26" s="148"/>
    </row>
    <row r="27" spans="1:69" x14ac:dyDescent="0.25">
      <c r="A27" s="145" t="s">
        <v>361</v>
      </c>
      <c r="B27" s="145"/>
      <c r="C27" s="145"/>
      <c r="D27" s="145"/>
      <c r="E27" s="145"/>
      <c r="F27" s="145"/>
      <c r="G27" s="145"/>
      <c r="H27" s="145"/>
      <c r="I27" s="145"/>
      <c r="J27" s="145"/>
      <c r="K27" s="145"/>
      <c r="L27" s="145"/>
      <c r="M27" s="145"/>
      <c r="N27" s="145"/>
      <c r="O27" s="146"/>
      <c r="P27" s="146"/>
      <c r="Q27" s="146"/>
      <c r="R27" s="146"/>
      <c r="S27" s="146"/>
      <c r="T27" s="146"/>
      <c r="U27" s="146"/>
      <c r="V27" s="146"/>
      <c r="W27" s="146"/>
      <c r="X27" s="146"/>
      <c r="Y27" s="146"/>
      <c r="Z27" s="146">
        <f t="shared" si="0"/>
        <v>0</v>
      </c>
      <c r="AA27" s="151">
        <f t="shared" si="0"/>
        <v>0</v>
      </c>
      <c r="AB27" s="148"/>
      <c r="AC27" s="148"/>
      <c r="AD27" s="148"/>
      <c r="AE27" s="148"/>
      <c r="AF27" s="148"/>
      <c r="AG27" s="148"/>
      <c r="AH27" s="148"/>
      <c r="AJ27" s="145" t="s">
        <v>361</v>
      </c>
      <c r="AK27" s="145"/>
      <c r="AL27" s="145"/>
      <c r="AM27" s="145"/>
      <c r="AN27" s="145"/>
      <c r="AO27" s="145"/>
      <c r="AP27" s="145"/>
      <c r="AQ27" s="145"/>
      <c r="AR27" s="145"/>
      <c r="AS27" s="145"/>
      <c r="AT27" s="145"/>
      <c r="AU27" s="145"/>
      <c r="AV27" s="145"/>
      <c r="AW27" s="145"/>
      <c r="AX27" s="146"/>
      <c r="AY27" s="146"/>
      <c r="AZ27" s="146"/>
      <c r="BA27" s="146"/>
      <c r="BB27" s="146"/>
      <c r="BC27" s="146"/>
      <c r="BD27" s="146"/>
      <c r="BE27" s="146"/>
      <c r="BF27" s="146"/>
      <c r="BG27" s="146"/>
      <c r="BH27" s="146"/>
      <c r="BI27" s="146">
        <f t="shared" si="1"/>
        <v>0</v>
      </c>
      <c r="BJ27" s="151">
        <f t="shared" si="1"/>
        <v>0</v>
      </c>
      <c r="BK27" s="148"/>
      <c r="BL27" s="148"/>
      <c r="BM27" s="148"/>
      <c r="BN27" s="148"/>
      <c r="BO27" s="148"/>
      <c r="BP27" s="148"/>
      <c r="BQ27" s="148"/>
    </row>
    <row r="28" spans="1:69" x14ac:dyDescent="0.25">
      <c r="A28" s="145" t="s">
        <v>362</v>
      </c>
      <c r="B28" s="145"/>
      <c r="C28" s="145"/>
      <c r="D28" s="145"/>
      <c r="E28" s="145"/>
      <c r="F28" s="145"/>
      <c r="G28" s="145"/>
      <c r="H28" s="145"/>
      <c r="I28" s="145"/>
      <c r="J28" s="145"/>
      <c r="K28" s="145"/>
      <c r="L28" s="145"/>
      <c r="M28" s="145"/>
      <c r="N28" s="145"/>
      <c r="O28" s="146"/>
      <c r="P28" s="146"/>
      <c r="Q28" s="146"/>
      <c r="R28" s="146"/>
      <c r="S28" s="146"/>
      <c r="T28" s="146"/>
      <c r="U28" s="146"/>
      <c r="V28" s="146"/>
      <c r="W28" s="146"/>
      <c r="X28" s="146"/>
      <c r="Y28" s="146"/>
      <c r="Z28" s="146">
        <f t="shared" si="0"/>
        <v>0</v>
      </c>
      <c r="AA28" s="151">
        <f t="shared" si="0"/>
        <v>0</v>
      </c>
      <c r="AB28" s="148"/>
      <c r="AC28" s="148"/>
      <c r="AD28" s="148"/>
      <c r="AE28" s="148"/>
      <c r="AF28" s="148"/>
      <c r="AG28" s="148"/>
      <c r="AH28" s="148"/>
      <c r="AJ28" s="145" t="s">
        <v>362</v>
      </c>
      <c r="AK28" s="145"/>
      <c r="AL28" s="145"/>
      <c r="AM28" s="145"/>
      <c r="AN28" s="145"/>
      <c r="AO28" s="145"/>
      <c r="AP28" s="145"/>
      <c r="AQ28" s="145"/>
      <c r="AR28" s="145"/>
      <c r="AS28" s="145"/>
      <c r="AT28" s="145"/>
      <c r="AU28" s="145"/>
      <c r="AV28" s="145"/>
      <c r="AW28" s="145"/>
      <c r="AX28" s="146"/>
      <c r="AY28" s="146"/>
      <c r="AZ28" s="146"/>
      <c r="BA28" s="146"/>
      <c r="BB28" s="146"/>
      <c r="BC28" s="146"/>
      <c r="BD28" s="146"/>
      <c r="BE28" s="146"/>
      <c r="BF28" s="146"/>
      <c r="BG28" s="146"/>
      <c r="BH28" s="146"/>
      <c r="BI28" s="146">
        <f t="shared" si="1"/>
        <v>0</v>
      </c>
      <c r="BJ28" s="151">
        <f t="shared" si="1"/>
        <v>0</v>
      </c>
      <c r="BK28" s="148"/>
      <c r="BL28" s="148"/>
      <c r="BM28" s="148"/>
      <c r="BN28" s="148"/>
      <c r="BO28" s="148"/>
      <c r="BP28" s="148"/>
      <c r="BQ28" s="148"/>
    </row>
    <row r="29" spans="1:69" x14ac:dyDescent="0.25">
      <c r="A29" s="145" t="s">
        <v>363</v>
      </c>
      <c r="B29" s="145"/>
      <c r="C29" s="145"/>
      <c r="D29" s="145"/>
      <c r="E29" s="145"/>
      <c r="F29" s="145"/>
      <c r="G29" s="145"/>
      <c r="H29" s="145"/>
      <c r="I29" s="145"/>
      <c r="J29" s="145"/>
      <c r="K29" s="145"/>
      <c r="L29" s="145"/>
      <c r="M29" s="145"/>
      <c r="N29" s="145"/>
      <c r="O29" s="146"/>
      <c r="P29" s="146"/>
      <c r="Q29" s="146"/>
      <c r="R29" s="146"/>
      <c r="S29" s="146"/>
      <c r="T29" s="146"/>
      <c r="U29" s="146"/>
      <c r="V29" s="146"/>
      <c r="W29" s="146"/>
      <c r="X29" s="146"/>
      <c r="Y29" s="146"/>
      <c r="Z29" s="146">
        <f t="shared" si="0"/>
        <v>0</v>
      </c>
      <c r="AA29" s="151">
        <f t="shared" si="0"/>
        <v>0</v>
      </c>
      <c r="AB29" s="148"/>
      <c r="AC29" s="148"/>
      <c r="AD29" s="148"/>
      <c r="AE29" s="148"/>
      <c r="AF29" s="148"/>
      <c r="AG29" s="148"/>
      <c r="AH29" s="148"/>
      <c r="AJ29" s="145" t="s">
        <v>363</v>
      </c>
      <c r="AK29" s="145"/>
      <c r="AL29" s="145"/>
      <c r="AM29" s="145"/>
      <c r="AN29" s="145"/>
      <c r="AO29" s="145"/>
      <c r="AP29" s="145"/>
      <c r="AQ29" s="145"/>
      <c r="AR29" s="145"/>
      <c r="AS29" s="145"/>
      <c r="AT29" s="145"/>
      <c r="AU29" s="145"/>
      <c r="AV29" s="145"/>
      <c r="AW29" s="145"/>
      <c r="AX29" s="146"/>
      <c r="AY29" s="146"/>
      <c r="AZ29" s="146"/>
      <c r="BA29" s="146"/>
      <c r="BB29" s="146"/>
      <c r="BC29" s="146"/>
      <c r="BD29" s="146"/>
      <c r="BE29" s="146"/>
      <c r="BF29" s="146"/>
      <c r="BG29" s="146"/>
      <c r="BH29" s="146"/>
      <c r="BI29" s="146">
        <f t="shared" si="1"/>
        <v>0</v>
      </c>
      <c r="BJ29" s="151">
        <f t="shared" si="1"/>
        <v>0</v>
      </c>
      <c r="BK29" s="148"/>
      <c r="BL29" s="148"/>
      <c r="BM29" s="148"/>
      <c r="BN29" s="148"/>
      <c r="BO29" s="148"/>
      <c r="BP29" s="148"/>
      <c r="BQ29" s="148"/>
    </row>
    <row r="30" spans="1:69" x14ac:dyDescent="0.25">
      <c r="A30" s="145" t="s">
        <v>364</v>
      </c>
      <c r="B30" s="145"/>
      <c r="C30" s="145"/>
      <c r="D30" s="145"/>
      <c r="E30" s="145"/>
      <c r="F30" s="145"/>
      <c r="G30" s="145"/>
      <c r="H30" s="145"/>
      <c r="I30" s="145"/>
      <c r="J30" s="145"/>
      <c r="K30" s="145"/>
      <c r="L30" s="145"/>
      <c r="M30" s="145"/>
      <c r="N30" s="145"/>
      <c r="O30" s="146"/>
      <c r="P30" s="146"/>
      <c r="Q30" s="146"/>
      <c r="R30" s="146"/>
      <c r="S30" s="146"/>
      <c r="T30" s="146"/>
      <c r="U30" s="146"/>
      <c r="V30" s="146"/>
      <c r="W30" s="146"/>
      <c r="X30" s="146"/>
      <c r="Y30" s="146"/>
      <c r="Z30" s="146">
        <f t="shared" si="0"/>
        <v>0</v>
      </c>
      <c r="AA30" s="151">
        <f t="shared" si="0"/>
        <v>0</v>
      </c>
      <c r="AB30" s="148"/>
      <c r="AC30" s="148"/>
      <c r="AD30" s="148"/>
      <c r="AE30" s="148"/>
      <c r="AF30" s="148"/>
      <c r="AG30" s="148"/>
      <c r="AH30" s="148"/>
      <c r="AJ30" s="145" t="s">
        <v>364</v>
      </c>
      <c r="AK30" s="145"/>
      <c r="AL30" s="145"/>
      <c r="AM30" s="145"/>
      <c r="AN30" s="145"/>
      <c r="AO30" s="145"/>
      <c r="AP30" s="145"/>
      <c r="AQ30" s="145"/>
      <c r="AR30" s="145"/>
      <c r="AS30" s="145"/>
      <c r="AT30" s="145"/>
      <c r="AU30" s="145"/>
      <c r="AV30" s="145"/>
      <c r="AW30" s="145"/>
      <c r="AX30" s="146"/>
      <c r="AY30" s="146"/>
      <c r="AZ30" s="146"/>
      <c r="BA30" s="146"/>
      <c r="BB30" s="146"/>
      <c r="BC30" s="146"/>
      <c r="BD30" s="146"/>
      <c r="BE30" s="146"/>
      <c r="BF30" s="146"/>
      <c r="BG30" s="146"/>
      <c r="BH30" s="146"/>
      <c r="BI30" s="146">
        <f t="shared" si="1"/>
        <v>0</v>
      </c>
      <c r="BJ30" s="151">
        <f t="shared" si="1"/>
        <v>0</v>
      </c>
      <c r="BK30" s="148"/>
      <c r="BL30" s="148"/>
      <c r="BM30" s="148"/>
      <c r="BN30" s="148"/>
      <c r="BO30" s="148"/>
      <c r="BP30" s="148"/>
      <c r="BQ30" s="148"/>
    </row>
    <row r="31" spans="1:69" x14ac:dyDescent="0.25">
      <c r="A31" s="145" t="s">
        <v>365</v>
      </c>
      <c r="B31" s="145"/>
      <c r="C31" s="145"/>
      <c r="D31" s="145"/>
      <c r="E31" s="145"/>
      <c r="F31" s="145"/>
      <c r="G31" s="145"/>
      <c r="H31" s="145"/>
      <c r="I31" s="145"/>
      <c r="J31" s="145"/>
      <c r="K31" s="145"/>
      <c r="L31" s="145"/>
      <c r="M31" s="145"/>
      <c r="N31" s="145"/>
      <c r="O31" s="146"/>
      <c r="P31" s="146"/>
      <c r="Q31" s="146"/>
      <c r="R31" s="146"/>
      <c r="S31" s="146"/>
      <c r="T31" s="146"/>
      <c r="U31" s="146"/>
      <c r="V31" s="146"/>
      <c r="W31" s="146"/>
      <c r="X31" s="146"/>
      <c r="Y31" s="146"/>
      <c r="Z31" s="146">
        <f t="shared" si="0"/>
        <v>0</v>
      </c>
      <c r="AA31" s="151">
        <f t="shared" si="0"/>
        <v>0</v>
      </c>
      <c r="AB31" s="148"/>
      <c r="AC31" s="148"/>
      <c r="AD31" s="148"/>
      <c r="AE31" s="148"/>
      <c r="AF31" s="148"/>
      <c r="AG31" s="148"/>
      <c r="AH31" s="148"/>
      <c r="AJ31" s="145" t="s">
        <v>365</v>
      </c>
      <c r="AK31" s="145"/>
      <c r="AL31" s="145"/>
      <c r="AM31" s="145"/>
      <c r="AN31" s="145"/>
      <c r="AO31" s="145"/>
      <c r="AP31" s="145"/>
      <c r="AQ31" s="145"/>
      <c r="AR31" s="145"/>
      <c r="AS31" s="145"/>
      <c r="AT31" s="145"/>
      <c r="AU31" s="145"/>
      <c r="AV31" s="145"/>
      <c r="AW31" s="145"/>
      <c r="AX31" s="146"/>
      <c r="AY31" s="146"/>
      <c r="AZ31" s="146"/>
      <c r="BA31" s="146"/>
      <c r="BB31" s="146"/>
      <c r="BC31" s="146"/>
      <c r="BD31" s="146"/>
      <c r="BE31" s="146"/>
      <c r="BF31" s="146"/>
      <c r="BG31" s="146"/>
      <c r="BH31" s="146"/>
      <c r="BI31" s="146">
        <f t="shared" si="1"/>
        <v>0</v>
      </c>
      <c r="BJ31" s="151">
        <f t="shared" si="1"/>
        <v>0</v>
      </c>
      <c r="BK31" s="148"/>
      <c r="BL31" s="148"/>
      <c r="BM31" s="148"/>
      <c r="BN31" s="148"/>
      <c r="BO31" s="148"/>
      <c r="BP31" s="148"/>
      <c r="BQ31" s="148"/>
    </row>
    <row r="32" spans="1:69" x14ac:dyDescent="0.25">
      <c r="A32" s="149" t="s">
        <v>366</v>
      </c>
      <c r="B32" s="147">
        <f>SUM(B12:B31)</f>
        <v>100</v>
      </c>
      <c r="C32" s="147">
        <f t="shared" ref="C32:AA32" si="2">SUM(C12:C31)</f>
        <v>0</v>
      </c>
      <c r="D32" s="147">
        <f t="shared" si="2"/>
        <v>230</v>
      </c>
      <c r="E32" s="147">
        <f t="shared" si="2"/>
        <v>0</v>
      </c>
      <c r="F32" s="147">
        <f t="shared" si="2"/>
        <v>230</v>
      </c>
      <c r="G32" s="147">
        <f t="shared" si="2"/>
        <v>0</v>
      </c>
      <c r="H32" s="147">
        <f t="shared" si="2"/>
        <v>0</v>
      </c>
      <c r="I32" s="147">
        <f t="shared" si="2"/>
        <v>0</v>
      </c>
      <c r="J32" s="147">
        <f t="shared" si="2"/>
        <v>0</v>
      </c>
      <c r="K32" s="147">
        <f t="shared" si="2"/>
        <v>0</v>
      </c>
      <c r="L32" s="147">
        <f t="shared" si="2"/>
        <v>0</v>
      </c>
      <c r="M32" s="147">
        <f t="shared" si="2"/>
        <v>0</v>
      </c>
      <c r="N32" s="147">
        <f t="shared" si="2"/>
        <v>0</v>
      </c>
      <c r="O32" s="147">
        <f t="shared" si="2"/>
        <v>0</v>
      </c>
      <c r="P32" s="147">
        <f t="shared" si="2"/>
        <v>0</v>
      </c>
      <c r="Q32" s="147">
        <f t="shared" si="2"/>
        <v>0</v>
      </c>
      <c r="R32" s="147">
        <f t="shared" si="2"/>
        <v>0</v>
      </c>
      <c r="S32" s="147">
        <f t="shared" si="2"/>
        <v>0</v>
      </c>
      <c r="T32" s="147">
        <f t="shared" si="2"/>
        <v>0</v>
      </c>
      <c r="U32" s="147">
        <f t="shared" si="2"/>
        <v>0</v>
      </c>
      <c r="V32" s="147">
        <f t="shared" si="2"/>
        <v>0</v>
      </c>
      <c r="W32" s="147">
        <f t="shared" si="2"/>
        <v>0</v>
      </c>
      <c r="X32" s="147">
        <f t="shared" si="2"/>
        <v>0</v>
      </c>
      <c r="Y32" s="147">
        <f t="shared" si="2"/>
        <v>0</v>
      </c>
      <c r="Z32" s="147">
        <f t="shared" si="2"/>
        <v>560</v>
      </c>
      <c r="AA32" s="147">
        <f t="shared" si="2"/>
        <v>0</v>
      </c>
      <c r="AB32" s="147">
        <v>192</v>
      </c>
      <c r="AC32" s="147">
        <f t="shared" ref="AC32:AI32" si="3">SUM(AC12:AC31)</f>
        <v>0</v>
      </c>
      <c r="AD32" s="147">
        <f t="shared" si="3"/>
        <v>0</v>
      </c>
      <c r="AE32" s="147">
        <f t="shared" si="3"/>
        <v>0</v>
      </c>
      <c r="AF32" s="147">
        <f t="shared" si="3"/>
        <v>81</v>
      </c>
      <c r="AG32" s="147">
        <f t="shared" si="3"/>
        <v>109</v>
      </c>
      <c r="AH32" s="147">
        <f t="shared" si="3"/>
        <v>2</v>
      </c>
      <c r="AI32" s="147">
        <f t="shared" si="3"/>
        <v>0</v>
      </c>
      <c r="AJ32" s="149" t="s">
        <v>366</v>
      </c>
      <c r="AK32" s="147">
        <f>SUM(AK12:AK31)</f>
        <v>221</v>
      </c>
      <c r="AL32" s="147">
        <f t="shared" ref="AL32:BI32" si="4">SUM(AL12:AL31)</f>
        <v>0</v>
      </c>
      <c r="AM32" s="147">
        <f t="shared" si="4"/>
        <v>300</v>
      </c>
      <c r="AN32" s="147">
        <f t="shared" si="4"/>
        <v>0</v>
      </c>
      <c r="AO32" s="147">
        <f t="shared" si="4"/>
        <v>378</v>
      </c>
      <c r="AP32" s="147">
        <f t="shared" si="4"/>
        <v>0</v>
      </c>
      <c r="AQ32" s="147">
        <f t="shared" si="4"/>
        <v>0</v>
      </c>
      <c r="AR32" s="147">
        <f t="shared" si="4"/>
        <v>0</v>
      </c>
      <c r="AS32" s="147">
        <f t="shared" si="4"/>
        <v>0</v>
      </c>
      <c r="AT32" s="147">
        <f t="shared" si="4"/>
        <v>0</v>
      </c>
      <c r="AU32" s="147">
        <f t="shared" si="4"/>
        <v>0</v>
      </c>
      <c r="AV32" s="147">
        <f t="shared" si="4"/>
        <v>0</v>
      </c>
      <c r="AW32" s="147">
        <f t="shared" si="4"/>
        <v>0</v>
      </c>
      <c r="AX32" s="147">
        <f t="shared" si="4"/>
        <v>0</v>
      </c>
      <c r="AY32" s="147">
        <f t="shared" si="4"/>
        <v>0</v>
      </c>
      <c r="AZ32" s="147">
        <f t="shared" si="4"/>
        <v>0</v>
      </c>
      <c r="BA32" s="147">
        <f t="shared" si="4"/>
        <v>0</v>
      </c>
      <c r="BB32" s="147">
        <f t="shared" si="4"/>
        <v>0</v>
      </c>
      <c r="BC32" s="147">
        <f t="shared" si="4"/>
        <v>0</v>
      </c>
      <c r="BD32" s="147">
        <f t="shared" si="4"/>
        <v>0</v>
      </c>
      <c r="BE32" s="147">
        <f t="shared" si="4"/>
        <v>0</v>
      </c>
      <c r="BF32" s="147">
        <f t="shared" si="4"/>
        <v>0</v>
      </c>
      <c r="BG32" s="147">
        <f t="shared" si="4"/>
        <v>0</v>
      </c>
      <c r="BH32" s="147">
        <f t="shared" si="4"/>
        <v>0</v>
      </c>
      <c r="BI32" s="147">
        <f t="shared" si="4"/>
        <v>899</v>
      </c>
      <c r="BJ32" s="147">
        <f>SUM(BJ12:BJ31)</f>
        <v>0</v>
      </c>
      <c r="BK32" s="147">
        <v>192</v>
      </c>
      <c r="BL32" s="147">
        <f t="shared" ref="BL32:BQ32" si="5">SUM(BL12:BL31)</f>
        <v>0</v>
      </c>
      <c r="BM32" s="147">
        <f t="shared" si="5"/>
        <v>0</v>
      </c>
      <c r="BN32" s="147">
        <f t="shared" si="5"/>
        <v>0</v>
      </c>
      <c r="BO32" s="147">
        <f t="shared" si="5"/>
        <v>81</v>
      </c>
      <c r="BP32" s="147">
        <f t="shared" si="5"/>
        <v>109</v>
      </c>
      <c r="BQ32" s="147">
        <f t="shared" si="5"/>
        <v>2</v>
      </c>
    </row>
    <row r="35" spans="1:69" ht="28.5" x14ac:dyDescent="0.25">
      <c r="A35" s="296" t="s">
        <v>328</v>
      </c>
      <c r="B35" s="858" t="s">
        <v>329</v>
      </c>
      <c r="C35" s="858"/>
      <c r="D35" s="858"/>
      <c r="E35" s="858"/>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858"/>
      <c r="AD35" s="858"/>
      <c r="AE35" s="858"/>
      <c r="AF35" s="858"/>
      <c r="AG35" s="858"/>
      <c r="AH35" s="858"/>
      <c r="AI35" s="858"/>
      <c r="AJ35" s="858"/>
      <c r="AK35" s="858"/>
      <c r="AL35" s="858"/>
      <c r="AM35" s="858"/>
      <c r="AN35" s="858"/>
      <c r="AO35" s="858"/>
      <c r="AP35" s="858"/>
      <c r="AQ35" s="858"/>
      <c r="AR35" s="858"/>
      <c r="AS35" s="858"/>
      <c r="AT35" s="858"/>
      <c r="AU35" s="858"/>
      <c r="AV35" s="858"/>
      <c r="AW35" s="858"/>
      <c r="AX35" s="858"/>
      <c r="AY35" s="858"/>
      <c r="AZ35" s="858"/>
      <c r="BA35" s="858"/>
      <c r="BB35" s="858"/>
      <c r="BC35" s="858"/>
      <c r="BD35" s="858"/>
      <c r="BE35" s="858"/>
      <c r="BF35" s="858"/>
      <c r="BG35" s="858"/>
      <c r="BH35" s="858"/>
      <c r="BI35" s="858"/>
      <c r="BJ35" s="858"/>
      <c r="BK35" s="858"/>
      <c r="BL35" s="858"/>
      <c r="BM35" s="858"/>
      <c r="BN35" s="858"/>
      <c r="BO35" s="858"/>
      <c r="BP35" s="858"/>
      <c r="BQ35" s="858"/>
    </row>
    <row r="36" spans="1:69" ht="29.25" customHeight="1" x14ac:dyDescent="0.25">
      <c r="A36" s="150" t="s">
        <v>330</v>
      </c>
      <c r="B36" s="860" t="s">
        <v>367</v>
      </c>
      <c r="C36" s="861"/>
      <c r="D36" s="861"/>
      <c r="E36" s="861"/>
      <c r="F36" s="861"/>
      <c r="G36" s="861"/>
      <c r="H36" s="861"/>
      <c r="I36" s="861"/>
      <c r="J36" s="861"/>
      <c r="K36" s="861"/>
      <c r="L36" s="861"/>
      <c r="M36" s="861"/>
      <c r="N36" s="861"/>
      <c r="O36" s="861"/>
      <c r="P36" s="861"/>
      <c r="Q36" s="861"/>
      <c r="R36" s="861"/>
      <c r="S36" s="861"/>
      <c r="T36" s="861"/>
      <c r="U36" s="861"/>
      <c r="V36" s="861"/>
      <c r="W36" s="861"/>
      <c r="X36" s="861"/>
      <c r="Y36" s="861"/>
      <c r="Z36" s="861"/>
      <c r="AA36" s="861"/>
      <c r="AB36" s="861"/>
      <c r="AC36" s="861"/>
      <c r="AD36" s="861"/>
      <c r="AE36" s="861"/>
      <c r="AF36" s="861"/>
      <c r="AG36" s="861"/>
      <c r="AH36" s="861"/>
      <c r="AI36" s="861"/>
      <c r="AJ36" s="861"/>
      <c r="AK36" s="861"/>
      <c r="AL36" s="861"/>
      <c r="AM36" s="861"/>
      <c r="AN36" s="861"/>
      <c r="AO36" s="861"/>
      <c r="AP36" s="861"/>
      <c r="AQ36" s="861"/>
      <c r="AR36" s="861"/>
      <c r="AS36" s="861"/>
      <c r="AT36" s="861"/>
      <c r="AU36" s="861"/>
      <c r="AV36" s="861"/>
      <c r="AW36" s="861"/>
      <c r="AX36" s="861"/>
      <c r="AY36" s="861"/>
      <c r="AZ36" s="861"/>
      <c r="BA36" s="861"/>
      <c r="BB36" s="861"/>
      <c r="BC36" s="861"/>
      <c r="BD36" s="861"/>
      <c r="BE36" s="861"/>
      <c r="BF36" s="861"/>
      <c r="BG36" s="861"/>
      <c r="BH36" s="861"/>
      <c r="BI36" s="861"/>
      <c r="BJ36" s="861"/>
      <c r="BK36" s="861"/>
      <c r="BL36" s="861"/>
      <c r="BM36" s="861"/>
      <c r="BN36" s="861"/>
      <c r="BO36" s="861"/>
      <c r="BP36" s="861"/>
      <c r="BQ36" s="862"/>
    </row>
    <row r="37" spans="1:69" ht="6" customHeight="1" x14ac:dyDescent="0.25">
      <c r="A37" s="142"/>
      <c r="B37" s="142"/>
      <c r="C37" s="142"/>
      <c r="D37" s="142"/>
      <c r="E37" s="142"/>
      <c r="F37" s="142"/>
      <c r="G37" s="142"/>
      <c r="H37" s="142"/>
      <c r="I37" s="142"/>
      <c r="J37" s="142"/>
      <c r="K37" s="142"/>
      <c r="L37" s="142"/>
      <c r="M37" s="142"/>
      <c r="N37" s="142"/>
      <c r="O37" s="143"/>
      <c r="P37" s="143"/>
      <c r="Q37" s="143"/>
      <c r="R37" s="143"/>
      <c r="S37" s="143"/>
      <c r="T37" s="143"/>
      <c r="U37" s="143"/>
      <c r="V37" s="143"/>
      <c r="W37" s="143"/>
      <c r="X37" s="143"/>
      <c r="Y37" s="143"/>
      <c r="Z37" s="143"/>
      <c r="AA37" s="143"/>
      <c r="AB37" s="143"/>
      <c r="AC37" s="143"/>
      <c r="AD37" s="143"/>
      <c r="AE37" s="143"/>
      <c r="AF37" s="143"/>
      <c r="AG37" s="143"/>
      <c r="AH37" s="143"/>
      <c r="AJ37" s="142"/>
      <c r="AK37" s="143"/>
      <c r="AL37" s="143"/>
      <c r="AM37" s="143"/>
      <c r="AN37" s="143"/>
      <c r="AO37" s="143"/>
      <c r="AP37" s="143"/>
      <c r="AQ37" s="143"/>
      <c r="AR37" s="143"/>
      <c r="AS37" s="143"/>
      <c r="AT37" s="143"/>
      <c r="AU37" s="143"/>
      <c r="AV37" s="143"/>
    </row>
    <row r="38" spans="1:69" ht="30" customHeight="1" x14ac:dyDescent="0.25">
      <c r="A38" s="855" t="s">
        <v>332</v>
      </c>
      <c r="B38" s="853" t="s">
        <v>30</v>
      </c>
      <c r="C38" s="854"/>
      <c r="D38" s="853" t="s">
        <v>31</v>
      </c>
      <c r="E38" s="854"/>
      <c r="F38" s="853" t="s">
        <v>32</v>
      </c>
      <c r="G38" s="854"/>
      <c r="H38" s="853" t="s">
        <v>33</v>
      </c>
      <c r="I38" s="854"/>
      <c r="J38" s="853" t="s">
        <v>34</v>
      </c>
      <c r="K38" s="854"/>
      <c r="L38" s="853" t="s">
        <v>35</v>
      </c>
      <c r="M38" s="854"/>
      <c r="N38" s="853" t="s">
        <v>8</v>
      </c>
      <c r="O38" s="854"/>
      <c r="P38" s="853" t="s">
        <v>36</v>
      </c>
      <c r="Q38" s="854"/>
      <c r="R38" s="853" t="s">
        <v>37</v>
      </c>
      <c r="S38" s="854"/>
      <c r="T38" s="853" t="s">
        <v>38</v>
      </c>
      <c r="U38" s="854"/>
      <c r="V38" s="853" t="s">
        <v>39</v>
      </c>
      <c r="W38" s="854"/>
      <c r="X38" s="853" t="s">
        <v>40</v>
      </c>
      <c r="Y38" s="854"/>
      <c r="Z38" s="853" t="s">
        <v>333</v>
      </c>
      <c r="AA38" s="854"/>
      <c r="AB38" s="855" t="s">
        <v>334</v>
      </c>
      <c r="AC38" s="853" t="s">
        <v>335</v>
      </c>
      <c r="AD38" s="857"/>
      <c r="AE38" s="857"/>
      <c r="AF38" s="857"/>
      <c r="AG38" s="857"/>
      <c r="AH38" s="854"/>
      <c r="AJ38" s="855" t="s">
        <v>332</v>
      </c>
      <c r="AK38" s="853" t="s">
        <v>30</v>
      </c>
      <c r="AL38" s="854"/>
      <c r="AM38" s="853" t="s">
        <v>31</v>
      </c>
      <c r="AN38" s="854"/>
      <c r="AO38" s="853" t="s">
        <v>32</v>
      </c>
      <c r="AP38" s="854"/>
      <c r="AQ38" s="853" t="s">
        <v>33</v>
      </c>
      <c r="AR38" s="854"/>
      <c r="AS38" s="853" t="s">
        <v>34</v>
      </c>
      <c r="AT38" s="854"/>
      <c r="AU38" s="853" t="s">
        <v>35</v>
      </c>
      <c r="AV38" s="854"/>
      <c r="AW38" s="853" t="s">
        <v>8</v>
      </c>
      <c r="AX38" s="854"/>
      <c r="AY38" s="853" t="s">
        <v>36</v>
      </c>
      <c r="AZ38" s="854"/>
      <c r="BA38" s="853" t="s">
        <v>37</v>
      </c>
      <c r="BB38" s="854"/>
      <c r="BC38" s="853" t="s">
        <v>38</v>
      </c>
      <c r="BD38" s="854"/>
      <c r="BE38" s="853" t="s">
        <v>39</v>
      </c>
      <c r="BF38" s="854"/>
      <c r="BG38" s="853" t="s">
        <v>40</v>
      </c>
      <c r="BH38" s="854"/>
      <c r="BI38" s="853" t="s">
        <v>333</v>
      </c>
      <c r="BJ38" s="854"/>
      <c r="BK38" s="855" t="s">
        <v>334</v>
      </c>
      <c r="BL38" s="853" t="s">
        <v>335</v>
      </c>
      <c r="BM38" s="857"/>
      <c r="BN38" s="857"/>
      <c r="BO38" s="857"/>
      <c r="BP38" s="857"/>
      <c r="BQ38" s="854"/>
    </row>
    <row r="39" spans="1:69" ht="28.5" customHeight="1" x14ac:dyDescent="0.25">
      <c r="A39" s="856"/>
      <c r="B39" s="295" t="s">
        <v>336</v>
      </c>
      <c r="C39" s="295" t="s">
        <v>337</v>
      </c>
      <c r="D39" s="295" t="s">
        <v>336</v>
      </c>
      <c r="E39" s="295" t="s">
        <v>337</v>
      </c>
      <c r="F39" s="295" t="s">
        <v>336</v>
      </c>
      <c r="G39" s="295" t="s">
        <v>337</v>
      </c>
      <c r="H39" s="295" t="s">
        <v>336</v>
      </c>
      <c r="I39" s="295" t="s">
        <v>337</v>
      </c>
      <c r="J39" s="295" t="s">
        <v>336</v>
      </c>
      <c r="K39" s="295" t="s">
        <v>337</v>
      </c>
      <c r="L39" s="295" t="s">
        <v>336</v>
      </c>
      <c r="M39" s="295" t="s">
        <v>337</v>
      </c>
      <c r="N39" s="295" t="s">
        <v>336</v>
      </c>
      <c r="O39" s="295" t="s">
        <v>337</v>
      </c>
      <c r="P39" s="295" t="s">
        <v>336</v>
      </c>
      <c r="Q39" s="295" t="s">
        <v>337</v>
      </c>
      <c r="R39" s="295" t="s">
        <v>336</v>
      </c>
      <c r="S39" s="295" t="s">
        <v>337</v>
      </c>
      <c r="T39" s="295" t="s">
        <v>336</v>
      </c>
      <c r="U39" s="295" t="s">
        <v>337</v>
      </c>
      <c r="V39" s="295" t="s">
        <v>336</v>
      </c>
      <c r="W39" s="295" t="s">
        <v>337</v>
      </c>
      <c r="X39" s="295" t="s">
        <v>336</v>
      </c>
      <c r="Y39" s="295" t="s">
        <v>337</v>
      </c>
      <c r="Z39" s="295" t="s">
        <v>336</v>
      </c>
      <c r="AA39" s="295" t="s">
        <v>337</v>
      </c>
      <c r="AB39" s="856"/>
      <c r="AC39" s="295" t="s">
        <v>338</v>
      </c>
      <c r="AD39" s="144" t="s">
        <v>339</v>
      </c>
      <c r="AE39" s="295" t="s">
        <v>340</v>
      </c>
      <c r="AF39" s="295" t="s">
        <v>341</v>
      </c>
      <c r="AG39" s="295" t="s">
        <v>342</v>
      </c>
      <c r="AH39" s="295" t="s">
        <v>343</v>
      </c>
      <c r="AJ39" s="856"/>
      <c r="AK39" s="295" t="s">
        <v>336</v>
      </c>
      <c r="AL39" s="295" t="s">
        <v>337</v>
      </c>
      <c r="AM39" s="295" t="s">
        <v>336</v>
      </c>
      <c r="AN39" s="295" t="s">
        <v>337</v>
      </c>
      <c r="AO39" s="295" t="s">
        <v>336</v>
      </c>
      <c r="AP39" s="295" t="s">
        <v>337</v>
      </c>
      <c r="AQ39" s="295" t="s">
        <v>336</v>
      </c>
      <c r="AR39" s="295" t="s">
        <v>337</v>
      </c>
      <c r="AS39" s="295" t="s">
        <v>336</v>
      </c>
      <c r="AT39" s="295" t="s">
        <v>337</v>
      </c>
      <c r="AU39" s="295" t="s">
        <v>336</v>
      </c>
      <c r="AV39" s="295" t="s">
        <v>337</v>
      </c>
      <c r="AW39" s="295" t="s">
        <v>336</v>
      </c>
      <c r="AX39" s="295" t="s">
        <v>337</v>
      </c>
      <c r="AY39" s="295" t="s">
        <v>336</v>
      </c>
      <c r="AZ39" s="295" t="s">
        <v>337</v>
      </c>
      <c r="BA39" s="295" t="s">
        <v>336</v>
      </c>
      <c r="BB39" s="295" t="s">
        <v>337</v>
      </c>
      <c r="BC39" s="295" t="s">
        <v>336</v>
      </c>
      <c r="BD39" s="295" t="s">
        <v>337</v>
      </c>
      <c r="BE39" s="295" t="s">
        <v>336</v>
      </c>
      <c r="BF39" s="295" t="s">
        <v>337</v>
      </c>
      <c r="BG39" s="295" t="s">
        <v>336</v>
      </c>
      <c r="BH39" s="295" t="s">
        <v>337</v>
      </c>
      <c r="BI39" s="295" t="s">
        <v>336</v>
      </c>
      <c r="BJ39" s="295" t="s">
        <v>337</v>
      </c>
      <c r="BK39" s="856"/>
      <c r="BL39" s="295" t="s">
        <v>338</v>
      </c>
      <c r="BM39" s="144" t="s">
        <v>339</v>
      </c>
      <c r="BN39" s="295" t="s">
        <v>340</v>
      </c>
      <c r="BO39" s="295" t="s">
        <v>341</v>
      </c>
      <c r="BP39" s="295" t="s">
        <v>342</v>
      </c>
      <c r="BQ39" s="295" t="s">
        <v>343</v>
      </c>
    </row>
    <row r="40" spans="1:69" ht="150" x14ac:dyDescent="0.25">
      <c r="A40" s="145" t="s">
        <v>344</v>
      </c>
      <c r="B40" s="145">
        <v>70</v>
      </c>
      <c r="C40" s="145"/>
      <c r="D40" s="145">
        <v>165</v>
      </c>
      <c r="E40" s="145"/>
      <c r="F40" s="145">
        <v>165</v>
      </c>
      <c r="G40" s="145"/>
      <c r="H40" s="145"/>
      <c r="I40" s="145"/>
      <c r="J40" s="145"/>
      <c r="K40" s="145"/>
      <c r="L40" s="145"/>
      <c r="M40" s="145"/>
      <c r="N40" s="145"/>
      <c r="O40" s="146"/>
      <c r="P40" s="146"/>
      <c r="Q40" s="146"/>
      <c r="R40" s="146"/>
      <c r="S40" s="146"/>
      <c r="T40" s="146"/>
      <c r="U40" s="146"/>
      <c r="V40" s="146"/>
      <c r="W40" s="146"/>
      <c r="X40" s="146"/>
      <c r="Y40" s="146"/>
      <c r="Z40" s="146">
        <f>B40+D40+F40+H40+J40+L40+N40+P40+R40+T40+V40+X40</f>
        <v>400</v>
      </c>
      <c r="AA40" s="151">
        <f>C40+E40+G40+I40+K40+M40+O40+Q40+S40+U40+W40+Y40</f>
        <v>0</v>
      </c>
      <c r="AB40" s="291" t="s">
        <v>368</v>
      </c>
      <c r="AC40" s="145">
        <v>0</v>
      </c>
      <c r="AD40" s="145">
        <v>0</v>
      </c>
      <c r="AE40" s="145">
        <v>0</v>
      </c>
      <c r="AF40" s="145">
        <v>45</v>
      </c>
      <c r="AG40" s="145">
        <v>83</v>
      </c>
      <c r="AH40" s="291">
        <v>1</v>
      </c>
      <c r="AJ40" s="145" t="s">
        <v>344</v>
      </c>
      <c r="AK40" s="145">
        <v>104</v>
      </c>
      <c r="AL40" s="145"/>
      <c r="AM40" s="145">
        <v>177</v>
      </c>
      <c r="AN40" s="145"/>
      <c r="AO40" s="145">
        <v>190</v>
      </c>
      <c r="AP40" s="145"/>
      <c r="AQ40" s="145"/>
      <c r="AR40" s="145"/>
      <c r="AS40" s="145"/>
      <c r="AT40" s="145"/>
      <c r="AU40" s="145"/>
      <c r="AV40" s="145"/>
      <c r="AW40" s="145"/>
      <c r="AX40" s="146"/>
      <c r="AY40" s="146"/>
      <c r="AZ40" s="146"/>
      <c r="BA40" s="146"/>
      <c r="BB40" s="146"/>
      <c r="BC40" s="146"/>
      <c r="BD40" s="146"/>
      <c r="BE40" s="146"/>
      <c r="BF40" s="146"/>
      <c r="BG40" s="146"/>
      <c r="BH40" s="146"/>
      <c r="BI40" s="146">
        <f>AK40+AM40+AO40+AQ40+AS40+AU40+AW40+AY40+BA40+BC40+BE40+BG40</f>
        <v>471</v>
      </c>
      <c r="BJ40" s="151">
        <f>AL40+AN40+AP40+AR40+AT40+AV40+AX40+AZ40+BB40+BD40+BF40+BH40</f>
        <v>0</v>
      </c>
      <c r="BK40" s="291" t="s">
        <v>368</v>
      </c>
      <c r="BL40" s="145">
        <v>0</v>
      </c>
      <c r="BM40" s="145">
        <v>0</v>
      </c>
      <c r="BN40" s="145">
        <v>0</v>
      </c>
      <c r="BO40" s="145">
        <v>45</v>
      </c>
      <c r="BP40" s="145">
        <v>83</v>
      </c>
      <c r="BQ40" s="291">
        <v>1</v>
      </c>
    </row>
    <row r="41" spans="1:69" ht="14.25" customHeight="1" x14ac:dyDescent="0.25">
      <c r="A41" s="145" t="s">
        <v>346</v>
      </c>
      <c r="B41" s="145"/>
      <c r="C41" s="145"/>
      <c r="D41" s="145"/>
      <c r="E41" s="145"/>
      <c r="F41" s="145"/>
      <c r="G41" s="145"/>
      <c r="H41" s="145"/>
      <c r="I41" s="145"/>
      <c r="J41" s="145"/>
      <c r="K41" s="145"/>
      <c r="L41" s="145"/>
      <c r="M41" s="145"/>
      <c r="N41" s="145"/>
      <c r="O41" s="146"/>
      <c r="P41" s="146"/>
      <c r="Q41" s="146"/>
      <c r="R41" s="146"/>
      <c r="S41" s="146"/>
      <c r="T41" s="146"/>
      <c r="U41" s="146"/>
      <c r="V41" s="146"/>
      <c r="W41" s="146"/>
      <c r="X41" s="146"/>
      <c r="Y41" s="146"/>
      <c r="Z41" s="146">
        <f t="shared" ref="Z41:AA60" si="6">B41+D41+F41+H41+J41+L41+N41+P41+R41+T41+V41+X41</f>
        <v>0</v>
      </c>
      <c r="AA41" s="151">
        <f t="shared" si="6"/>
        <v>0</v>
      </c>
      <c r="AB41" s="148"/>
      <c r="AC41" s="148"/>
      <c r="AD41" s="148"/>
      <c r="AE41" s="148"/>
      <c r="AF41" s="148"/>
      <c r="AG41" s="148"/>
      <c r="AH41" s="148"/>
      <c r="AJ41" s="145" t="s">
        <v>346</v>
      </c>
      <c r="AK41" s="145"/>
      <c r="AL41" s="145"/>
      <c r="AM41" s="145"/>
      <c r="AN41" s="145"/>
      <c r="AO41" s="145"/>
      <c r="AP41" s="145"/>
      <c r="AQ41" s="145"/>
      <c r="AR41" s="145"/>
      <c r="AS41" s="145"/>
      <c r="AT41" s="145"/>
      <c r="AU41" s="145"/>
      <c r="AV41" s="145"/>
      <c r="AW41" s="145"/>
      <c r="AX41" s="146"/>
      <c r="AY41" s="146"/>
      <c r="AZ41" s="146"/>
      <c r="BA41" s="146"/>
      <c r="BB41" s="146"/>
      <c r="BC41" s="146"/>
      <c r="BD41" s="146"/>
      <c r="BE41" s="146"/>
      <c r="BF41" s="146"/>
      <c r="BG41" s="146"/>
      <c r="BH41" s="146"/>
      <c r="BI41" s="146">
        <f t="shared" ref="BI41:BJ60" si="7">AK41+AM41+AO41+AQ41+AS41+AU41+AW41+AY41+BA41+BC41+BE41+BG41</f>
        <v>0</v>
      </c>
      <c r="BJ41" s="151">
        <f t="shared" si="7"/>
        <v>0</v>
      </c>
      <c r="BK41" s="148"/>
      <c r="BL41" s="148"/>
      <c r="BM41" s="148"/>
      <c r="BN41" s="148"/>
      <c r="BO41" s="148"/>
      <c r="BP41" s="148"/>
      <c r="BQ41" s="148"/>
    </row>
    <row r="42" spans="1:69" x14ac:dyDescent="0.25">
      <c r="A42" s="145" t="s">
        <v>347</v>
      </c>
      <c r="B42" s="145"/>
      <c r="C42" s="145"/>
      <c r="D42" s="145"/>
      <c r="E42" s="145"/>
      <c r="F42" s="145"/>
      <c r="G42" s="145"/>
      <c r="H42" s="145"/>
      <c r="I42" s="145"/>
      <c r="J42" s="145"/>
      <c r="K42" s="145"/>
      <c r="L42" s="145"/>
      <c r="M42" s="145"/>
      <c r="N42" s="145"/>
      <c r="O42" s="146"/>
      <c r="P42" s="146"/>
      <c r="Q42" s="146"/>
      <c r="R42" s="146"/>
      <c r="S42" s="146"/>
      <c r="T42" s="146"/>
      <c r="U42" s="146"/>
      <c r="V42" s="146"/>
      <c r="W42" s="146"/>
      <c r="X42" s="146"/>
      <c r="Y42" s="146"/>
      <c r="Z42" s="146">
        <f t="shared" si="6"/>
        <v>0</v>
      </c>
      <c r="AA42" s="151">
        <f t="shared" si="6"/>
        <v>0</v>
      </c>
      <c r="AB42" s="148"/>
      <c r="AC42" s="148"/>
      <c r="AD42" s="148"/>
      <c r="AE42" s="148"/>
      <c r="AF42" s="148"/>
      <c r="AG42" s="148"/>
      <c r="AH42" s="148"/>
      <c r="AJ42" s="145" t="s">
        <v>347</v>
      </c>
      <c r="AK42" s="145"/>
      <c r="AL42" s="145"/>
      <c r="AM42" s="145"/>
      <c r="AN42" s="145"/>
      <c r="AO42" s="145"/>
      <c r="AP42" s="145"/>
      <c r="AQ42" s="145"/>
      <c r="AR42" s="145"/>
      <c r="AS42" s="145"/>
      <c r="AT42" s="145"/>
      <c r="AU42" s="145"/>
      <c r="AV42" s="145"/>
      <c r="AW42" s="145"/>
      <c r="AX42" s="146"/>
      <c r="AY42" s="146"/>
      <c r="AZ42" s="146"/>
      <c r="BA42" s="146"/>
      <c r="BB42" s="146"/>
      <c r="BC42" s="146"/>
      <c r="BD42" s="146"/>
      <c r="BE42" s="146"/>
      <c r="BF42" s="146"/>
      <c r="BG42" s="146"/>
      <c r="BH42" s="146"/>
      <c r="BI42" s="146">
        <f t="shared" si="7"/>
        <v>0</v>
      </c>
      <c r="BJ42" s="151">
        <f t="shared" si="7"/>
        <v>0</v>
      </c>
      <c r="BK42" s="148"/>
      <c r="BL42" s="148"/>
      <c r="BM42" s="148"/>
      <c r="BN42" s="148"/>
      <c r="BO42" s="148"/>
      <c r="BP42" s="148"/>
      <c r="BQ42" s="148"/>
    </row>
    <row r="43" spans="1:69" x14ac:dyDescent="0.25">
      <c r="A43" s="145" t="s">
        <v>348</v>
      </c>
      <c r="B43" s="145"/>
      <c r="C43" s="145"/>
      <c r="D43" s="145"/>
      <c r="E43" s="145"/>
      <c r="F43" s="145"/>
      <c r="G43" s="145"/>
      <c r="H43" s="145"/>
      <c r="I43" s="145"/>
      <c r="J43" s="145"/>
      <c r="K43" s="145"/>
      <c r="L43" s="145"/>
      <c r="M43" s="145"/>
      <c r="N43" s="145"/>
      <c r="O43" s="146"/>
      <c r="P43" s="146"/>
      <c r="Q43" s="146"/>
      <c r="R43" s="146"/>
      <c r="S43" s="146"/>
      <c r="T43" s="146"/>
      <c r="U43" s="146"/>
      <c r="V43" s="146"/>
      <c r="W43" s="146"/>
      <c r="X43" s="146"/>
      <c r="Y43" s="146"/>
      <c r="Z43" s="146">
        <f t="shared" si="6"/>
        <v>0</v>
      </c>
      <c r="AA43" s="151">
        <f t="shared" si="6"/>
        <v>0</v>
      </c>
      <c r="AB43" s="148"/>
      <c r="AC43" s="148"/>
      <c r="AD43" s="148"/>
      <c r="AE43" s="148"/>
      <c r="AF43" s="148"/>
      <c r="AG43" s="148"/>
      <c r="AH43" s="148"/>
      <c r="AJ43" s="145" t="s">
        <v>348</v>
      </c>
      <c r="AK43" s="145"/>
      <c r="AL43" s="145"/>
      <c r="AM43" s="145"/>
      <c r="AN43" s="145"/>
      <c r="AO43" s="145"/>
      <c r="AP43" s="145"/>
      <c r="AQ43" s="145"/>
      <c r="AR43" s="145"/>
      <c r="AS43" s="145"/>
      <c r="AT43" s="145"/>
      <c r="AU43" s="145"/>
      <c r="AV43" s="145"/>
      <c r="AW43" s="145"/>
      <c r="AX43" s="146"/>
      <c r="AY43" s="146"/>
      <c r="AZ43" s="146"/>
      <c r="BA43" s="146"/>
      <c r="BB43" s="146"/>
      <c r="BC43" s="146"/>
      <c r="BD43" s="146"/>
      <c r="BE43" s="146"/>
      <c r="BF43" s="146"/>
      <c r="BG43" s="146"/>
      <c r="BH43" s="146"/>
      <c r="BI43" s="146">
        <f t="shared" si="7"/>
        <v>0</v>
      </c>
      <c r="BJ43" s="151">
        <f t="shared" si="7"/>
        <v>0</v>
      </c>
      <c r="BK43" s="148"/>
      <c r="BL43" s="148"/>
      <c r="BM43" s="148"/>
      <c r="BN43" s="148"/>
      <c r="BO43" s="148"/>
      <c r="BP43" s="148"/>
      <c r="BQ43" s="148"/>
    </row>
    <row r="44" spans="1:69" x14ac:dyDescent="0.25">
      <c r="A44" s="145" t="s">
        <v>349</v>
      </c>
      <c r="B44" s="145"/>
      <c r="C44" s="145"/>
      <c r="D44" s="145"/>
      <c r="E44" s="145"/>
      <c r="F44" s="145"/>
      <c r="G44" s="145"/>
      <c r="H44" s="145"/>
      <c r="I44" s="145"/>
      <c r="J44" s="145"/>
      <c r="K44" s="145"/>
      <c r="L44" s="145"/>
      <c r="M44" s="145"/>
      <c r="N44" s="145"/>
      <c r="O44" s="146"/>
      <c r="P44" s="146"/>
      <c r="Q44" s="146"/>
      <c r="R44" s="146"/>
      <c r="S44" s="146"/>
      <c r="T44" s="146"/>
      <c r="U44" s="146"/>
      <c r="V44" s="146"/>
      <c r="W44" s="146"/>
      <c r="X44" s="146"/>
      <c r="Y44" s="146"/>
      <c r="Z44" s="146">
        <f t="shared" si="6"/>
        <v>0</v>
      </c>
      <c r="AA44" s="151">
        <f t="shared" si="6"/>
        <v>0</v>
      </c>
      <c r="AB44" s="148"/>
      <c r="AC44" s="148"/>
      <c r="AD44" s="148"/>
      <c r="AE44" s="148"/>
      <c r="AF44" s="148"/>
      <c r="AG44" s="148"/>
      <c r="AH44" s="148"/>
      <c r="AJ44" s="145" t="s">
        <v>349</v>
      </c>
      <c r="AK44" s="145"/>
      <c r="AL44" s="145"/>
      <c r="AM44" s="145"/>
      <c r="AN44" s="145"/>
      <c r="AO44" s="145"/>
      <c r="AP44" s="145"/>
      <c r="AQ44" s="145"/>
      <c r="AR44" s="145"/>
      <c r="AS44" s="145"/>
      <c r="AT44" s="145"/>
      <c r="AU44" s="145"/>
      <c r="AV44" s="145"/>
      <c r="AW44" s="145"/>
      <c r="AX44" s="146"/>
      <c r="AY44" s="146"/>
      <c r="AZ44" s="146"/>
      <c r="BA44" s="146"/>
      <c r="BB44" s="146"/>
      <c r="BC44" s="146"/>
      <c r="BD44" s="146"/>
      <c r="BE44" s="146"/>
      <c r="BF44" s="146"/>
      <c r="BG44" s="146"/>
      <c r="BH44" s="146"/>
      <c r="BI44" s="146">
        <f t="shared" si="7"/>
        <v>0</v>
      </c>
      <c r="BJ44" s="151">
        <f t="shared" si="7"/>
        <v>0</v>
      </c>
      <c r="BK44" s="148"/>
      <c r="BL44" s="148"/>
      <c r="BM44" s="148"/>
      <c r="BN44" s="148"/>
      <c r="BO44" s="148"/>
      <c r="BP44" s="148"/>
      <c r="BQ44" s="148"/>
    </row>
    <row r="45" spans="1:69" x14ac:dyDescent="0.25">
      <c r="A45" s="145" t="s">
        <v>350</v>
      </c>
      <c r="B45" s="145"/>
      <c r="C45" s="145"/>
      <c r="D45" s="145"/>
      <c r="E45" s="145"/>
      <c r="F45" s="145"/>
      <c r="G45" s="145"/>
      <c r="H45" s="145"/>
      <c r="I45" s="145"/>
      <c r="J45" s="145"/>
      <c r="K45" s="145"/>
      <c r="L45" s="145"/>
      <c r="M45" s="145"/>
      <c r="N45" s="145"/>
      <c r="O45" s="146"/>
      <c r="P45" s="146"/>
      <c r="Q45" s="146"/>
      <c r="R45" s="146"/>
      <c r="S45" s="146"/>
      <c r="T45" s="146"/>
      <c r="U45" s="146"/>
      <c r="V45" s="146"/>
      <c r="W45" s="146"/>
      <c r="X45" s="146"/>
      <c r="Y45" s="146"/>
      <c r="Z45" s="146">
        <f t="shared" si="6"/>
        <v>0</v>
      </c>
      <c r="AA45" s="151">
        <f t="shared" si="6"/>
        <v>0</v>
      </c>
      <c r="AB45" s="148"/>
      <c r="AC45" s="148"/>
      <c r="AD45" s="148"/>
      <c r="AE45" s="148"/>
      <c r="AF45" s="148"/>
      <c r="AG45" s="148"/>
      <c r="AH45" s="148"/>
      <c r="AJ45" s="145" t="s">
        <v>350</v>
      </c>
      <c r="AK45" s="145"/>
      <c r="AL45" s="145"/>
      <c r="AM45" s="145"/>
      <c r="AN45" s="145"/>
      <c r="AO45" s="145"/>
      <c r="AP45" s="145"/>
      <c r="AQ45" s="145"/>
      <c r="AR45" s="145"/>
      <c r="AS45" s="145"/>
      <c r="AT45" s="145"/>
      <c r="AU45" s="145"/>
      <c r="AV45" s="145"/>
      <c r="AW45" s="145"/>
      <c r="AX45" s="146"/>
      <c r="AY45" s="146"/>
      <c r="AZ45" s="146"/>
      <c r="BA45" s="146"/>
      <c r="BB45" s="146"/>
      <c r="BC45" s="146"/>
      <c r="BD45" s="146"/>
      <c r="BE45" s="146"/>
      <c r="BF45" s="146"/>
      <c r="BG45" s="146"/>
      <c r="BH45" s="146"/>
      <c r="BI45" s="146">
        <f t="shared" si="7"/>
        <v>0</v>
      </c>
      <c r="BJ45" s="151">
        <f t="shared" si="7"/>
        <v>0</v>
      </c>
      <c r="BK45" s="148"/>
      <c r="BL45" s="148"/>
      <c r="BM45" s="148"/>
      <c r="BN45" s="148"/>
      <c r="BO45" s="148"/>
      <c r="BP45" s="148"/>
      <c r="BQ45" s="148"/>
    </row>
    <row r="46" spans="1:69" x14ac:dyDescent="0.25">
      <c r="A46" s="145" t="s">
        <v>351</v>
      </c>
      <c r="B46" s="145"/>
      <c r="C46" s="145"/>
      <c r="D46" s="145"/>
      <c r="E46" s="145"/>
      <c r="F46" s="145"/>
      <c r="G46" s="145"/>
      <c r="H46" s="145"/>
      <c r="I46" s="145"/>
      <c r="J46" s="145"/>
      <c r="K46" s="145"/>
      <c r="L46" s="145"/>
      <c r="M46" s="145"/>
      <c r="N46" s="145"/>
      <c r="O46" s="146"/>
      <c r="P46" s="146"/>
      <c r="Q46" s="146"/>
      <c r="R46" s="146"/>
      <c r="S46" s="146"/>
      <c r="T46" s="146"/>
      <c r="U46" s="146"/>
      <c r="V46" s="146"/>
      <c r="W46" s="146"/>
      <c r="X46" s="146"/>
      <c r="Y46" s="146"/>
      <c r="Z46" s="146">
        <f t="shared" si="6"/>
        <v>0</v>
      </c>
      <c r="AA46" s="151">
        <f t="shared" si="6"/>
        <v>0</v>
      </c>
      <c r="AB46" s="148"/>
      <c r="AC46" s="148"/>
      <c r="AD46" s="148"/>
      <c r="AE46" s="148"/>
      <c r="AF46" s="148"/>
      <c r="AG46" s="148"/>
      <c r="AH46" s="148"/>
      <c r="AJ46" s="145" t="s">
        <v>351</v>
      </c>
      <c r="AK46" s="145"/>
      <c r="AL46" s="145"/>
      <c r="AM46" s="145"/>
      <c r="AN46" s="145"/>
      <c r="AO46" s="145"/>
      <c r="AP46" s="145"/>
      <c r="AQ46" s="145"/>
      <c r="AR46" s="145"/>
      <c r="AS46" s="145"/>
      <c r="AT46" s="145"/>
      <c r="AU46" s="145"/>
      <c r="AV46" s="145"/>
      <c r="AW46" s="145"/>
      <c r="AX46" s="146"/>
      <c r="AY46" s="146"/>
      <c r="AZ46" s="146"/>
      <c r="BA46" s="146"/>
      <c r="BB46" s="146"/>
      <c r="BC46" s="146"/>
      <c r="BD46" s="146"/>
      <c r="BE46" s="146"/>
      <c r="BF46" s="146"/>
      <c r="BG46" s="146"/>
      <c r="BH46" s="146"/>
      <c r="BI46" s="146">
        <f t="shared" si="7"/>
        <v>0</v>
      </c>
      <c r="BJ46" s="151">
        <f t="shared" si="7"/>
        <v>0</v>
      </c>
      <c r="BK46" s="148"/>
      <c r="BL46" s="148"/>
      <c r="BM46" s="148"/>
      <c r="BN46" s="148"/>
      <c r="BO46" s="148"/>
      <c r="BP46" s="148"/>
      <c r="BQ46" s="148"/>
    </row>
    <row r="47" spans="1:69" x14ac:dyDescent="0.25">
      <c r="A47" s="145" t="s">
        <v>352</v>
      </c>
      <c r="B47" s="145"/>
      <c r="C47" s="145"/>
      <c r="D47" s="145"/>
      <c r="E47" s="145"/>
      <c r="F47" s="145"/>
      <c r="G47" s="145"/>
      <c r="H47" s="145"/>
      <c r="I47" s="145"/>
      <c r="J47" s="145"/>
      <c r="K47" s="145"/>
      <c r="L47" s="145"/>
      <c r="M47" s="145"/>
      <c r="N47" s="145"/>
      <c r="O47" s="146"/>
      <c r="P47" s="146"/>
      <c r="Q47" s="146"/>
      <c r="R47" s="146"/>
      <c r="S47" s="146"/>
      <c r="T47" s="146"/>
      <c r="U47" s="146"/>
      <c r="V47" s="146"/>
      <c r="W47" s="146"/>
      <c r="X47" s="146"/>
      <c r="Y47" s="146"/>
      <c r="Z47" s="146">
        <f t="shared" si="6"/>
        <v>0</v>
      </c>
      <c r="AA47" s="151">
        <f t="shared" si="6"/>
        <v>0</v>
      </c>
      <c r="AB47" s="148"/>
      <c r="AC47" s="148"/>
      <c r="AD47" s="148"/>
      <c r="AE47" s="148"/>
      <c r="AF47" s="148"/>
      <c r="AG47" s="148"/>
      <c r="AH47" s="148"/>
      <c r="AJ47" s="145" t="s">
        <v>352</v>
      </c>
      <c r="AK47" s="145"/>
      <c r="AL47" s="145"/>
      <c r="AM47" s="145"/>
      <c r="AN47" s="145"/>
      <c r="AO47" s="145"/>
      <c r="AP47" s="145"/>
      <c r="AQ47" s="145"/>
      <c r="AR47" s="145"/>
      <c r="AS47" s="145"/>
      <c r="AT47" s="145"/>
      <c r="AU47" s="145"/>
      <c r="AV47" s="145"/>
      <c r="AW47" s="145"/>
      <c r="AX47" s="146"/>
      <c r="AY47" s="146"/>
      <c r="AZ47" s="146"/>
      <c r="BA47" s="146"/>
      <c r="BB47" s="146"/>
      <c r="BC47" s="146"/>
      <c r="BD47" s="146"/>
      <c r="BE47" s="146"/>
      <c r="BF47" s="146"/>
      <c r="BG47" s="146"/>
      <c r="BH47" s="146"/>
      <c r="BI47" s="146">
        <f t="shared" si="7"/>
        <v>0</v>
      </c>
      <c r="BJ47" s="151">
        <f t="shared" si="7"/>
        <v>0</v>
      </c>
      <c r="BK47" s="148"/>
      <c r="BL47" s="148"/>
      <c r="BM47" s="148"/>
      <c r="BN47" s="148"/>
      <c r="BO47" s="148"/>
      <c r="BP47" s="148"/>
      <c r="BQ47" s="148"/>
    </row>
    <row r="48" spans="1:69" x14ac:dyDescent="0.25">
      <c r="A48" s="145" t="s">
        <v>353</v>
      </c>
      <c r="B48" s="145"/>
      <c r="C48" s="145"/>
      <c r="D48" s="145"/>
      <c r="E48" s="145"/>
      <c r="F48" s="145"/>
      <c r="G48" s="145"/>
      <c r="H48" s="145"/>
      <c r="I48" s="145"/>
      <c r="J48" s="145"/>
      <c r="K48" s="145"/>
      <c r="L48" s="145"/>
      <c r="M48" s="145"/>
      <c r="N48" s="145"/>
      <c r="O48" s="146"/>
      <c r="P48" s="146"/>
      <c r="Q48" s="146"/>
      <c r="R48" s="146"/>
      <c r="S48" s="146"/>
      <c r="T48" s="146"/>
      <c r="U48" s="146"/>
      <c r="V48" s="146"/>
      <c r="W48" s="146"/>
      <c r="X48" s="146"/>
      <c r="Y48" s="146"/>
      <c r="Z48" s="146">
        <f t="shared" si="6"/>
        <v>0</v>
      </c>
      <c r="AA48" s="151">
        <f t="shared" si="6"/>
        <v>0</v>
      </c>
      <c r="AB48" s="148"/>
      <c r="AC48" s="148"/>
      <c r="AD48" s="148"/>
      <c r="AE48" s="148"/>
      <c r="AF48" s="148"/>
      <c r="AG48" s="148"/>
      <c r="AH48" s="148"/>
      <c r="AJ48" s="145" t="s">
        <v>353</v>
      </c>
      <c r="AK48" s="145"/>
      <c r="AL48" s="145"/>
      <c r="AM48" s="145"/>
      <c r="AN48" s="145"/>
      <c r="AO48" s="145"/>
      <c r="AP48" s="145"/>
      <c r="AQ48" s="145"/>
      <c r="AR48" s="145"/>
      <c r="AS48" s="145"/>
      <c r="AT48" s="145"/>
      <c r="AU48" s="145"/>
      <c r="AV48" s="145"/>
      <c r="AW48" s="145"/>
      <c r="AX48" s="146"/>
      <c r="AY48" s="146"/>
      <c r="AZ48" s="146"/>
      <c r="BA48" s="146"/>
      <c r="BB48" s="146"/>
      <c r="BC48" s="146"/>
      <c r="BD48" s="146"/>
      <c r="BE48" s="146"/>
      <c r="BF48" s="146"/>
      <c r="BG48" s="146"/>
      <c r="BH48" s="146"/>
      <c r="BI48" s="146">
        <f t="shared" si="7"/>
        <v>0</v>
      </c>
      <c r="BJ48" s="151">
        <f t="shared" si="7"/>
        <v>0</v>
      </c>
      <c r="BK48" s="148"/>
      <c r="BL48" s="148"/>
      <c r="BM48" s="148"/>
      <c r="BN48" s="148"/>
      <c r="BO48" s="148"/>
      <c r="BP48" s="148"/>
      <c r="BQ48" s="148"/>
    </row>
    <row r="49" spans="1:69" x14ac:dyDescent="0.25">
      <c r="A49" s="145" t="s">
        <v>354</v>
      </c>
      <c r="B49" s="145"/>
      <c r="C49" s="145"/>
      <c r="D49" s="145"/>
      <c r="E49" s="145"/>
      <c r="F49" s="145"/>
      <c r="G49" s="145"/>
      <c r="H49" s="145"/>
      <c r="I49" s="145"/>
      <c r="J49" s="145"/>
      <c r="K49" s="145"/>
      <c r="L49" s="145"/>
      <c r="M49" s="145"/>
      <c r="N49" s="145"/>
      <c r="O49" s="146"/>
      <c r="P49" s="146"/>
      <c r="Q49" s="146"/>
      <c r="R49" s="146"/>
      <c r="S49" s="146"/>
      <c r="T49" s="146"/>
      <c r="U49" s="146"/>
      <c r="V49" s="146"/>
      <c r="W49" s="146"/>
      <c r="X49" s="146"/>
      <c r="Y49" s="146"/>
      <c r="Z49" s="146">
        <f t="shared" si="6"/>
        <v>0</v>
      </c>
      <c r="AA49" s="151">
        <f t="shared" si="6"/>
        <v>0</v>
      </c>
      <c r="AB49" s="148"/>
      <c r="AC49" s="148"/>
      <c r="AD49" s="148"/>
      <c r="AE49" s="148"/>
      <c r="AF49" s="148"/>
      <c r="AG49" s="148"/>
      <c r="AH49" s="148"/>
      <c r="AJ49" s="145" t="s">
        <v>354</v>
      </c>
      <c r="AK49" s="145"/>
      <c r="AL49" s="145"/>
      <c r="AM49" s="145"/>
      <c r="AN49" s="145"/>
      <c r="AO49" s="145"/>
      <c r="AP49" s="145"/>
      <c r="AQ49" s="145"/>
      <c r="AR49" s="145"/>
      <c r="AS49" s="145"/>
      <c r="AT49" s="145"/>
      <c r="AU49" s="145"/>
      <c r="AV49" s="145"/>
      <c r="AW49" s="145"/>
      <c r="AX49" s="146"/>
      <c r="AY49" s="146"/>
      <c r="AZ49" s="146"/>
      <c r="BA49" s="146"/>
      <c r="BB49" s="146"/>
      <c r="BC49" s="146"/>
      <c r="BD49" s="146"/>
      <c r="BE49" s="146"/>
      <c r="BF49" s="146"/>
      <c r="BG49" s="146"/>
      <c r="BH49" s="146"/>
      <c r="BI49" s="146">
        <f t="shared" si="7"/>
        <v>0</v>
      </c>
      <c r="BJ49" s="151">
        <f t="shared" si="7"/>
        <v>0</v>
      </c>
      <c r="BK49" s="148"/>
      <c r="BL49" s="148"/>
      <c r="BM49" s="148"/>
      <c r="BN49" s="148"/>
      <c r="BO49" s="148"/>
      <c r="BP49" s="148"/>
      <c r="BQ49" s="148"/>
    </row>
    <row r="50" spans="1:69" x14ac:dyDescent="0.25">
      <c r="A50" s="145" t="s">
        <v>355</v>
      </c>
      <c r="B50" s="145"/>
      <c r="C50" s="145"/>
      <c r="D50" s="145"/>
      <c r="E50" s="145"/>
      <c r="F50" s="145"/>
      <c r="G50" s="145"/>
      <c r="H50" s="145"/>
      <c r="I50" s="145"/>
      <c r="J50" s="145"/>
      <c r="K50" s="145"/>
      <c r="L50" s="145"/>
      <c r="M50" s="145"/>
      <c r="N50" s="145"/>
      <c r="O50" s="146"/>
      <c r="P50" s="146"/>
      <c r="Q50" s="146"/>
      <c r="R50" s="146"/>
      <c r="S50" s="146"/>
      <c r="T50" s="146"/>
      <c r="U50" s="146"/>
      <c r="V50" s="146"/>
      <c r="W50" s="146"/>
      <c r="X50" s="146"/>
      <c r="Y50" s="146"/>
      <c r="Z50" s="146">
        <f t="shared" si="6"/>
        <v>0</v>
      </c>
      <c r="AA50" s="151">
        <f t="shared" si="6"/>
        <v>0</v>
      </c>
      <c r="AB50" s="148"/>
      <c r="AC50" s="148"/>
      <c r="AD50" s="148"/>
      <c r="AE50" s="148"/>
      <c r="AF50" s="148"/>
      <c r="AG50" s="148"/>
      <c r="AH50" s="148"/>
      <c r="AJ50" s="145" t="s">
        <v>355</v>
      </c>
      <c r="AK50" s="145"/>
      <c r="AL50" s="145"/>
      <c r="AM50" s="145"/>
      <c r="AN50" s="145"/>
      <c r="AO50" s="145"/>
      <c r="AP50" s="145"/>
      <c r="AQ50" s="145"/>
      <c r="AR50" s="145"/>
      <c r="AS50" s="145"/>
      <c r="AT50" s="145"/>
      <c r="AU50" s="145"/>
      <c r="AV50" s="145"/>
      <c r="AW50" s="145"/>
      <c r="AX50" s="146"/>
      <c r="AY50" s="146"/>
      <c r="AZ50" s="146"/>
      <c r="BA50" s="146"/>
      <c r="BB50" s="146"/>
      <c r="BC50" s="146"/>
      <c r="BD50" s="146"/>
      <c r="BE50" s="146"/>
      <c r="BF50" s="146"/>
      <c r="BG50" s="146"/>
      <c r="BH50" s="146"/>
      <c r="BI50" s="146">
        <f t="shared" si="7"/>
        <v>0</v>
      </c>
      <c r="BJ50" s="151">
        <f t="shared" si="7"/>
        <v>0</v>
      </c>
      <c r="BK50" s="148"/>
      <c r="BL50" s="148"/>
      <c r="BM50" s="148"/>
      <c r="BN50" s="148"/>
      <c r="BO50" s="148"/>
      <c r="BP50" s="148"/>
      <c r="BQ50" s="148"/>
    </row>
    <row r="51" spans="1:69" x14ac:dyDescent="0.25">
      <c r="A51" s="145" t="s">
        <v>356</v>
      </c>
      <c r="B51" s="145"/>
      <c r="C51" s="145"/>
      <c r="D51" s="145"/>
      <c r="E51" s="145"/>
      <c r="F51" s="145"/>
      <c r="G51" s="145"/>
      <c r="H51" s="145"/>
      <c r="I51" s="145"/>
      <c r="J51" s="145"/>
      <c r="K51" s="145"/>
      <c r="L51" s="145"/>
      <c r="M51" s="145"/>
      <c r="N51" s="145"/>
      <c r="O51" s="146"/>
      <c r="P51" s="146"/>
      <c r="Q51" s="146"/>
      <c r="R51" s="146"/>
      <c r="S51" s="146"/>
      <c r="T51" s="146"/>
      <c r="U51" s="146"/>
      <c r="V51" s="146"/>
      <c r="W51" s="146"/>
      <c r="X51" s="146"/>
      <c r="Y51" s="146"/>
      <c r="Z51" s="146">
        <f t="shared" si="6"/>
        <v>0</v>
      </c>
      <c r="AA51" s="151">
        <f t="shared" si="6"/>
        <v>0</v>
      </c>
      <c r="AB51" s="148"/>
      <c r="AC51" s="148"/>
      <c r="AD51" s="148"/>
      <c r="AE51" s="148"/>
      <c r="AF51" s="148"/>
      <c r="AG51" s="148"/>
      <c r="AH51" s="148"/>
      <c r="AJ51" s="145" t="s">
        <v>356</v>
      </c>
      <c r="AK51" s="145"/>
      <c r="AL51" s="145"/>
      <c r="AM51" s="145"/>
      <c r="AN51" s="145"/>
      <c r="AO51" s="145"/>
      <c r="AP51" s="145"/>
      <c r="AQ51" s="145"/>
      <c r="AR51" s="145"/>
      <c r="AS51" s="145"/>
      <c r="AT51" s="145"/>
      <c r="AU51" s="145"/>
      <c r="AV51" s="145"/>
      <c r="AW51" s="145"/>
      <c r="AX51" s="146"/>
      <c r="AY51" s="146"/>
      <c r="AZ51" s="146"/>
      <c r="BA51" s="146"/>
      <c r="BB51" s="146"/>
      <c r="BC51" s="146"/>
      <c r="BD51" s="146"/>
      <c r="BE51" s="146"/>
      <c r="BF51" s="146"/>
      <c r="BG51" s="146"/>
      <c r="BH51" s="146"/>
      <c r="BI51" s="146">
        <f t="shared" si="7"/>
        <v>0</v>
      </c>
      <c r="BJ51" s="151">
        <f t="shared" si="7"/>
        <v>0</v>
      </c>
      <c r="BK51" s="148"/>
      <c r="BL51" s="148"/>
      <c r="BM51" s="148"/>
      <c r="BN51" s="148"/>
      <c r="BO51" s="148"/>
      <c r="BP51" s="148"/>
      <c r="BQ51" s="148"/>
    </row>
    <row r="52" spans="1:69" x14ac:dyDescent="0.25">
      <c r="A52" s="145" t="s">
        <v>357</v>
      </c>
      <c r="B52" s="145"/>
      <c r="C52" s="145"/>
      <c r="D52" s="145"/>
      <c r="E52" s="145"/>
      <c r="F52" s="145"/>
      <c r="G52" s="145"/>
      <c r="H52" s="145"/>
      <c r="I52" s="145"/>
      <c r="J52" s="145"/>
      <c r="K52" s="145"/>
      <c r="L52" s="145"/>
      <c r="M52" s="145"/>
      <c r="N52" s="145"/>
      <c r="O52" s="146"/>
      <c r="P52" s="146"/>
      <c r="Q52" s="146"/>
      <c r="R52" s="146"/>
      <c r="S52" s="146"/>
      <c r="T52" s="146"/>
      <c r="U52" s="146"/>
      <c r="V52" s="146"/>
      <c r="W52" s="146"/>
      <c r="X52" s="146"/>
      <c r="Y52" s="146"/>
      <c r="Z52" s="146">
        <f t="shared" si="6"/>
        <v>0</v>
      </c>
      <c r="AA52" s="151">
        <f t="shared" si="6"/>
        <v>0</v>
      </c>
      <c r="AB52" s="148"/>
      <c r="AC52" s="148"/>
      <c r="AD52" s="148"/>
      <c r="AE52" s="148"/>
      <c r="AF52" s="148"/>
      <c r="AG52" s="148"/>
      <c r="AH52" s="148"/>
      <c r="AJ52" s="145" t="s">
        <v>357</v>
      </c>
      <c r="AK52" s="145"/>
      <c r="AL52" s="145"/>
      <c r="AM52" s="145"/>
      <c r="AN52" s="145"/>
      <c r="AO52" s="145"/>
      <c r="AP52" s="145"/>
      <c r="AQ52" s="145"/>
      <c r="AR52" s="145"/>
      <c r="AS52" s="145"/>
      <c r="AT52" s="145"/>
      <c r="AU52" s="145"/>
      <c r="AV52" s="145"/>
      <c r="AW52" s="145"/>
      <c r="AX52" s="146"/>
      <c r="AY52" s="146"/>
      <c r="AZ52" s="146"/>
      <c r="BA52" s="146"/>
      <c r="BB52" s="146"/>
      <c r="BC52" s="146"/>
      <c r="BD52" s="146"/>
      <c r="BE52" s="146"/>
      <c r="BF52" s="146"/>
      <c r="BG52" s="146"/>
      <c r="BH52" s="146"/>
      <c r="BI52" s="146">
        <f t="shared" si="7"/>
        <v>0</v>
      </c>
      <c r="BJ52" s="151">
        <f t="shared" si="7"/>
        <v>0</v>
      </c>
      <c r="BK52" s="148"/>
      <c r="BL52" s="148"/>
      <c r="BM52" s="148"/>
      <c r="BN52" s="148"/>
      <c r="BO52" s="148"/>
      <c r="BP52" s="148"/>
      <c r="BQ52" s="148"/>
    </row>
    <row r="53" spans="1:69" x14ac:dyDescent="0.25">
      <c r="A53" s="145" t="s">
        <v>358</v>
      </c>
      <c r="B53" s="145"/>
      <c r="C53" s="145"/>
      <c r="D53" s="145"/>
      <c r="E53" s="145"/>
      <c r="F53" s="145"/>
      <c r="G53" s="145"/>
      <c r="H53" s="145"/>
      <c r="I53" s="145"/>
      <c r="J53" s="145"/>
      <c r="K53" s="145"/>
      <c r="L53" s="145"/>
      <c r="M53" s="145"/>
      <c r="N53" s="145"/>
      <c r="O53" s="146"/>
      <c r="P53" s="146"/>
      <c r="Q53" s="146"/>
      <c r="R53" s="146"/>
      <c r="S53" s="146"/>
      <c r="T53" s="146"/>
      <c r="U53" s="146"/>
      <c r="V53" s="146"/>
      <c r="W53" s="146"/>
      <c r="X53" s="146"/>
      <c r="Y53" s="146"/>
      <c r="Z53" s="146">
        <f t="shared" si="6"/>
        <v>0</v>
      </c>
      <c r="AA53" s="151">
        <f t="shared" si="6"/>
        <v>0</v>
      </c>
      <c r="AB53" s="148"/>
      <c r="AC53" s="148"/>
      <c r="AD53" s="148"/>
      <c r="AE53" s="148"/>
      <c r="AF53" s="148"/>
      <c r="AG53" s="148"/>
      <c r="AH53" s="148"/>
      <c r="AJ53" s="145" t="s">
        <v>358</v>
      </c>
      <c r="AK53" s="145"/>
      <c r="AL53" s="145"/>
      <c r="AM53" s="145"/>
      <c r="AN53" s="145"/>
      <c r="AO53" s="145"/>
      <c r="AP53" s="145"/>
      <c r="AQ53" s="145"/>
      <c r="AR53" s="145"/>
      <c r="AS53" s="145"/>
      <c r="AT53" s="145"/>
      <c r="AU53" s="145"/>
      <c r="AV53" s="145"/>
      <c r="AW53" s="145"/>
      <c r="AX53" s="146"/>
      <c r="AY53" s="146"/>
      <c r="AZ53" s="146"/>
      <c r="BA53" s="146"/>
      <c r="BB53" s="146"/>
      <c r="BC53" s="146"/>
      <c r="BD53" s="146"/>
      <c r="BE53" s="146"/>
      <c r="BF53" s="146"/>
      <c r="BG53" s="146"/>
      <c r="BH53" s="146"/>
      <c r="BI53" s="146">
        <f t="shared" si="7"/>
        <v>0</v>
      </c>
      <c r="BJ53" s="151">
        <f t="shared" si="7"/>
        <v>0</v>
      </c>
      <c r="BK53" s="148"/>
      <c r="BL53" s="148"/>
      <c r="BM53" s="148"/>
      <c r="BN53" s="148"/>
      <c r="BO53" s="148"/>
      <c r="BP53" s="148"/>
      <c r="BQ53" s="148"/>
    </row>
    <row r="54" spans="1:69" ht="173.25" customHeight="1" x14ac:dyDescent="0.25">
      <c r="A54" s="145" t="s">
        <v>359</v>
      </c>
      <c r="B54" s="145">
        <v>70</v>
      </c>
      <c r="C54" s="145"/>
      <c r="D54" s="145">
        <v>165</v>
      </c>
      <c r="E54" s="145"/>
      <c r="F54" s="145">
        <v>165</v>
      </c>
      <c r="G54" s="145"/>
      <c r="H54" s="145"/>
      <c r="I54" s="145"/>
      <c r="J54" s="145"/>
      <c r="K54" s="145"/>
      <c r="L54" s="145"/>
      <c r="M54" s="145"/>
      <c r="N54" s="145"/>
      <c r="O54" s="146"/>
      <c r="P54" s="145"/>
      <c r="Q54" s="146"/>
      <c r="R54" s="145"/>
      <c r="S54" s="145"/>
      <c r="T54" s="145"/>
      <c r="U54" s="146"/>
      <c r="V54" s="145"/>
      <c r="W54" s="146"/>
      <c r="X54" s="146"/>
      <c r="Y54" s="146"/>
      <c r="Z54" s="146">
        <f t="shared" si="6"/>
        <v>400</v>
      </c>
      <c r="AA54" s="151">
        <f t="shared" si="6"/>
        <v>0</v>
      </c>
      <c r="AB54" s="291" t="s">
        <v>368</v>
      </c>
      <c r="AC54" s="145">
        <v>0</v>
      </c>
      <c r="AD54" s="145">
        <v>0</v>
      </c>
      <c r="AE54" s="145">
        <v>0</v>
      </c>
      <c r="AF54" s="145">
        <v>45</v>
      </c>
      <c r="AG54" s="145">
        <v>83</v>
      </c>
      <c r="AH54" s="291">
        <v>1</v>
      </c>
      <c r="AJ54" s="145" t="s">
        <v>359</v>
      </c>
      <c r="AK54" s="145">
        <v>104</v>
      </c>
      <c r="AL54" s="145"/>
      <c r="AM54" s="145">
        <v>177</v>
      </c>
      <c r="AN54" s="145"/>
      <c r="AO54" s="145">
        <v>190</v>
      </c>
      <c r="AP54" s="145"/>
      <c r="AQ54" s="145"/>
      <c r="AR54" s="145"/>
      <c r="AS54" s="145"/>
      <c r="AT54" s="145"/>
      <c r="AU54" s="145"/>
      <c r="AV54" s="145"/>
      <c r="AW54" s="145"/>
      <c r="AX54" s="146"/>
      <c r="AY54" s="146"/>
      <c r="AZ54" s="146"/>
      <c r="BA54" s="146"/>
      <c r="BB54" s="146"/>
      <c r="BC54" s="146"/>
      <c r="BD54" s="146"/>
      <c r="BE54" s="146"/>
      <c r="BF54" s="146"/>
      <c r="BG54" s="146"/>
      <c r="BH54" s="146"/>
      <c r="BI54" s="146">
        <f t="shared" si="7"/>
        <v>471</v>
      </c>
      <c r="BJ54" s="151">
        <f t="shared" si="7"/>
        <v>0</v>
      </c>
      <c r="BK54" s="291" t="s">
        <v>368</v>
      </c>
      <c r="BL54" s="145">
        <v>0</v>
      </c>
      <c r="BM54" s="145">
        <v>0</v>
      </c>
      <c r="BN54" s="145">
        <v>0</v>
      </c>
      <c r="BO54" s="145">
        <v>45</v>
      </c>
      <c r="BP54" s="145">
        <v>83</v>
      </c>
      <c r="BQ54" s="291">
        <v>1</v>
      </c>
    </row>
    <row r="55" spans="1:69" x14ac:dyDescent="0.25">
      <c r="A55" s="145" t="s">
        <v>360</v>
      </c>
      <c r="B55" s="145"/>
      <c r="C55" s="145"/>
      <c r="D55" s="145"/>
      <c r="E55" s="145"/>
      <c r="F55" s="145"/>
      <c r="G55" s="145"/>
      <c r="H55" s="145"/>
      <c r="I55" s="145"/>
      <c r="J55" s="145"/>
      <c r="K55" s="145"/>
      <c r="L55" s="145"/>
      <c r="M55" s="145"/>
      <c r="N55" s="145"/>
      <c r="O55" s="146"/>
      <c r="P55" s="146"/>
      <c r="Q55" s="146"/>
      <c r="R55" s="146"/>
      <c r="S55" s="146"/>
      <c r="T55" s="146"/>
      <c r="U55" s="146"/>
      <c r="V55" s="146"/>
      <c r="W55" s="146"/>
      <c r="X55" s="146"/>
      <c r="Y55" s="146"/>
      <c r="Z55" s="146">
        <f t="shared" si="6"/>
        <v>0</v>
      </c>
      <c r="AA55" s="151">
        <f t="shared" si="6"/>
        <v>0</v>
      </c>
      <c r="AB55" s="148"/>
      <c r="AC55" s="148"/>
      <c r="AD55" s="148"/>
      <c r="AE55" s="148"/>
      <c r="AF55" s="148"/>
      <c r="AG55" s="148"/>
      <c r="AH55" s="148"/>
      <c r="AJ55" s="145" t="s">
        <v>360</v>
      </c>
      <c r="AK55" s="145"/>
      <c r="AL55" s="145"/>
      <c r="AM55" s="145"/>
      <c r="AN55" s="145"/>
      <c r="AO55" s="145"/>
      <c r="AP55" s="145"/>
      <c r="AQ55" s="145"/>
      <c r="AR55" s="145"/>
      <c r="AS55" s="145"/>
      <c r="AT55" s="145"/>
      <c r="AU55" s="145"/>
      <c r="AV55" s="145"/>
      <c r="AW55" s="145"/>
      <c r="AX55" s="146"/>
      <c r="AY55" s="146"/>
      <c r="AZ55" s="146"/>
      <c r="BA55" s="146"/>
      <c r="BB55" s="146"/>
      <c r="BC55" s="146"/>
      <c r="BD55" s="146"/>
      <c r="BE55" s="146"/>
      <c r="BF55" s="146"/>
      <c r="BG55" s="146"/>
      <c r="BH55" s="146"/>
      <c r="BI55" s="146">
        <f t="shared" si="7"/>
        <v>0</v>
      </c>
      <c r="BJ55" s="151">
        <f t="shared" si="7"/>
        <v>0</v>
      </c>
      <c r="BK55" s="148"/>
      <c r="BL55" s="148"/>
      <c r="BM55" s="148"/>
      <c r="BN55" s="148"/>
      <c r="BO55" s="148"/>
      <c r="BP55" s="148"/>
      <c r="BQ55" s="148"/>
    </row>
    <row r="56" spans="1:69" x14ac:dyDescent="0.25">
      <c r="A56" s="145" t="s">
        <v>361</v>
      </c>
      <c r="B56" s="145"/>
      <c r="C56" s="145"/>
      <c r="D56" s="145"/>
      <c r="E56" s="145"/>
      <c r="F56" s="145"/>
      <c r="G56" s="145"/>
      <c r="H56" s="145"/>
      <c r="I56" s="145"/>
      <c r="J56" s="145"/>
      <c r="K56" s="145"/>
      <c r="L56" s="145"/>
      <c r="M56" s="145"/>
      <c r="N56" s="145"/>
      <c r="O56" s="146"/>
      <c r="P56" s="146"/>
      <c r="Q56" s="146"/>
      <c r="R56" s="146"/>
      <c r="S56" s="146"/>
      <c r="T56" s="146"/>
      <c r="U56" s="146"/>
      <c r="V56" s="146"/>
      <c r="W56" s="146"/>
      <c r="X56" s="146"/>
      <c r="Y56" s="146"/>
      <c r="Z56" s="146">
        <f t="shared" si="6"/>
        <v>0</v>
      </c>
      <c r="AA56" s="151">
        <f t="shared" si="6"/>
        <v>0</v>
      </c>
      <c r="AB56" s="148"/>
      <c r="AC56" s="148"/>
      <c r="AD56" s="148"/>
      <c r="AE56" s="148"/>
      <c r="AF56" s="148"/>
      <c r="AG56" s="148"/>
      <c r="AH56" s="148"/>
      <c r="AJ56" s="145" t="s">
        <v>361</v>
      </c>
      <c r="AK56" s="145"/>
      <c r="AL56" s="145"/>
      <c r="AM56" s="145"/>
      <c r="AN56" s="145"/>
      <c r="AO56" s="145"/>
      <c r="AP56" s="145"/>
      <c r="AQ56" s="145"/>
      <c r="AR56" s="145"/>
      <c r="AS56" s="145"/>
      <c r="AT56" s="145"/>
      <c r="AU56" s="145"/>
      <c r="AV56" s="145"/>
      <c r="AW56" s="145"/>
      <c r="AX56" s="146"/>
      <c r="AY56" s="146"/>
      <c r="AZ56" s="146"/>
      <c r="BA56" s="146"/>
      <c r="BB56" s="146"/>
      <c r="BC56" s="146"/>
      <c r="BD56" s="146"/>
      <c r="BE56" s="146"/>
      <c r="BF56" s="146"/>
      <c r="BG56" s="146"/>
      <c r="BH56" s="146"/>
      <c r="BI56" s="146">
        <f t="shared" si="7"/>
        <v>0</v>
      </c>
      <c r="BJ56" s="151">
        <f t="shared" si="7"/>
        <v>0</v>
      </c>
      <c r="BK56" s="148"/>
      <c r="BL56" s="148"/>
      <c r="BM56" s="148"/>
      <c r="BN56" s="148"/>
      <c r="BO56" s="148"/>
      <c r="BP56" s="148"/>
      <c r="BQ56" s="148"/>
    </row>
    <row r="57" spans="1:69" x14ac:dyDescent="0.25">
      <c r="A57" s="145" t="s">
        <v>362</v>
      </c>
      <c r="B57" s="145"/>
      <c r="C57" s="145"/>
      <c r="D57" s="145"/>
      <c r="E57" s="145"/>
      <c r="F57" s="145"/>
      <c r="G57" s="145"/>
      <c r="H57" s="145"/>
      <c r="I57" s="145"/>
      <c r="J57" s="145"/>
      <c r="K57" s="145"/>
      <c r="L57" s="145"/>
      <c r="M57" s="145"/>
      <c r="N57" s="145"/>
      <c r="O57" s="146"/>
      <c r="P57" s="146"/>
      <c r="Q57" s="146"/>
      <c r="R57" s="146"/>
      <c r="S57" s="146"/>
      <c r="T57" s="146"/>
      <c r="U57" s="146"/>
      <c r="V57" s="146"/>
      <c r="W57" s="146"/>
      <c r="X57" s="146"/>
      <c r="Y57" s="146"/>
      <c r="Z57" s="146">
        <f t="shared" si="6"/>
        <v>0</v>
      </c>
      <c r="AA57" s="151">
        <f t="shared" si="6"/>
        <v>0</v>
      </c>
      <c r="AB57" s="148"/>
      <c r="AC57" s="148"/>
      <c r="AD57" s="148"/>
      <c r="AE57" s="148"/>
      <c r="AF57" s="148"/>
      <c r="AG57" s="148"/>
      <c r="AH57" s="148"/>
      <c r="AJ57" s="145" t="s">
        <v>362</v>
      </c>
      <c r="AK57" s="145"/>
      <c r="AL57" s="145"/>
      <c r="AM57" s="145"/>
      <c r="AN57" s="145"/>
      <c r="AO57" s="145"/>
      <c r="AP57" s="145"/>
      <c r="AQ57" s="145"/>
      <c r="AR57" s="145"/>
      <c r="AS57" s="145"/>
      <c r="AT57" s="145"/>
      <c r="AU57" s="145"/>
      <c r="AV57" s="145"/>
      <c r="AW57" s="145"/>
      <c r="AX57" s="146"/>
      <c r="AY57" s="146"/>
      <c r="AZ57" s="146"/>
      <c r="BA57" s="146"/>
      <c r="BB57" s="146"/>
      <c r="BC57" s="146"/>
      <c r="BD57" s="146"/>
      <c r="BE57" s="146"/>
      <c r="BF57" s="146"/>
      <c r="BG57" s="146"/>
      <c r="BH57" s="146"/>
      <c r="BI57" s="146">
        <f t="shared" si="7"/>
        <v>0</v>
      </c>
      <c r="BJ57" s="151">
        <f t="shared" si="7"/>
        <v>0</v>
      </c>
      <c r="BK57" s="148"/>
      <c r="BL57" s="148"/>
      <c r="BM57" s="148"/>
      <c r="BN57" s="148"/>
      <c r="BO57" s="148"/>
      <c r="BP57" s="148"/>
      <c r="BQ57" s="148"/>
    </row>
    <row r="58" spans="1:69" x14ac:dyDescent="0.25">
      <c r="A58" s="145" t="s">
        <v>363</v>
      </c>
      <c r="B58" s="145"/>
      <c r="C58" s="145"/>
      <c r="D58" s="145"/>
      <c r="E58" s="145"/>
      <c r="F58" s="145"/>
      <c r="G58" s="145"/>
      <c r="H58" s="145"/>
      <c r="I58" s="145"/>
      <c r="J58" s="145"/>
      <c r="K58" s="145"/>
      <c r="L58" s="145"/>
      <c r="M58" s="145"/>
      <c r="N58" s="145"/>
      <c r="O58" s="146"/>
      <c r="P58" s="146"/>
      <c r="Q58" s="146"/>
      <c r="R58" s="146"/>
      <c r="S58" s="146"/>
      <c r="T58" s="146"/>
      <c r="U58" s="146"/>
      <c r="V58" s="146"/>
      <c r="W58" s="146"/>
      <c r="X58" s="146"/>
      <c r="Y58" s="146"/>
      <c r="Z58" s="146">
        <f t="shared" si="6"/>
        <v>0</v>
      </c>
      <c r="AA58" s="151">
        <f t="shared" si="6"/>
        <v>0</v>
      </c>
      <c r="AB58" s="148"/>
      <c r="AC58" s="148"/>
      <c r="AD58" s="148"/>
      <c r="AE58" s="148"/>
      <c r="AF58" s="148"/>
      <c r="AG58" s="148"/>
      <c r="AH58" s="148"/>
      <c r="AJ58" s="145" t="s">
        <v>363</v>
      </c>
      <c r="AK58" s="145"/>
      <c r="AL58" s="145"/>
      <c r="AM58" s="145"/>
      <c r="AN58" s="145"/>
      <c r="AO58" s="145"/>
      <c r="AP58" s="145"/>
      <c r="AQ58" s="145"/>
      <c r="AR58" s="145"/>
      <c r="AS58" s="145"/>
      <c r="AT58" s="145"/>
      <c r="AU58" s="145"/>
      <c r="AV58" s="145"/>
      <c r="AW58" s="145"/>
      <c r="AX58" s="146"/>
      <c r="AY58" s="146"/>
      <c r="AZ58" s="146"/>
      <c r="BA58" s="146"/>
      <c r="BB58" s="146"/>
      <c r="BC58" s="146"/>
      <c r="BD58" s="146"/>
      <c r="BE58" s="146"/>
      <c r="BF58" s="146"/>
      <c r="BG58" s="146"/>
      <c r="BH58" s="146"/>
      <c r="BI58" s="146">
        <f t="shared" si="7"/>
        <v>0</v>
      </c>
      <c r="BJ58" s="151">
        <f t="shared" si="7"/>
        <v>0</v>
      </c>
      <c r="BK58" s="148"/>
      <c r="BL58" s="148"/>
      <c r="BM58" s="148"/>
      <c r="BN58" s="148"/>
      <c r="BO58" s="148"/>
      <c r="BP58" s="148"/>
      <c r="BQ58" s="148"/>
    </row>
    <row r="59" spans="1:69" x14ac:dyDescent="0.25">
      <c r="A59" s="145" t="s">
        <v>364</v>
      </c>
      <c r="B59" s="145"/>
      <c r="C59" s="145"/>
      <c r="D59" s="145"/>
      <c r="E59" s="145"/>
      <c r="F59" s="145"/>
      <c r="G59" s="145"/>
      <c r="H59" s="145"/>
      <c r="I59" s="145"/>
      <c r="J59" s="145"/>
      <c r="K59" s="145"/>
      <c r="L59" s="145"/>
      <c r="M59" s="145"/>
      <c r="N59" s="145"/>
      <c r="O59" s="146"/>
      <c r="P59" s="146"/>
      <c r="Q59" s="146"/>
      <c r="R59" s="146"/>
      <c r="S59" s="146"/>
      <c r="T59" s="146"/>
      <c r="U59" s="146"/>
      <c r="V59" s="146"/>
      <c r="W59" s="146"/>
      <c r="X59" s="146"/>
      <c r="Y59" s="146"/>
      <c r="Z59" s="146">
        <f t="shared" si="6"/>
        <v>0</v>
      </c>
      <c r="AA59" s="151">
        <f t="shared" si="6"/>
        <v>0</v>
      </c>
      <c r="AB59" s="148"/>
      <c r="AC59" s="148"/>
      <c r="AD59" s="148"/>
      <c r="AE59" s="148"/>
      <c r="AF59" s="148"/>
      <c r="AG59" s="148"/>
      <c r="AH59" s="148"/>
      <c r="AJ59" s="145" t="s">
        <v>364</v>
      </c>
      <c r="AK59" s="145"/>
      <c r="AL59" s="145"/>
      <c r="AM59" s="145"/>
      <c r="AN59" s="145"/>
      <c r="AO59" s="145"/>
      <c r="AP59" s="145"/>
      <c r="AQ59" s="145"/>
      <c r="AR59" s="145"/>
      <c r="AS59" s="145"/>
      <c r="AT59" s="145"/>
      <c r="AU59" s="145"/>
      <c r="AV59" s="145"/>
      <c r="AW59" s="145"/>
      <c r="AX59" s="146"/>
      <c r="AY59" s="146"/>
      <c r="AZ59" s="146"/>
      <c r="BA59" s="146"/>
      <c r="BB59" s="146"/>
      <c r="BC59" s="146"/>
      <c r="BD59" s="146"/>
      <c r="BE59" s="146"/>
      <c r="BF59" s="146"/>
      <c r="BG59" s="146"/>
      <c r="BH59" s="146"/>
      <c r="BI59" s="146">
        <f t="shared" si="7"/>
        <v>0</v>
      </c>
      <c r="BJ59" s="151">
        <f t="shared" si="7"/>
        <v>0</v>
      </c>
      <c r="BK59" s="148"/>
      <c r="BL59" s="148"/>
      <c r="BM59" s="148"/>
      <c r="BN59" s="148"/>
      <c r="BO59" s="148"/>
      <c r="BP59" s="148"/>
      <c r="BQ59" s="148"/>
    </row>
    <row r="60" spans="1:69" x14ac:dyDescent="0.25">
      <c r="A60" s="145" t="s">
        <v>365</v>
      </c>
      <c r="B60" s="145"/>
      <c r="C60" s="145"/>
      <c r="D60" s="145"/>
      <c r="E60" s="145"/>
      <c r="F60" s="145"/>
      <c r="G60" s="145"/>
      <c r="H60" s="145"/>
      <c r="I60" s="145"/>
      <c r="J60" s="145"/>
      <c r="K60" s="145"/>
      <c r="L60" s="145"/>
      <c r="M60" s="145"/>
      <c r="N60" s="145"/>
      <c r="O60" s="146"/>
      <c r="P60" s="146"/>
      <c r="Q60" s="146"/>
      <c r="R60" s="146"/>
      <c r="S60" s="146"/>
      <c r="T60" s="146"/>
      <c r="U60" s="146"/>
      <c r="V60" s="146"/>
      <c r="W60" s="146"/>
      <c r="X60" s="146"/>
      <c r="Y60" s="146"/>
      <c r="Z60" s="146">
        <f t="shared" si="6"/>
        <v>0</v>
      </c>
      <c r="AA60" s="151">
        <f t="shared" si="6"/>
        <v>0</v>
      </c>
      <c r="AB60" s="148"/>
      <c r="AC60" s="148"/>
      <c r="AD60" s="148"/>
      <c r="AE60" s="148"/>
      <c r="AF60" s="148"/>
      <c r="AG60" s="148"/>
      <c r="AH60" s="148"/>
      <c r="AJ60" s="145" t="s">
        <v>365</v>
      </c>
      <c r="AK60" s="145"/>
      <c r="AL60" s="145"/>
      <c r="AM60" s="145"/>
      <c r="AN60" s="145"/>
      <c r="AO60" s="145"/>
      <c r="AP60" s="145"/>
      <c r="AQ60" s="145"/>
      <c r="AR60" s="145"/>
      <c r="AS60" s="145"/>
      <c r="AT60" s="145"/>
      <c r="AU60" s="145"/>
      <c r="AV60" s="145"/>
      <c r="AW60" s="145"/>
      <c r="AX60" s="146"/>
      <c r="AY60" s="146"/>
      <c r="AZ60" s="146"/>
      <c r="BA60" s="146"/>
      <c r="BB60" s="146"/>
      <c r="BC60" s="146"/>
      <c r="BD60" s="146"/>
      <c r="BE60" s="146"/>
      <c r="BF60" s="146"/>
      <c r="BG60" s="146"/>
      <c r="BH60" s="146"/>
      <c r="BI60" s="146">
        <f t="shared" si="7"/>
        <v>0</v>
      </c>
      <c r="BJ60" s="151">
        <f t="shared" si="7"/>
        <v>0</v>
      </c>
      <c r="BK60" s="148"/>
      <c r="BL60" s="148"/>
      <c r="BM60" s="148"/>
      <c r="BN60" s="148"/>
      <c r="BO60" s="148"/>
      <c r="BP60" s="148"/>
      <c r="BQ60" s="148"/>
    </row>
    <row r="61" spans="1:69" x14ac:dyDescent="0.25">
      <c r="A61" s="149" t="s">
        <v>366</v>
      </c>
      <c r="B61" s="147">
        <f>SUM(B41:B60)</f>
        <v>70</v>
      </c>
      <c r="C61" s="147">
        <f t="shared" ref="C61:AH61" si="8">SUM(C41:C60)</f>
        <v>0</v>
      </c>
      <c r="D61" s="147">
        <f t="shared" si="8"/>
        <v>165</v>
      </c>
      <c r="E61" s="147">
        <f t="shared" si="8"/>
        <v>0</v>
      </c>
      <c r="F61" s="147">
        <f t="shared" si="8"/>
        <v>165</v>
      </c>
      <c r="G61" s="147">
        <f t="shared" si="8"/>
        <v>0</v>
      </c>
      <c r="H61" s="147">
        <f t="shared" si="8"/>
        <v>0</v>
      </c>
      <c r="I61" s="147">
        <f t="shared" si="8"/>
        <v>0</v>
      </c>
      <c r="J61" s="147">
        <f t="shared" si="8"/>
        <v>0</v>
      </c>
      <c r="K61" s="147">
        <f t="shared" si="8"/>
        <v>0</v>
      </c>
      <c r="L61" s="147">
        <f t="shared" si="8"/>
        <v>0</v>
      </c>
      <c r="M61" s="147">
        <f t="shared" si="8"/>
        <v>0</v>
      </c>
      <c r="N61" s="147">
        <f t="shared" si="8"/>
        <v>0</v>
      </c>
      <c r="O61" s="147">
        <f t="shared" si="8"/>
        <v>0</v>
      </c>
      <c r="P61" s="147">
        <f t="shared" si="8"/>
        <v>0</v>
      </c>
      <c r="Q61" s="147">
        <f t="shared" si="8"/>
        <v>0</v>
      </c>
      <c r="R61" s="147">
        <f t="shared" si="8"/>
        <v>0</v>
      </c>
      <c r="S61" s="147">
        <f t="shared" si="8"/>
        <v>0</v>
      </c>
      <c r="T61" s="147">
        <f t="shared" si="8"/>
        <v>0</v>
      </c>
      <c r="U61" s="147">
        <f t="shared" si="8"/>
        <v>0</v>
      </c>
      <c r="V61" s="147">
        <f t="shared" si="8"/>
        <v>0</v>
      </c>
      <c r="W61" s="147">
        <f t="shared" si="8"/>
        <v>0</v>
      </c>
      <c r="X61" s="147">
        <f t="shared" si="8"/>
        <v>0</v>
      </c>
      <c r="Y61" s="147">
        <f t="shared" si="8"/>
        <v>0</v>
      </c>
      <c r="Z61" s="147">
        <f t="shared" si="8"/>
        <v>400</v>
      </c>
      <c r="AA61" s="147">
        <f t="shared" si="8"/>
        <v>0</v>
      </c>
      <c r="AB61" s="147">
        <v>129</v>
      </c>
      <c r="AC61" s="147">
        <f t="shared" si="8"/>
        <v>0</v>
      </c>
      <c r="AD61" s="147">
        <f t="shared" si="8"/>
        <v>0</v>
      </c>
      <c r="AE61" s="147">
        <f t="shared" si="8"/>
        <v>0</v>
      </c>
      <c r="AF61" s="147">
        <f t="shared" si="8"/>
        <v>45</v>
      </c>
      <c r="AG61" s="147">
        <f t="shared" si="8"/>
        <v>83</v>
      </c>
      <c r="AH61" s="147">
        <f t="shared" si="8"/>
        <v>1</v>
      </c>
      <c r="AJ61" s="149" t="s">
        <v>366</v>
      </c>
      <c r="AK61" s="147">
        <f t="shared" ref="AK61:BQ61" si="9">SUM(AK41:AK60)</f>
        <v>104</v>
      </c>
      <c r="AL61" s="147">
        <f t="shared" si="9"/>
        <v>0</v>
      </c>
      <c r="AM61" s="147">
        <f t="shared" si="9"/>
        <v>177</v>
      </c>
      <c r="AN61" s="147">
        <f t="shared" si="9"/>
        <v>0</v>
      </c>
      <c r="AO61" s="147">
        <f t="shared" si="9"/>
        <v>190</v>
      </c>
      <c r="AP61" s="147">
        <f t="shared" si="9"/>
        <v>0</v>
      </c>
      <c r="AQ61" s="147">
        <f t="shared" si="9"/>
        <v>0</v>
      </c>
      <c r="AR61" s="147">
        <f t="shared" si="9"/>
        <v>0</v>
      </c>
      <c r="AS61" s="147">
        <f t="shared" si="9"/>
        <v>0</v>
      </c>
      <c r="AT61" s="147">
        <f t="shared" si="9"/>
        <v>0</v>
      </c>
      <c r="AU61" s="147">
        <f t="shared" si="9"/>
        <v>0</v>
      </c>
      <c r="AV61" s="147">
        <f t="shared" si="9"/>
        <v>0</v>
      </c>
      <c r="AW61" s="147">
        <f t="shared" si="9"/>
        <v>0</v>
      </c>
      <c r="AX61" s="147">
        <f t="shared" si="9"/>
        <v>0</v>
      </c>
      <c r="AY61" s="147">
        <f t="shared" si="9"/>
        <v>0</v>
      </c>
      <c r="AZ61" s="147">
        <f t="shared" si="9"/>
        <v>0</v>
      </c>
      <c r="BA61" s="147">
        <f t="shared" si="9"/>
        <v>0</v>
      </c>
      <c r="BB61" s="147">
        <f t="shared" si="9"/>
        <v>0</v>
      </c>
      <c r="BC61" s="147">
        <f t="shared" si="9"/>
        <v>0</v>
      </c>
      <c r="BD61" s="147">
        <f t="shared" si="9"/>
        <v>0</v>
      </c>
      <c r="BE61" s="147">
        <f t="shared" si="9"/>
        <v>0</v>
      </c>
      <c r="BF61" s="147">
        <f t="shared" si="9"/>
        <v>0</v>
      </c>
      <c r="BG61" s="147">
        <f t="shared" si="9"/>
        <v>0</v>
      </c>
      <c r="BH61" s="147">
        <f t="shared" si="9"/>
        <v>0</v>
      </c>
      <c r="BI61" s="147">
        <f t="shared" si="9"/>
        <v>471</v>
      </c>
      <c r="BJ61" s="147">
        <f t="shared" si="9"/>
        <v>0</v>
      </c>
      <c r="BK61" s="147">
        <v>129</v>
      </c>
      <c r="BL61" s="147">
        <f t="shared" si="9"/>
        <v>0</v>
      </c>
      <c r="BM61" s="147">
        <f t="shared" si="9"/>
        <v>0</v>
      </c>
      <c r="BN61" s="147">
        <f t="shared" si="9"/>
        <v>0</v>
      </c>
      <c r="BO61" s="147">
        <f t="shared" si="9"/>
        <v>45</v>
      </c>
      <c r="BP61" s="147">
        <f t="shared" si="9"/>
        <v>83</v>
      </c>
      <c r="BQ61" s="147">
        <f t="shared" si="9"/>
        <v>1</v>
      </c>
    </row>
    <row r="63" spans="1:69" ht="28.5" x14ac:dyDescent="0.25">
      <c r="A63" s="296" t="s">
        <v>328</v>
      </c>
      <c r="B63" s="858" t="s">
        <v>329</v>
      </c>
      <c r="C63" s="858"/>
      <c r="D63" s="858"/>
      <c r="E63" s="858"/>
      <c r="F63" s="858"/>
      <c r="G63" s="858"/>
      <c r="H63" s="858"/>
      <c r="I63" s="858"/>
      <c r="J63" s="858"/>
      <c r="K63" s="858"/>
      <c r="L63" s="858"/>
      <c r="M63" s="858"/>
      <c r="N63" s="858"/>
      <c r="O63" s="858"/>
      <c r="P63" s="858"/>
      <c r="Q63" s="858"/>
      <c r="R63" s="858"/>
      <c r="S63" s="858"/>
      <c r="T63" s="858"/>
      <c r="U63" s="858"/>
      <c r="V63" s="858"/>
      <c r="W63" s="858"/>
      <c r="X63" s="858"/>
      <c r="Y63" s="858"/>
      <c r="Z63" s="858"/>
      <c r="AA63" s="858"/>
      <c r="AB63" s="858"/>
      <c r="AC63" s="858"/>
      <c r="AD63" s="858"/>
      <c r="AE63" s="858"/>
      <c r="AF63" s="858"/>
      <c r="AG63" s="858"/>
      <c r="AH63" s="858"/>
      <c r="AI63" s="858"/>
      <c r="AJ63" s="858"/>
      <c r="AK63" s="858"/>
      <c r="AL63" s="858"/>
      <c r="AM63" s="858"/>
      <c r="AN63" s="858"/>
      <c r="AO63" s="858"/>
      <c r="AP63" s="858"/>
      <c r="AQ63" s="858"/>
      <c r="AR63" s="858"/>
      <c r="AS63" s="858"/>
      <c r="AT63" s="858"/>
      <c r="AU63" s="858"/>
      <c r="AV63" s="858"/>
      <c r="AW63" s="858"/>
      <c r="AX63" s="858"/>
      <c r="AY63" s="858"/>
      <c r="AZ63" s="858"/>
      <c r="BA63" s="858"/>
      <c r="BB63" s="858"/>
      <c r="BC63" s="858"/>
      <c r="BD63" s="858"/>
      <c r="BE63" s="858"/>
      <c r="BF63" s="858"/>
      <c r="BG63" s="858"/>
      <c r="BH63" s="858"/>
      <c r="BI63" s="858"/>
      <c r="BJ63" s="858"/>
      <c r="BK63" s="858"/>
      <c r="BL63" s="858"/>
      <c r="BM63" s="858"/>
      <c r="BN63" s="858"/>
      <c r="BO63" s="858"/>
      <c r="BP63" s="858"/>
      <c r="BQ63" s="858"/>
    </row>
    <row r="64" spans="1:69" ht="29.25" customHeight="1" x14ac:dyDescent="0.25">
      <c r="A64" s="150" t="s">
        <v>330</v>
      </c>
      <c r="B64" s="859" t="s">
        <v>369</v>
      </c>
      <c r="C64" s="858"/>
      <c r="D64" s="858"/>
      <c r="E64" s="858"/>
      <c r="F64" s="858"/>
      <c r="G64" s="858"/>
      <c r="H64" s="858"/>
      <c r="I64" s="858"/>
      <c r="J64" s="858"/>
      <c r="K64" s="858"/>
      <c r="L64" s="858"/>
      <c r="M64" s="858"/>
      <c r="N64" s="858"/>
      <c r="O64" s="858"/>
      <c r="P64" s="858"/>
      <c r="Q64" s="858"/>
      <c r="R64" s="858"/>
      <c r="S64" s="858"/>
      <c r="T64" s="858"/>
      <c r="U64" s="858"/>
      <c r="V64" s="858"/>
      <c r="W64" s="858"/>
      <c r="X64" s="858"/>
      <c r="Y64" s="858"/>
      <c r="Z64" s="858"/>
      <c r="AA64" s="858"/>
      <c r="AB64" s="858"/>
      <c r="AC64" s="858"/>
      <c r="AD64" s="858"/>
      <c r="AE64" s="858"/>
      <c r="AF64" s="858"/>
      <c r="AG64" s="858"/>
      <c r="AH64" s="858"/>
      <c r="AI64" s="858"/>
      <c r="AJ64" s="858"/>
      <c r="AK64" s="858"/>
      <c r="AL64" s="858"/>
      <c r="AM64" s="858"/>
      <c r="AN64" s="858"/>
      <c r="AO64" s="858"/>
      <c r="AP64" s="858"/>
      <c r="AQ64" s="858"/>
      <c r="AR64" s="858"/>
      <c r="AS64" s="858"/>
      <c r="AT64" s="858"/>
      <c r="AU64" s="858"/>
      <c r="AV64" s="858"/>
      <c r="AW64" s="858"/>
      <c r="AX64" s="858"/>
      <c r="AY64" s="858"/>
      <c r="AZ64" s="858"/>
      <c r="BA64" s="858"/>
      <c r="BB64" s="858"/>
      <c r="BC64" s="858"/>
      <c r="BD64" s="858"/>
      <c r="BE64" s="858"/>
      <c r="BF64" s="858"/>
      <c r="BG64" s="858"/>
      <c r="BH64" s="858"/>
      <c r="BI64" s="858"/>
      <c r="BJ64" s="858"/>
      <c r="BK64" s="858"/>
      <c r="BL64" s="858"/>
      <c r="BM64" s="858"/>
      <c r="BN64" s="858"/>
      <c r="BO64" s="858"/>
      <c r="BP64" s="858"/>
      <c r="BQ64" s="858"/>
    </row>
    <row r="65" spans="1:69" ht="6" customHeight="1" x14ac:dyDescent="0.25">
      <c r="A65" s="142"/>
      <c r="B65" s="142"/>
      <c r="C65" s="142"/>
      <c r="D65" s="142"/>
      <c r="E65" s="142"/>
      <c r="F65" s="142"/>
      <c r="G65" s="142"/>
      <c r="H65" s="142"/>
      <c r="I65" s="142"/>
      <c r="J65" s="142"/>
      <c r="K65" s="142"/>
      <c r="L65" s="142"/>
      <c r="M65" s="142"/>
      <c r="N65" s="142"/>
      <c r="O65" s="143"/>
      <c r="P65" s="143"/>
      <c r="Q65" s="143"/>
      <c r="R65" s="143"/>
      <c r="S65" s="143"/>
      <c r="T65" s="143"/>
      <c r="U65" s="143"/>
      <c r="V65" s="143"/>
      <c r="W65" s="143"/>
      <c r="X65" s="143"/>
      <c r="Y65" s="143"/>
      <c r="Z65" s="143"/>
      <c r="AA65" s="143"/>
      <c r="AB65" s="143"/>
      <c r="AC65" s="143"/>
      <c r="AD65" s="143"/>
      <c r="AE65" s="143"/>
      <c r="AF65" s="143"/>
      <c r="AG65" s="143"/>
      <c r="AH65" s="143"/>
      <c r="AJ65" s="142"/>
      <c r="AK65" s="143"/>
      <c r="AL65" s="143"/>
      <c r="AM65" s="143"/>
      <c r="AN65" s="143"/>
      <c r="AO65" s="143"/>
      <c r="AP65" s="143"/>
      <c r="AQ65" s="143"/>
      <c r="AR65" s="143"/>
      <c r="AS65" s="143"/>
      <c r="AT65" s="143"/>
      <c r="AU65" s="143"/>
      <c r="AV65" s="143"/>
    </row>
    <row r="66" spans="1:69" ht="30" customHeight="1" x14ac:dyDescent="0.25">
      <c r="A66" s="855" t="s">
        <v>332</v>
      </c>
      <c r="B66" s="853" t="s">
        <v>30</v>
      </c>
      <c r="C66" s="854"/>
      <c r="D66" s="853" t="s">
        <v>31</v>
      </c>
      <c r="E66" s="854"/>
      <c r="F66" s="853" t="s">
        <v>32</v>
      </c>
      <c r="G66" s="854"/>
      <c r="H66" s="853" t="s">
        <v>33</v>
      </c>
      <c r="I66" s="854"/>
      <c r="J66" s="853" t="s">
        <v>34</v>
      </c>
      <c r="K66" s="854"/>
      <c r="L66" s="853" t="s">
        <v>35</v>
      </c>
      <c r="M66" s="854"/>
      <c r="N66" s="853" t="s">
        <v>8</v>
      </c>
      <c r="O66" s="854"/>
      <c r="P66" s="853" t="s">
        <v>36</v>
      </c>
      <c r="Q66" s="854"/>
      <c r="R66" s="853" t="s">
        <v>37</v>
      </c>
      <c r="S66" s="854"/>
      <c r="T66" s="853" t="s">
        <v>38</v>
      </c>
      <c r="U66" s="854"/>
      <c r="V66" s="853" t="s">
        <v>39</v>
      </c>
      <c r="W66" s="854"/>
      <c r="X66" s="853" t="s">
        <v>40</v>
      </c>
      <c r="Y66" s="854"/>
      <c r="Z66" s="853" t="s">
        <v>333</v>
      </c>
      <c r="AA66" s="854"/>
      <c r="AB66" s="855" t="s">
        <v>334</v>
      </c>
      <c r="AC66" s="853" t="s">
        <v>335</v>
      </c>
      <c r="AD66" s="857"/>
      <c r="AE66" s="857"/>
      <c r="AF66" s="857"/>
      <c r="AG66" s="857"/>
      <c r="AH66" s="854"/>
      <c r="AJ66" s="855" t="s">
        <v>332</v>
      </c>
      <c r="AK66" s="853" t="s">
        <v>30</v>
      </c>
      <c r="AL66" s="854"/>
      <c r="AM66" s="853" t="s">
        <v>31</v>
      </c>
      <c r="AN66" s="854"/>
      <c r="AO66" s="853" t="s">
        <v>32</v>
      </c>
      <c r="AP66" s="854"/>
      <c r="AQ66" s="853" t="s">
        <v>33</v>
      </c>
      <c r="AR66" s="854"/>
      <c r="AS66" s="853" t="s">
        <v>34</v>
      </c>
      <c r="AT66" s="854"/>
      <c r="AU66" s="853" t="s">
        <v>35</v>
      </c>
      <c r="AV66" s="854"/>
      <c r="AW66" s="853" t="s">
        <v>8</v>
      </c>
      <c r="AX66" s="854"/>
      <c r="AY66" s="853" t="s">
        <v>36</v>
      </c>
      <c r="AZ66" s="854"/>
      <c r="BA66" s="853" t="s">
        <v>37</v>
      </c>
      <c r="BB66" s="854"/>
      <c r="BC66" s="853" t="s">
        <v>38</v>
      </c>
      <c r="BD66" s="854"/>
      <c r="BE66" s="853" t="s">
        <v>39</v>
      </c>
      <c r="BF66" s="854"/>
      <c r="BG66" s="853" t="s">
        <v>40</v>
      </c>
      <c r="BH66" s="854"/>
      <c r="BI66" s="853" t="s">
        <v>333</v>
      </c>
      <c r="BJ66" s="854"/>
      <c r="BK66" s="855" t="s">
        <v>334</v>
      </c>
      <c r="BL66" s="853" t="s">
        <v>335</v>
      </c>
      <c r="BM66" s="857"/>
      <c r="BN66" s="857"/>
      <c r="BO66" s="857"/>
      <c r="BP66" s="857"/>
      <c r="BQ66" s="854"/>
    </row>
    <row r="67" spans="1:69" ht="28.5" customHeight="1" x14ac:dyDescent="0.25">
      <c r="A67" s="856"/>
      <c r="B67" s="295" t="s">
        <v>336</v>
      </c>
      <c r="C67" s="295" t="s">
        <v>337</v>
      </c>
      <c r="D67" s="295" t="s">
        <v>336</v>
      </c>
      <c r="E67" s="295" t="s">
        <v>337</v>
      </c>
      <c r="F67" s="295" t="s">
        <v>336</v>
      </c>
      <c r="G67" s="295" t="s">
        <v>337</v>
      </c>
      <c r="H67" s="295" t="s">
        <v>336</v>
      </c>
      <c r="I67" s="295" t="s">
        <v>337</v>
      </c>
      <c r="J67" s="295" t="s">
        <v>336</v>
      </c>
      <c r="K67" s="295" t="s">
        <v>337</v>
      </c>
      <c r="L67" s="295" t="s">
        <v>336</v>
      </c>
      <c r="M67" s="295" t="s">
        <v>337</v>
      </c>
      <c r="N67" s="295" t="s">
        <v>336</v>
      </c>
      <c r="O67" s="295" t="s">
        <v>337</v>
      </c>
      <c r="P67" s="295" t="s">
        <v>336</v>
      </c>
      <c r="Q67" s="295" t="s">
        <v>337</v>
      </c>
      <c r="R67" s="295" t="s">
        <v>336</v>
      </c>
      <c r="S67" s="295" t="s">
        <v>337</v>
      </c>
      <c r="T67" s="295" t="s">
        <v>336</v>
      </c>
      <c r="U67" s="295" t="s">
        <v>337</v>
      </c>
      <c r="V67" s="295" t="s">
        <v>336</v>
      </c>
      <c r="W67" s="295" t="s">
        <v>337</v>
      </c>
      <c r="X67" s="295" t="s">
        <v>336</v>
      </c>
      <c r="Y67" s="295" t="s">
        <v>337</v>
      </c>
      <c r="Z67" s="295" t="s">
        <v>336</v>
      </c>
      <c r="AA67" s="295" t="s">
        <v>337</v>
      </c>
      <c r="AB67" s="856"/>
      <c r="AC67" s="295" t="s">
        <v>338</v>
      </c>
      <c r="AD67" s="144" t="s">
        <v>339</v>
      </c>
      <c r="AE67" s="295" t="s">
        <v>340</v>
      </c>
      <c r="AF67" s="295" t="s">
        <v>341</v>
      </c>
      <c r="AG67" s="295" t="s">
        <v>342</v>
      </c>
      <c r="AH67" s="295" t="s">
        <v>343</v>
      </c>
      <c r="AJ67" s="856"/>
      <c r="AK67" s="295" t="s">
        <v>336</v>
      </c>
      <c r="AL67" s="295" t="s">
        <v>337</v>
      </c>
      <c r="AM67" s="295" t="s">
        <v>336</v>
      </c>
      <c r="AN67" s="295" t="s">
        <v>337</v>
      </c>
      <c r="AO67" s="295" t="s">
        <v>336</v>
      </c>
      <c r="AP67" s="295" t="s">
        <v>337</v>
      </c>
      <c r="AQ67" s="295" t="s">
        <v>336</v>
      </c>
      <c r="AR67" s="295" t="s">
        <v>337</v>
      </c>
      <c r="AS67" s="295" t="s">
        <v>336</v>
      </c>
      <c r="AT67" s="295" t="s">
        <v>337</v>
      </c>
      <c r="AU67" s="295" t="s">
        <v>336</v>
      </c>
      <c r="AV67" s="295" t="s">
        <v>337</v>
      </c>
      <c r="AW67" s="295" t="s">
        <v>336</v>
      </c>
      <c r="AX67" s="295" t="s">
        <v>337</v>
      </c>
      <c r="AY67" s="295" t="s">
        <v>336</v>
      </c>
      <c r="AZ67" s="295" t="s">
        <v>337</v>
      </c>
      <c r="BA67" s="295" t="s">
        <v>336</v>
      </c>
      <c r="BB67" s="295" t="s">
        <v>337</v>
      </c>
      <c r="BC67" s="295" t="s">
        <v>336</v>
      </c>
      <c r="BD67" s="295" t="s">
        <v>337</v>
      </c>
      <c r="BE67" s="295" t="s">
        <v>336</v>
      </c>
      <c r="BF67" s="295" t="s">
        <v>337</v>
      </c>
      <c r="BG67" s="295" t="s">
        <v>336</v>
      </c>
      <c r="BH67" s="295" t="s">
        <v>337</v>
      </c>
      <c r="BI67" s="295" t="s">
        <v>336</v>
      </c>
      <c r="BJ67" s="295" t="s">
        <v>337</v>
      </c>
      <c r="BK67" s="856"/>
      <c r="BL67" s="295" t="s">
        <v>338</v>
      </c>
      <c r="BM67" s="144" t="s">
        <v>339</v>
      </c>
      <c r="BN67" s="295" t="s">
        <v>340</v>
      </c>
      <c r="BO67" s="295" t="s">
        <v>341</v>
      </c>
      <c r="BP67" s="295" t="s">
        <v>342</v>
      </c>
      <c r="BQ67" s="295" t="s">
        <v>343</v>
      </c>
    </row>
    <row r="68" spans="1:69" ht="165" x14ac:dyDescent="0.25">
      <c r="A68" s="145" t="s">
        <v>344</v>
      </c>
      <c r="B68" s="145">
        <v>150</v>
      </c>
      <c r="C68" s="145"/>
      <c r="D68" s="145">
        <v>370</v>
      </c>
      <c r="E68" s="145"/>
      <c r="F68" s="145">
        <v>370</v>
      </c>
      <c r="G68" s="145"/>
      <c r="H68" s="145"/>
      <c r="I68" s="145"/>
      <c r="J68" s="145"/>
      <c r="K68" s="145"/>
      <c r="L68" s="145"/>
      <c r="M68" s="145"/>
      <c r="N68" s="145"/>
      <c r="O68" s="146"/>
      <c r="P68" s="146"/>
      <c r="Q68" s="146"/>
      <c r="R68" s="146"/>
      <c r="S68" s="146"/>
      <c r="T68" s="146"/>
      <c r="U68" s="146"/>
      <c r="V68" s="146"/>
      <c r="W68" s="146"/>
      <c r="X68" s="146"/>
      <c r="Y68" s="146"/>
      <c r="Z68" s="146">
        <f>B68+D68+F68+H68+J68+L68+N68+P68+R68+T68+V68+X68</f>
        <v>890</v>
      </c>
      <c r="AA68" s="151">
        <f>C68+E68+G68+I68+K68+M68+O68+Q68+S68+U68+W68+Y68</f>
        <v>0</v>
      </c>
      <c r="AB68" s="291" t="s">
        <v>370</v>
      </c>
      <c r="AC68" s="145">
        <v>0</v>
      </c>
      <c r="AD68" s="145">
        <v>0</v>
      </c>
      <c r="AE68" s="145">
        <v>0</v>
      </c>
      <c r="AF68" s="145">
        <v>128</v>
      </c>
      <c r="AG68" s="145">
        <v>251</v>
      </c>
      <c r="AH68" s="291">
        <v>6</v>
      </c>
      <c r="AJ68" s="145" t="s">
        <v>344</v>
      </c>
      <c r="AK68" s="145">
        <v>338</v>
      </c>
      <c r="AL68" s="145"/>
      <c r="AM68" s="145">
        <v>578</v>
      </c>
      <c r="AN68" s="145"/>
      <c r="AO68" s="145">
        <v>562</v>
      </c>
      <c r="AP68" s="145"/>
      <c r="AQ68" s="145"/>
      <c r="AR68" s="145"/>
      <c r="AS68" s="145"/>
      <c r="AT68" s="145"/>
      <c r="AU68" s="145"/>
      <c r="AV68" s="145"/>
      <c r="AW68" s="145"/>
      <c r="AX68" s="146"/>
      <c r="AY68" s="146"/>
      <c r="AZ68" s="146"/>
      <c r="BA68" s="146"/>
      <c r="BB68" s="146"/>
      <c r="BC68" s="146"/>
      <c r="BD68" s="146"/>
      <c r="BE68" s="146"/>
      <c r="BF68" s="146"/>
      <c r="BG68" s="146"/>
      <c r="BH68" s="146"/>
      <c r="BI68" s="146">
        <f>AK68+AM68+AO68+AQ68+AS68+AU68+AW68+AY68+BA68+BC68+BE68+BG68</f>
        <v>1478</v>
      </c>
      <c r="BJ68" s="151">
        <f>AL68+AN68+AP68+AR68+AT68+AV68+AX68+AZ68+BB68+BD68+BF68+BH68</f>
        <v>0</v>
      </c>
      <c r="BK68" s="291" t="s">
        <v>370</v>
      </c>
      <c r="BL68" s="145">
        <v>0</v>
      </c>
      <c r="BM68" s="145">
        <v>0</v>
      </c>
      <c r="BN68" s="145">
        <v>0</v>
      </c>
      <c r="BO68" s="145">
        <v>128</v>
      </c>
      <c r="BP68" s="145">
        <v>251</v>
      </c>
      <c r="BQ68" s="291">
        <v>6</v>
      </c>
    </row>
    <row r="69" spans="1:69" x14ac:dyDescent="0.25">
      <c r="A69" s="145" t="s">
        <v>346</v>
      </c>
      <c r="B69" s="145"/>
      <c r="C69" s="145"/>
      <c r="D69" s="145"/>
      <c r="E69" s="145"/>
      <c r="F69" s="145"/>
      <c r="G69" s="145"/>
      <c r="H69" s="145"/>
      <c r="I69" s="145"/>
      <c r="J69" s="145"/>
      <c r="K69" s="145"/>
      <c r="L69" s="145"/>
      <c r="M69" s="145"/>
      <c r="N69" s="145"/>
      <c r="O69" s="146"/>
      <c r="P69" s="146"/>
      <c r="Q69" s="146"/>
      <c r="R69" s="146"/>
      <c r="S69" s="146"/>
      <c r="T69" s="146"/>
      <c r="U69" s="146"/>
      <c r="V69" s="146"/>
      <c r="W69" s="146"/>
      <c r="X69" s="146"/>
      <c r="Y69" s="146"/>
      <c r="Z69" s="146">
        <f t="shared" ref="Z69:AA88" si="10">B69+D69+F69+H69+J69+L69+N69+P69+R69+T69+V69+X69</f>
        <v>0</v>
      </c>
      <c r="AA69" s="151">
        <f t="shared" si="10"/>
        <v>0</v>
      </c>
      <c r="AB69" s="148"/>
      <c r="AC69" s="148"/>
      <c r="AD69" s="148"/>
      <c r="AE69" s="148"/>
      <c r="AF69" s="148"/>
      <c r="AG69" s="148"/>
      <c r="AH69" s="148"/>
      <c r="AJ69" s="145" t="s">
        <v>346</v>
      </c>
      <c r="AK69" s="145"/>
      <c r="AL69" s="145"/>
      <c r="AM69" s="145"/>
      <c r="AN69" s="145"/>
      <c r="AO69" s="145"/>
      <c r="AP69" s="145"/>
      <c r="AQ69" s="145"/>
      <c r="AR69" s="145"/>
      <c r="AS69" s="145"/>
      <c r="AT69" s="145"/>
      <c r="AU69" s="145"/>
      <c r="AV69" s="145"/>
      <c r="AW69" s="145"/>
      <c r="AX69" s="146"/>
      <c r="AY69" s="146"/>
      <c r="AZ69" s="146"/>
      <c r="BA69" s="146"/>
      <c r="BB69" s="146"/>
      <c r="BC69" s="146"/>
      <c r="BD69" s="146"/>
      <c r="BE69" s="146"/>
      <c r="BF69" s="146"/>
      <c r="BG69" s="146"/>
      <c r="BH69" s="146"/>
      <c r="BI69" s="146">
        <f t="shared" ref="BI69:BJ88" si="11">AK69+AM69+AO69+AQ69+AS69+AU69+AW69+AY69+BA69+BC69+BE69+BG69</f>
        <v>0</v>
      </c>
      <c r="BJ69" s="151">
        <f t="shared" si="11"/>
        <v>0</v>
      </c>
      <c r="BK69" s="148"/>
      <c r="BL69" s="148"/>
      <c r="BM69" s="148"/>
      <c r="BN69" s="148"/>
      <c r="BO69" s="148"/>
      <c r="BP69" s="148"/>
      <c r="BQ69" s="148"/>
    </row>
    <row r="70" spans="1:69" x14ac:dyDescent="0.25">
      <c r="A70" s="145" t="s">
        <v>347</v>
      </c>
      <c r="B70" s="145"/>
      <c r="C70" s="145"/>
      <c r="D70" s="145"/>
      <c r="E70" s="145"/>
      <c r="F70" s="145"/>
      <c r="G70" s="145"/>
      <c r="H70" s="145"/>
      <c r="I70" s="145"/>
      <c r="J70" s="145"/>
      <c r="K70" s="145"/>
      <c r="L70" s="145"/>
      <c r="M70" s="145"/>
      <c r="N70" s="145"/>
      <c r="O70" s="146"/>
      <c r="P70" s="146"/>
      <c r="Q70" s="146"/>
      <c r="R70" s="146"/>
      <c r="S70" s="146"/>
      <c r="T70" s="146"/>
      <c r="U70" s="146"/>
      <c r="V70" s="146"/>
      <c r="W70" s="146"/>
      <c r="X70" s="146"/>
      <c r="Y70" s="146"/>
      <c r="Z70" s="146">
        <f t="shared" si="10"/>
        <v>0</v>
      </c>
      <c r="AA70" s="151">
        <f t="shared" si="10"/>
        <v>0</v>
      </c>
      <c r="AB70" s="148"/>
      <c r="AC70" s="148"/>
      <c r="AD70" s="148"/>
      <c r="AE70" s="148"/>
      <c r="AF70" s="148"/>
      <c r="AG70" s="148"/>
      <c r="AH70" s="148"/>
      <c r="AJ70" s="145" t="s">
        <v>347</v>
      </c>
      <c r="AK70" s="145"/>
      <c r="AL70" s="145"/>
      <c r="AM70" s="145"/>
      <c r="AN70" s="145"/>
      <c r="AO70" s="145"/>
      <c r="AP70" s="145"/>
      <c r="AQ70" s="145"/>
      <c r="AR70" s="145"/>
      <c r="AS70" s="145"/>
      <c r="AT70" s="145"/>
      <c r="AU70" s="145"/>
      <c r="AV70" s="145"/>
      <c r="AW70" s="145"/>
      <c r="AX70" s="146"/>
      <c r="AY70" s="146"/>
      <c r="AZ70" s="146"/>
      <c r="BA70" s="146"/>
      <c r="BB70" s="146"/>
      <c r="BC70" s="146"/>
      <c r="BD70" s="146"/>
      <c r="BE70" s="146"/>
      <c r="BF70" s="146"/>
      <c r="BG70" s="146"/>
      <c r="BH70" s="146"/>
      <c r="BI70" s="146">
        <f t="shared" si="11"/>
        <v>0</v>
      </c>
      <c r="BJ70" s="151">
        <f t="shared" si="11"/>
        <v>0</v>
      </c>
      <c r="BK70" s="148"/>
      <c r="BL70" s="148"/>
      <c r="BM70" s="148"/>
      <c r="BN70" s="148"/>
      <c r="BO70" s="148"/>
      <c r="BP70" s="148"/>
      <c r="BQ70" s="148"/>
    </row>
    <row r="71" spans="1:69" x14ac:dyDescent="0.25">
      <c r="A71" s="145" t="s">
        <v>348</v>
      </c>
      <c r="B71" s="145"/>
      <c r="C71" s="145"/>
      <c r="D71" s="145"/>
      <c r="E71" s="145"/>
      <c r="F71" s="145"/>
      <c r="G71" s="145"/>
      <c r="H71" s="145"/>
      <c r="I71" s="145"/>
      <c r="J71" s="145"/>
      <c r="K71" s="145"/>
      <c r="L71" s="145"/>
      <c r="M71" s="145"/>
      <c r="N71" s="145"/>
      <c r="O71" s="146"/>
      <c r="P71" s="146"/>
      <c r="Q71" s="146"/>
      <c r="R71" s="146"/>
      <c r="S71" s="146"/>
      <c r="T71" s="146"/>
      <c r="U71" s="146"/>
      <c r="V71" s="146"/>
      <c r="W71" s="146"/>
      <c r="X71" s="146"/>
      <c r="Y71" s="146"/>
      <c r="Z71" s="146">
        <f t="shared" si="10"/>
        <v>0</v>
      </c>
      <c r="AA71" s="151">
        <f t="shared" si="10"/>
        <v>0</v>
      </c>
      <c r="AB71" s="148"/>
      <c r="AC71" s="148"/>
      <c r="AD71" s="148"/>
      <c r="AE71" s="148"/>
      <c r="AF71" s="148"/>
      <c r="AG71" s="148"/>
      <c r="AH71" s="148"/>
      <c r="AJ71" s="145" t="s">
        <v>348</v>
      </c>
      <c r="AK71" s="145"/>
      <c r="AL71" s="145"/>
      <c r="AM71" s="145"/>
      <c r="AN71" s="145"/>
      <c r="AO71" s="145"/>
      <c r="AP71" s="145"/>
      <c r="AQ71" s="145"/>
      <c r="AR71" s="145"/>
      <c r="AS71" s="145"/>
      <c r="AT71" s="145"/>
      <c r="AU71" s="145"/>
      <c r="AV71" s="145"/>
      <c r="AW71" s="145"/>
      <c r="AX71" s="146"/>
      <c r="AY71" s="146"/>
      <c r="AZ71" s="146"/>
      <c r="BA71" s="146"/>
      <c r="BB71" s="146"/>
      <c r="BC71" s="146"/>
      <c r="BD71" s="146"/>
      <c r="BE71" s="146"/>
      <c r="BF71" s="146"/>
      <c r="BG71" s="146"/>
      <c r="BH71" s="146"/>
      <c r="BI71" s="146">
        <f t="shared" si="11"/>
        <v>0</v>
      </c>
      <c r="BJ71" s="151">
        <f t="shared" si="11"/>
        <v>0</v>
      </c>
      <c r="BK71" s="148"/>
      <c r="BL71" s="148"/>
      <c r="BM71" s="148"/>
      <c r="BN71" s="148"/>
      <c r="BO71" s="148"/>
      <c r="BP71" s="148"/>
      <c r="BQ71" s="148"/>
    </row>
    <row r="72" spans="1:69" x14ac:dyDescent="0.25">
      <c r="A72" s="145" t="s">
        <v>349</v>
      </c>
      <c r="B72" s="145"/>
      <c r="C72" s="145"/>
      <c r="D72" s="145"/>
      <c r="E72" s="145"/>
      <c r="F72" s="145"/>
      <c r="G72" s="145"/>
      <c r="H72" s="145"/>
      <c r="I72" s="145"/>
      <c r="J72" s="145"/>
      <c r="K72" s="145"/>
      <c r="L72" s="145"/>
      <c r="M72" s="145"/>
      <c r="N72" s="145"/>
      <c r="O72" s="146"/>
      <c r="P72" s="146"/>
      <c r="Q72" s="146"/>
      <c r="R72" s="146"/>
      <c r="S72" s="146"/>
      <c r="T72" s="146"/>
      <c r="U72" s="146"/>
      <c r="V72" s="146"/>
      <c r="W72" s="146"/>
      <c r="X72" s="146"/>
      <c r="Y72" s="146"/>
      <c r="Z72" s="146">
        <f t="shared" si="10"/>
        <v>0</v>
      </c>
      <c r="AA72" s="151">
        <f t="shared" si="10"/>
        <v>0</v>
      </c>
      <c r="AB72" s="148"/>
      <c r="AC72" s="148"/>
      <c r="AD72" s="148"/>
      <c r="AE72" s="148"/>
      <c r="AF72" s="148"/>
      <c r="AG72" s="148"/>
      <c r="AH72" s="148"/>
      <c r="AJ72" s="145" t="s">
        <v>349</v>
      </c>
      <c r="AK72" s="145"/>
      <c r="AL72" s="145"/>
      <c r="AM72" s="145"/>
      <c r="AN72" s="145"/>
      <c r="AO72" s="145"/>
      <c r="AP72" s="145"/>
      <c r="AQ72" s="145"/>
      <c r="AR72" s="145"/>
      <c r="AS72" s="145"/>
      <c r="AT72" s="145"/>
      <c r="AU72" s="145"/>
      <c r="AV72" s="145"/>
      <c r="AW72" s="145"/>
      <c r="AX72" s="146"/>
      <c r="AY72" s="146"/>
      <c r="AZ72" s="146"/>
      <c r="BA72" s="146"/>
      <c r="BB72" s="146"/>
      <c r="BC72" s="146"/>
      <c r="BD72" s="146"/>
      <c r="BE72" s="146"/>
      <c r="BF72" s="146"/>
      <c r="BG72" s="146"/>
      <c r="BH72" s="146"/>
      <c r="BI72" s="146">
        <f t="shared" si="11"/>
        <v>0</v>
      </c>
      <c r="BJ72" s="151">
        <f t="shared" si="11"/>
        <v>0</v>
      </c>
      <c r="BK72" s="148"/>
      <c r="BL72" s="148"/>
      <c r="BM72" s="148"/>
      <c r="BN72" s="148"/>
      <c r="BO72" s="148"/>
      <c r="BP72" s="148"/>
      <c r="BQ72" s="148"/>
    </row>
    <row r="73" spans="1:69" x14ac:dyDescent="0.25">
      <c r="A73" s="145" t="s">
        <v>350</v>
      </c>
      <c r="B73" s="145"/>
      <c r="C73" s="145"/>
      <c r="D73" s="145"/>
      <c r="E73" s="145"/>
      <c r="F73" s="145"/>
      <c r="G73" s="145"/>
      <c r="H73" s="145"/>
      <c r="I73" s="145"/>
      <c r="J73" s="145"/>
      <c r="K73" s="145"/>
      <c r="L73" s="145"/>
      <c r="M73" s="145"/>
      <c r="N73" s="145"/>
      <c r="O73" s="146"/>
      <c r="P73" s="146"/>
      <c r="Q73" s="146"/>
      <c r="R73" s="146"/>
      <c r="S73" s="146"/>
      <c r="T73" s="146"/>
      <c r="U73" s="146"/>
      <c r="V73" s="146"/>
      <c r="W73" s="146"/>
      <c r="X73" s="146"/>
      <c r="Y73" s="146"/>
      <c r="Z73" s="146">
        <f t="shared" si="10"/>
        <v>0</v>
      </c>
      <c r="AA73" s="151">
        <f t="shared" si="10"/>
        <v>0</v>
      </c>
      <c r="AB73" s="148"/>
      <c r="AC73" s="148"/>
      <c r="AD73" s="148"/>
      <c r="AE73" s="148"/>
      <c r="AF73" s="148"/>
      <c r="AG73" s="148"/>
      <c r="AH73" s="148"/>
      <c r="AJ73" s="145" t="s">
        <v>350</v>
      </c>
      <c r="AK73" s="145"/>
      <c r="AL73" s="145"/>
      <c r="AM73" s="145"/>
      <c r="AN73" s="145"/>
      <c r="AO73" s="145"/>
      <c r="AP73" s="145"/>
      <c r="AQ73" s="145"/>
      <c r="AR73" s="145"/>
      <c r="AS73" s="145"/>
      <c r="AT73" s="145"/>
      <c r="AU73" s="145"/>
      <c r="AV73" s="145"/>
      <c r="AW73" s="145"/>
      <c r="AX73" s="146"/>
      <c r="AY73" s="146"/>
      <c r="AZ73" s="146"/>
      <c r="BA73" s="146"/>
      <c r="BB73" s="146"/>
      <c r="BC73" s="146"/>
      <c r="BD73" s="146"/>
      <c r="BE73" s="146"/>
      <c r="BF73" s="146"/>
      <c r="BG73" s="146"/>
      <c r="BH73" s="146"/>
      <c r="BI73" s="146">
        <f t="shared" si="11"/>
        <v>0</v>
      </c>
      <c r="BJ73" s="151">
        <f t="shared" si="11"/>
        <v>0</v>
      </c>
      <c r="BK73" s="148"/>
      <c r="BL73" s="148"/>
      <c r="BM73" s="148"/>
      <c r="BN73" s="148"/>
      <c r="BO73" s="148"/>
      <c r="BP73" s="148"/>
      <c r="BQ73" s="148"/>
    </row>
    <row r="74" spans="1:69" x14ac:dyDescent="0.25">
      <c r="A74" s="145" t="s">
        <v>351</v>
      </c>
      <c r="B74" s="145"/>
      <c r="C74" s="145"/>
      <c r="D74" s="145"/>
      <c r="E74" s="145"/>
      <c r="F74" s="145"/>
      <c r="G74" s="145"/>
      <c r="H74" s="145"/>
      <c r="I74" s="145"/>
      <c r="J74" s="145"/>
      <c r="K74" s="145"/>
      <c r="L74" s="145"/>
      <c r="M74" s="145"/>
      <c r="N74" s="145"/>
      <c r="O74" s="146"/>
      <c r="P74" s="146"/>
      <c r="Q74" s="146"/>
      <c r="R74" s="146"/>
      <c r="S74" s="146"/>
      <c r="T74" s="146"/>
      <c r="U74" s="146"/>
      <c r="V74" s="146"/>
      <c r="W74" s="146"/>
      <c r="X74" s="146"/>
      <c r="Y74" s="146"/>
      <c r="Z74" s="146">
        <f t="shared" si="10"/>
        <v>0</v>
      </c>
      <c r="AA74" s="151">
        <f t="shared" si="10"/>
        <v>0</v>
      </c>
      <c r="AB74" s="148"/>
      <c r="AC74" s="148"/>
      <c r="AD74" s="148"/>
      <c r="AE74" s="148"/>
      <c r="AF74" s="148"/>
      <c r="AG74" s="148"/>
      <c r="AH74" s="148"/>
      <c r="AJ74" s="145" t="s">
        <v>351</v>
      </c>
      <c r="AK74" s="145"/>
      <c r="AL74" s="145"/>
      <c r="AM74" s="145"/>
      <c r="AN74" s="145"/>
      <c r="AO74" s="145"/>
      <c r="AP74" s="145"/>
      <c r="AQ74" s="145"/>
      <c r="AR74" s="145"/>
      <c r="AS74" s="145"/>
      <c r="AT74" s="145"/>
      <c r="AU74" s="145"/>
      <c r="AV74" s="145"/>
      <c r="AW74" s="145"/>
      <c r="AX74" s="146"/>
      <c r="AY74" s="146"/>
      <c r="AZ74" s="146"/>
      <c r="BA74" s="146"/>
      <c r="BB74" s="146"/>
      <c r="BC74" s="146"/>
      <c r="BD74" s="146"/>
      <c r="BE74" s="146"/>
      <c r="BF74" s="146"/>
      <c r="BG74" s="146"/>
      <c r="BH74" s="146"/>
      <c r="BI74" s="146">
        <f t="shared" si="11"/>
        <v>0</v>
      </c>
      <c r="BJ74" s="151">
        <f t="shared" si="11"/>
        <v>0</v>
      </c>
      <c r="BK74" s="148"/>
      <c r="BL74" s="148"/>
      <c r="BM74" s="148"/>
      <c r="BN74" s="148"/>
      <c r="BO74" s="148"/>
      <c r="BP74" s="148"/>
      <c r="BQ74" s="148"/>
    </row>
    <row r="75" spans="1:69" x14ac:dyDescent="0.25">
      <c r="A75" s="145" t="s">
        <v>352</v>
      </c>
      <c r="B75" s="145"/>
      <c r="C75" s="145"/>
      <c r="D75" s="145"/>
      <c r="E75" s="145"/>
      <c r="F75" s="145"/>
      <c r="G75" s="145"/>
      <c r="H75" s="145"/>
      <c r="I75" s="145"/>
      <c r="J75" s="145"/>
      <c r="K75" s="145"/>
      <c r="L75" s="145"/>
      <c r="M75" s="145"/>
      <c r="N75" s="145"/>
      <c r="O75" s="146"/>
      <c r="P75" s="146"/>
      <c r="Q75" s="146"/>
      <c r="R75" s="146"/>
      <c r="S75" s="146"/>
      <c r="T75" s="146"/>
      <c r="U75" s="146"/>
      <c r="V75" s="146"/>
      <c r="W75" s="146"/>
      <c r="X75" s="146"/>
      <c r="Y75" s="146"/>
      <c r="Z75" s="146">
        <f t="shared" si="10"/>
        <v>0</v>
      </c>
      <c r="AA75" s="151">
        <f t="shared" si="10"/>
        <v>0</v>
      </c>
      <c r="AB75" s="148"/>
      <c r="AC75" s="148"/>
      <c r="AD75" s="148"/>
      <c r="AE75" s="148"/>
      <c r="AF75" s="148"/>
      <c r="AG75" s="148"/>
      <c r="AH75" s="148"/>
      <c r="AJ75" s="145" t="s">
        <v>352</v>
      </c>
      <c r="AK75" s="145"/>
      <c r="AL75" s="145"/>
      <c r="AM75" s="145"/>
      <c r="AN75" s="145"/>
      <c r="AO75" s="145"/>
      <c r="AP75" s="145"/>
      <c r="AQ75" s="145"/>
      <c r="AR75" s="145"/>
      <c r="AS75" s="145"/>
      <c r="AT75" s="145"/>
      <c r="AU75" s="145"/>
      <c r="AV75" s="145"/>
      <c r="AW75" s="145"/>
      <c r="AX75" s="146"/>
      <c r="AY75" s="146"/>
      <c r="AZ75" s="146"/>
      <c r="BA75" s="146"/>
      <c r="BB75" s="146"/>
      <c r="BC75" s="146"/>
      <c r="BD75" s="146"/>
      <c r="BE75" s="146"/>
      <c r="BF75" s="146"/>
      <c r="BG75" s="146"/>
      <c r="BH75" s="146"/>
      <c r="BI75" s="146">
        <f t="shared" si="11"/>
        <v>0</v>
      </c>
      <c r="BJ75" s="151">
        <f t="shared" si="11"/>
        <v>0</v>
      </c>
      <c r="BK75" s="148"/>
      <c r="BL75" s="148"/>
      <c r="BM75" s="148"/>
      <c r="BN75" s="148"/>
      <c r="BO75" s="148"/>
      <c r="BP75" s="148"/>
      <c r="BQ75" s="148"/>
    </row>
    <row r="76" spans="1:69" x14ac:dyDescent="0.25">
      <c r="A76" s="145" t="s">
        <v>353</v>
      </c>
      <c r="B76" s="145"/>
      <c r="C76" s="145"/>
      <c r="D76" s="145"/>
      <c r="E76" s="145"/>
      <c r="F76" s="145"/>
      <c r="G76" s="145"/>
      <c r="H76" s="145"/>
      <c r="I76" s="145"/>
      <c r="J76" s="145"/>
      <c r="K76" s="145"/>
      <c r="L76" s="145"/>
      <c r="M76" s="145"/>
      <c r="N76" s="145"/>
      <c r="O76" s="146"/>
      <c r="P76" s="146"/>
      <c r="Q76" s="146"/>
      <c r="R76" s="146"/>
      <c r="S76" s="146"/>
      <c r="T76" s="146"/>
      <c r="U76" s="146"/>
      <c r="V76" s="146"/>
      <c r="W76" s="146"/>
      <c r="X76" s="146"/>
      <c r="Y76" s="146"/>
      <c r="Z76" s="146">
        <f t="shared" si="10"/>
        <v>0</v>
      </c>
      <c r="AA76" s="151">
        <f t="shared" si="10"/>
        <v>0</v>
      </c>
      <c r="AB76" s="148"/>
      <c r="AC76" s="148"/>
      <c r="AD76" s="148"/>
      <c r="AE76" s="148"/>
      <c r="AF76" s="148"/>
      <c r="AG76" s="148"/>
      <c r="AH76" s="148"/>
      <c r="AJ76" s="145" t="s">
        <v>353</v>
      </c>
      <c r="AK76" s="145"/>
      <c r="AL76" s="145"/>
      <c r="AM76" s="145"/>
      <c r="AN76" s="145"/>
      <c r="AO76" s="145"/>
      <c r="AP76" s="145"/>
      <c r="AQ76" s="145"/>
      <c r="AR76" s="145"/>
      <c r="AS76" s="145"/>
      <c r="AT76" s="145"/>
      <c r="AU76" s="145"/>
      <c r="AV76" s="145"/>
      <c r="AW76" s="145"/>
      <c r="AX76" s="146"/>
      <c r="AY76" s="146"/>
      <c r="AZ76" s="146"/>
      <c r="BA76" s="146"/>
      <c r="BB76" s="146"/>
      <c r="BC76" s="146"/>
      <c r="BD76" s="146"/>
      <c r="BE76" s="146"/>
      <c r="BF76" s="146"/>
      <c r="BG76" s="146"/>
      <c r="BH76" s="146"/>
      <c r="BI76" s="146">
        <f t="shared" si="11"/>
        <v>0</v>
      </c>
      <c r="BJ76" s="151">
        <f t="shared" si="11"/>
        <v>0</v>
      </c>
      <c r="BK76" s="148"/>
      <c r="BL76" s="148"/>
      <c r="BM76" s="148"/>
      <c r="BN76" s="148"/>
      <c r="BO76" s="148"/>
      <c r="BP76" s="148"/>
      <c r="BQ76" s="148"/>
    </row>
    <row r="77" spans="1:69" x14ac:dyDescent="0.25">
      <c r="A77" s="145" t="s">
        <v>354</v>
      </c>
      <c r="B77" s="145"/>
      <c r="C77" s="145"/>
      <c r="D77" s="145"/>
      <c r="E77" s="145"/>
      <c r="F77" s="145"/>
      <c r="G77" s="145"/>
      <c r="H77" s="145"/>
      <c r="I77" s="145"/>
      <c r="J77" s="145"/>
      <c r="K77" s="145"/>
      <c r="L77" s="145"/>
      <c r="M77" s="145"/>
      <c r="N77" s="145"/>
      <c r="O77" s="146"/>
      <c r="P77" s="146"/>
      <c r="Q77" s="146"/>
      <c r="R77" s="146"/>
      <c r="S77" s="146"/>
      <c r="T77" s="146"/>
      <c r="U77" s="146"/>
      <c r="V77" s="146"/>
      <c r="W77" s="146"/>
      <c r="X77" s="146"/>
      <c r="Y77" s="146"/>
      <c r="Z77" s="146">
        <f t="shared" si="10"/>
        <v>0</v>
      </c>
      <c r="AA77" s="151">
        <f t="shared" si="10"/>
        <v>0</v>
      </c>
      <c r="AB77" s="148"/>
      <c r="AC77" s="148"/>
      <c r="AD77" s="148"/>
      <c r="AE77" s="148"/>
      <c r="AF77" s="148"/>
      <c r="AG77" s="148"/>
      <c r="AH77" s="148"/>
      <c r="AJ77" s="145" t="s">
        <v>354</v>
      </c>
      <c r="AK77" s="145"/>
      <c r="AL77" s="145"/>
      <c r="AM77" s="145"/>
      <c r="AN77" s="145"/>
      <c r="AO77" s="145"/>
      <c r="AP77" s="145"/>
      <c r="AQ77" s="145"/>
      <c r="AR77" s="145"/>
      <c r="AS77" s="145"/>
      <c r="AT77" s="145"/>
      <c r="AU77" s="145"/>
      <c r="AV77" s="145"/>
      <c r="AW77" s="145"/>
      <c r="AX77" s="146"/>
      <c r="AY77" s="146"/>
      <c r="AZ77" s="146"/>
      <c r="BA77" s="146"/>
      <c r="BB77" s="146"/>
      <c r="BC77" s="146"/>
      <c r="BD77" s="146"/>
      <c r="BE77" s="146"/>
      <c r="BF77" s="146"/>
      <c r="BG77" s="146"/>
      <c r="BH77" s="146"/>
      <c r="BI77" s="146">
        <f t="shared" si="11"/>
        <v>0</v>
      </c>
      <c r="BJ77" s="151">
        <f t="shared" si="11"/>
        <v>0</v>
      </c>
      <c r="BK77" s="148"/>
      <c r="BL77" s="148"/>
      <c r="BM77" s="148"/>
      <c r="BN77" s="148"/>
      <c r="BO77" s="148"/>
      <c r="BP77" s="148"/>
      <c r="BQ77" s="148"/>
    </row>
    <row r="78" spans="1:69" x14ac:dyDescent="0.25">
      <c r="A78" s="145" t="s">
        <v>355</v>
      </c>
      <c r="B78" s="145"/>
      <c r="C78" s="145"/>
      <c r="D78" s="145"/>
      <c r="E78" s="145"/>
      <c r="F78" s="145"/>
      <c r="G78" s="145"/>
      <c r="H78" s="145"/>
      <c r="I78" s="145"/>
      <c r="J78" s="145"/>
      <c r="K78" s="145"/>
      <c r="L78" s="145"/>
      <c r="M78" s="145"/>
      <c r="N78" s="145"/>
      <c r="O78" s="146"/>
      <c r="P78" s="146"/>
      <c r="Q78" s="146"/>
      <c r="R78" s="146"/>
      <c r="S78" s="146"/>
      <c r="T78" s="146"/>
      <c r="U78" s="146"/>
      <c r="V78" s="146"/>
      <c r="W78" s="146"/>
      <c r="X78" s="146"/>
      <c r="Y78" s="146"/>
      <c r="Z78" s="146">
        <f t="shared" si="10"/>
        <v>0</v>
      </c>
      <c r="AA78" s="151">
        <f t="shared" si="10"/>
        <v>0</v>
      </c>
      <c r="AB78" s="148"/>
      <c r="AC78" s="148"/>
      <c r="AD78" s="148"/>
      <c r="AE78" s="148"/>
      <c r="AF78" s="148"/>
      <c r="AG78" s="148"/>
      <c r="AH78" s="148"/>
      <c r="AJ78" s="145" t="s">
        <v>355</v>
      </c>
      <c r="AK78" s="145"/>
      <c r="AL78" s="145"/>
      <c r="AM78" s="145"/>
      <c r="AN78" s="145"/>
      <c r="AO78" s="145"/>
      <c r="AP78" s="145"/>
      <c r="AQ78" s="145"/>
      <c r="AR78" s="145"/>
      <c r="AS78" s="145"/>
      <c r="AT78" s="145"/>
      <c r="AU78" s="145"/>
      <c r="AV78" s="145"/>
      <c r="AW78" s="145"/>
      <c r="AX78" s="146"/>
      <c r="AY78" s="146"/>
      <c r="AZ78" s="146"/>
      <c r="BA78" s="146"/>
      <c r="BB78" s="146"/>
      <c r="BC78" s="146"/>
      <c r="BD78" s="146"/>
      <c r="BE78" s="146"/>
      <c r="BF78" s="146"/>
      <c r="BG78" s="146"/>
      <c r="BH78" s="146"/>
      <c r="BI78" s="146">
        <f t="shared" si="11"/>
        <v>0</v>
      </c>
      <c r="BJ78" s="151">
        <f t="shared" si="11"/>
        <v>0</v>
      </c>
      <c r="BK78" s="148"/>
      <c r="BL78" s="148"/>
      <c r="BM78" s="148"/>
      <c r="BN78" s="148"/>
      <c r="BO78" s="148"/>
      <c r="BP78" s="148"/>
      <c r="BQ78" s="148"/>
    </row>
    <row r="79" spans="1:69" x14ac:dyDescent="0.25">
      <c r="A79" s="145" t="s">
        <v>356</v>
      </c>
      <c r="B79" s="145"/>
      <c r="C79" s="145"/>
      <c r="D79" s="145"/>
      <c r="E79" s="145"/>
      <c r="F79" s="145"/>
      <c r="G79" s="145"/>
      <c r="H79" s="145"/>
      <c r="I79" s="145"/>
      <c r="J79" s="145"/>
      <c r="K79" s="145"/>
      <c r="L79" s="145"/>
      <c r="M79" s="145"/>
      <c r="N79" s="145"/>
      <c r="O79" s="146"/>
      <c r="P79" s="146"/>
      <c r="Q79" s="146"/>
      <c r="R79" s="146"/>
      <c r="S79" s="146"/>
      <c r="T79" s="146"/>
      <c r="U79" s="146"/>
      <c r="V79" s="146"/>
      <c r="W79" s="146"/>
      <c r="X79" s="146"/>
      <c r="Y79" s="146"/>
      <c r="Z79" s="146">
        <f t="shared" si="10"/>
        <v>0</v>
      </c>
      <c r="AA79" s="151">
        <f t="shared" si="10"/>
        <v>0</v>
      </c>
      <c r="AB79" s="148"/>
      <c r="AC79" s="148"/>
      <c r="AD79" s="148"/>
      <c r="AE79" s="148"/>
      <c r="AF79" s="148"/>
      <c r="AG79" s="148"/>
      <c r="AH79" s="148"/>
      <c r="AJ79" s="145" t="s">
        <v>356</v>
      </c>
      <c r="AK79" s="145"/>
      <c r="AL79" s="145"/>
      <c r="AM79" s="145"/>
      <c r="AN79" s="145"/>
      <c r="AO79" s="145"/>
      <c r="AP79" s="145"/>
      <c r="AQ79" s="145"/>
      <c r="AR79" s="145"/>
      <c r="AS79" s="145"/>
      <c r="AT79" s="145"/>
      <c r="AU79" s="145"/>
      <c r="AV79" s="145"/>
      <c r="AW79" s="145"/>
      <c r="AX79" s="146"/>
      <c r="AY79" s="146"/>
      <c r="AZ79" s="146"/>
      <c r="BA79" s="146"/>
      <c r="BB79" s="146"/>
      <c r="BC79" s="146"/>
      <c r="BD79" s="146"/>
      <c r="BE79" s="146"/>
      <c r="BF79" s="146"/>
      <c r="BG79" s="146"/>
      <c r="BH79" s="146"/>
      <c r="BI79" s="146">
        <f t="shared" si="11"/>
        <v>0</v>
      </c>
      <c r="BJ79" s="151">
        <f t="shared" si="11"/>
        <v>0</v>
      </c>
      <c r="BK79" s="148"/>
      <c r="BL79" s="148"/>
      <c r="BM79" s="148"/>
      <c r="BN79" s="148"/>
      <c r="BO79" s="148"/>
      <c r="BP79" s="148"/>
      <c r="BQ79" s="148"/>
    </row>
    <row r="80" spans="1:69" x14ac:dyDescent="0.25">
      <c r="A80" s="145" t="s">
        <v>357</v>
      </c>
      <c r="B80" s="145"/>
      <c r="C80" s="145"/>
      <c r="D80" s="145"/>
      <c r="E80" s="145"/>
      <c r="F80" s="145"/>
      <c r="G80" s="145"/>
      <c r="H80" s="145"/>
      <c r="I80" s="145"/>
      <c r="J80" s="145"/>
      <c r="K80" s="145"/>
      <c r="L80" s="145"/>
      <c r="M80" s="145"/>
      <c r="N80" s="145"/>
      <c r="O80" s="146"/>
      <c r="P80" s="146"/>
      <c r="Q80" s="146"/>
      <c r="R80" s="146"/>
      <c r="S80" s="146"/>
      <c r="T80" s="146"/>
      <c r="U80" s="146"/>
      <c r="V80" s="146"/>
      <c r="W80" s="146"/>
      <c r="X80" s="146"/>
      <c r="Y80" s="146"/>
      <c r="Z80" s="146">
        <f t="shared" si="10"/>
        <v>0</v>
      </c>
      <c r="AA80" s="151">
        <f t="shared" si="10"/>
        <v>0</v>
      </c>
      <c r="AB80" s="148"/>
      <c r="AC80" s="148"/>
      <c r="AD80" s="148"/>
      <c r="AE80" s="148"/>
      <c r="AF80" s="148"/>
      <c r="AG80" s="148"/>
      <c r="AH80" s="148"/>
      <c r="AJ80" s="145" t="s">
        <v>357</v>
      </c>
      <c r="AK80" s="145"/>
      <c r="AL80" s="145"/>
      <c r="AM80" s="145"/>
      <c r="AN80" s="145"/>
      <c r="AO80" s="145"/>
      <c r="AP80" s="145"/>
      <c r="AQ80" s="145"/>
      <c r="AR80" s="145"/>
      <c r="AS80" s="145"/>
      <c r="AT80" s="145"/>
      <c r="AU80" s="145"/>
      <c r="AV80" s="145"/>
      <c r="AW80" s="145"/>
      <c r="AX80" s="146"/>
      <c r="AY80" s="146"/>
      <c r="AZ80" s="146"/>
      <c r="BA80" s="146"/>
      <c r="BB80" s="146"/>
      <c r="BC80" s="146"/>
      <c r="BD80" s="146"/>
      <c r="BE80" s="146"/>
      <c r="BF80" s="146"/>
      <c r="BG80" s="146"/>
      <c r="BH80" s="146"/>
      <c r="BI80" s="146">
        <f t="shared" si="11"/>
        <v>0</v>
      </c>
      <c r="BJ80" s="151">
        <f t="shared" si="11"/>
        <v>0</v>
      </c>
      <c r="BK80" s="148"/>
      <c r="BL80" s="148"/>
      <c r="BM80" s="148"/>
      <c r="BN80" s="148"/>
      <c r="BO80" s="148"/>
      <c r="BP80" s="148"/>
      <c r="BQ80" s="148"/>
    </row>
    <row r="81" spans="1:69" x14ac:dyDescent="0.25">
      <c r="A81" s="145" t="s">
        <v>358</v>
      </c>
      <c r="B81" s="145"/>
      <c r="C81" s="145"/>
      <c r="D81" s="145"/>
      <c r="E81" s="145"/>
      <c r="F81" s="145"/>
      <c r="G81" s="145"/>
      <c r="H81" s="145"/>
      <c r="I81" s="145"/>
      <c r="J81" s="145"/>
      <c r="K81" s="145"/>
      <c r="L81" s="145"/>
      <c r="M81" s="145"/>
      <c r="N81" s="145"/>
      <c r="O81" s="146"/>
      <c r="P81" s="146"/>
      <c r="Q81" s="146"/>
      <c r="R81" s="146"/>
      <c r="S81" s="146"/>
      <c r="T81" s="146"/>
      <c r="U81" s="146"/>
      <c r="V81" s="146"/>
      <c r="W81" s="146"/>
      <c r="X81" s="146"/>
      <c r="Y81" s="146"/>
      <c r="Z81" s="146">
        <f t="shared" si="10"/>
        <v>0</v>
      </c>
      <c r="AA81" s="151">
        <f t="shared" si="10"/>
        <v>0</v>
      </c>
      <c r="AB81" s="148"/>
      <c r="AC81" s="148"/>
      <c r="AD81" s="148"/>
      <c r="AE81" s="148"/>
      <c r="AF81" s="148"/>
      <c r="AG81" s="148"/>
      <c r="AH81" s="148"/>
      <c r="AJ81" s="145" t="s">
        <v>358</v>
      </c>
      <c r="AK81" s="145"/>
      <c r="AL81" s="145"/>
      <c r="AM81" s="145"/>
      <c r="AN81" s="145"/>
      <c r="AO81" s="145"/>
      <c r="AP81" s="145"/>
      <c r="AQ81" s="145"/>
      <c r="AR81" s="145"/>
      <c r="AS81" s="145"/>
      <c r="AT81" s="145"/>
      <c r="AU81" s="145"/>
      <c r="AV81" s="145"/>
      <c r="AW81" s="145"/>
      <c r="AX81" s="146"/>
      <c r="AY81" s="146"/>
      <c r="AZ81" s="146"/>
      <c r="BA81" s="146"/>
      <c r="BB81" s="146"/>
      <c r="BC81" s="146"/>
      <c r="BD81" s="146"/>
      <c r="BE81" s="146"/>
      <c r="BF81" s="146"/>
      <c r="BG81" s="146"/>
      <c r="BH81" s="146"/>
      <c r="BI81" s="146">
        <f t="shared" si="11"/>
        <v>0</v>
      </c>
      <c r="BJ81" s="151">
        <f t="shared" si="11"/>
        <v>0</v>
      </c>
      <c r="BK81" s="148"/>
      <c r="BL81" s="148"/>
      <c r="BM81" s="148"/>
      <c r="BN81" s="148"/>
      <c r="BO81" s="148"/>
      <c r="BP81" s="148"/>
      <c r="BQ81" s="148"/>
    </row>
    <row r="82" spans="1:69" ht="187.5" customHeight="1" x14ac:dyDescent="0.25">
      <c r="A82" s="145" t="s">
        <v>359</v>
      </c>
      <c r="B82" s="145">
        <v>150</v>
      </c>
      <c r="C82" s="145"/>
      <c r="D82" s="145">
        <v>370</v>
      </c>
      <c r="E82" s="145"/>
      <c r="F82" s="145">
        <v>370</v>
      </c>
      <c r="G82" s="145"/>
      <c r="H82" s="145"/>
      <c r="I82" s="145"/>
      <c r="J82" s="145"/>
      <c r="K82" s="145"/>
      <c r="L82" s="145"/>
      <c r="M82" s="145"/>
      <c r="N82" s="145"/>
      <c r="O82" s="146"/>
      <c r="P82" s="145"/>
      <c r="Q82" s="146"/>
      <c r="R82" s="145"/>
      <c r="S82" s="146"/>
      <c r="T82" s="145"/>
      <c r="U82" s="146"/>
      <c r="V82" s="146"/>
      <c r="W82" s="146"/>
      <c r="X82" s="146"/>
      <c r="Y82" s="146"/>
      <c r="Z82" s="146">
        <f t="shared" si="10"/>
        <v>890</v>
      </c>
      <c r="AA82" s="151">
        <f t="shared" si="10"/>
        <v>0</v>
      </c>
      <c r="AB82" s="291" t="s">
        <v>370</v>
      </c>
      <c r="AC82" s="145">
        <v>0</v>
      </c>
      <c r="AD82" s="145">
        <v>0</v>
      </c>
      <c r="AE82" s="145">
        <v>0</v>
      </c>
      <c r="AF82" s="145">
        <v>128</v>
      </c>
      <c r="AG82" s="145">
        <v>251</v>
      </c>
      <c r="AH82" s="291">
        <v>6</v>
      </c>
      <c r="AJ82" s="145" t="s">
        <v>359</v>
      </c>
      <c r="AK82" s="145">
        <v>338</v>
      </c>
      <c r="AL82" s="145"/>
      <c r="AM82" s="145">
        <v>578</v>
      </c>
      <c r="AN82" s="145"/>
      <c r="AO82" s="145">
        <v>562</v>
      </c>
      <c r="AP82" s="145"/>
      <c r="AQ82" s="145"/>
      <c r="AR82" s="145"/>
      <c r="AS82" s="145"/>
      <c r="AT82" s="145"/>
      <c r="AU82" s="145"/>
      <c r="AV82" s="145"/>
      <c r="AW82" s="145"/>
      <c r="AX82" s="146"/>
      <c r="AY82" s="146"/>
      <c r="AZ82" s="146"/>
      <c r="BA82" s="146"/>
      <c r="BB82" s="146"/>
      <c r="BC82" s="146"/>
      <c r="BD82" s="146"/>
      <c r="BE82" s="146"/>
      <c r="BF82" s="146"/>
      <c r="BG82" s="146"/>
      <c r="BH82" s="146"/>
      <c r="BI82" s="146">
        <f t="shared" si="11"/>
        <v>1478</v>
      </c>
      <c r="BJ82" s="151">
        <f t="shared" si="11"/>
        <v>0</v>
      </c>
      <c r="BK82" s="291" t="s">
        <v>370</v>
      </c>
      <c r="BL82" s="145">
        <v>0</v>
      </c>
      <c r="BM82" s="145">
        <v>0</v>
      </c>
      <c r="BN82" s="145">
        <v>0</v>
      </c>
      <c r="BO82" s="145">
        <v>128</v>
      </c>
      <c r="BP82" s="145">
        <v>251</v>
      </c>
      <c r="BQ82" s="291">
        <v>6</v>
      </c>
    </row>
    <row r="83" spans="1:69" x14ac:dyDescent="0.25">
      <c r="A83" s="145" t="s">
        <v>360</v>
      </c>
      <c r="B83" s="145"/>
      <c r="C83" s="145"/>
      <c r="D83" s="145"/>
      <c r="E83" s="145"/>
      <c r="F83" s="145"/>
      <c r="G83" s="145"/>
      <c r="H83" s="145"/>
      <c r="I83" s="145"/>
      <c r="J83" s="145"/>
      <c r="K83" s="145"/>
      <c r="L83" s="145"/>
      <c r="M83" s="145"/>
      <c r="N83" s="145"/>
      <c r="O83" s="146"/>
      <c r="P83" s="146"/>
      <c r="Q83" s="146"/>
      <c r="R83" s="146"/>
      <c r="S83" s="146"/>
      <c r="T83" s="146"/>
      <c r="U83" s="146"/>
      <c r="V83" s="146"/>
      <c r="W83" s="146"/>
      <c r="X83" s="146"/>
      <c r="Y83" s="146"/>
      <c r="Z83" s="146">
        <f t="shared" si="10"/>
        <v>0</v>
      </c>
      <c r="AA83" s="151">
        <f t="shared" si="10"/>
        <v>0</v>
      </c>
      <c r="AB83" s="148"/>
      <c r="AC83" s="148"/>
      <c r="AD83" s="148"/>
      <c r="AE83" s="148"/>
      <c r="AF83" s="148"/>
      <c r="AG83" s="148"/>
      <c r="AH83" s="148"/>
      <c r="AJ83" s="145" t="s">
        <v>360</v>
      </c>
      <c r="AK83" s="145"/>
      <c r="AL83" s="145"/>
      <c r="AM83" s="145"/>
      <c r="AN83" s="145"/>
      <c r="AO83" s="145"/>
      <c r="AP83" s="145"/>
      <c r="AQ83" s="145"/>
      <c r="AR83" s="145"/>
      <c r="AS83" s="145"/>
      <c r="AT83" s="145"/>
      <c r="AU83" s="145"/>
      <c r="AV83" s="145"/>
      <c r="AW83" s="145"/>
      <c r="AX83" s="146"/>
      <c r="AY83" s="146"/>
      <c r="AZ83" s="146"/>
      <c r="BA83" s="146"/>
      <c r="BB83" s="146"/>
      <c r="BC83" s="146"/>
      <c r="BD83" s="146"/>
      <c r="BE83" s="146"/>
      <c r="BF83" s="146"/>
      <c r="BG83" s="146"/>
      <c r="BH83" s="146"/>
      <c r="BI83" s="146">
        <f t="shared" si="11"/>
        <v>0</v>
      </c>
      <c r="BJ83" s="151">
        <f t="shared" si="11"/>
        <v>0</v>
      </c>
      <c r="BK83" s="148"/>
      <c r="BL83" s="148"/>
      <c r="BM83" s="148"/>
      <c r="BN83" s="148"/>
      <c r="BO83" s="148"/>
      <c r="BP83" s="148"/>
      <c r="BQ83" s="148"/>
    </row>
    <row r="84" spans="1:69" x14ac:dyDescent="0.25">
      <c r="A84" s="145" t="s">
        <v>361</v>
      </c>
      <c r="B84" s="145"/>
      <c r="C84" s="145"/>
      <c r="D84" s="145"/>
      <c r="E84" s="145"/>
      <c r="F84" s="145"/>
      <c r="G84" s="145"/>
      <c r="H84" s="145"/>
      <c r="I84" s="145"/>
      <c r="J84" s="145"/>
      <c r="K84" s="145"/>
      <c r="L84" s="145"/>
      <c r="M84" s="145"/>
      <c r="N84" s="145"/>
      <c r="O84" s="146"/>
      <c r="P84" s="146"/>
      <c r="Q84" s="146"/>
      <c r="R84" s="146"/>
      <c r="S84" s="146"/>
      <c r="T84" s="146"/>
      <c r="U84" s="146"/>
      <c r="V84" s="146"/>
      <c r="W84" s="146"/>
      <c r="X84" s="146"/>
      <c r="Y84" s="146"/>
      <c r="Z84" s="146">
        <f t="shared" si="10"/>
        <v>0</v>
      </c>
      <c r="AA84" s="151">
        <f t="shared" si="10"/>
        <v>0</v>
      </c>
      <c r="AB84" s="148"/>
      <c r="AC84" s="148"/>
      <c r="AD84" s="148"/>
      <c r="AE84" s="148"/>
      <c r="AF84" s="148"/>
      <c r="AG84" s="148"/>
      <c r="AH84" s="148"/>
      <c r="AJ84" s="145" t="s">
        <v>361</v>
      </c>
      <c r="AK84" s="145"/>
      <c r="AL84" s="145"/>
      <c r="AM84" s="145"/>
      <c r="AN84" s="145"/>
      <c r="AO84" s="145"/>
      <c r="AP84" s="145"/>
      <c r="AQ84" s="145"/>
      <c r="AR84" s="145"/>
      <c r="AS84" s="145"/>
      <c r="AT84" s="145"/>
      <c r="AU84" s="145"/>
      <c r="AV84" s="145"/>
      <c r="AW84" s="145"/>
      <c r="AX84" s="146"/>
      <c r="AY84" s="146"/>
      <c r="AZ84" s="146"/>
      <c r="BA84" s="146"/>
      <c r="BB84" s="146"/>
      <c r="BC84" s="146"/>
      <c r="BD84" s="146"/>
      <c r="BE84" s="146"/>
      <c r="BF84" s="146"/>
      <c r="BG84" s="146"/>
      <c r="BH84" s="146"/>
      <c r="BI84" s="146">
        <f t="shared" si="11"/>
        <v>0</v>
      </c>
      <c r="BJ84" s="151">
        <f t="shared" si="11"/>
        <v>0</v>
      </c>
      <c r="BK84" s="148"/>
      <c r="BL84" s="148"/>
      <c r="BM84" s="148"/>
      <c r="BN84" s="148"/>
      <c r="BO84" s="148"/>
      <c r="BP84" s="148"/>
      <c r="BQ84" s="148"/>
    </row>
    <row r="85" spans="1:69" x14ac:dyDescent="0.25">
      <c r="A85" s="145" t="s">
        <v>362</v>
      </c>
      <c r="B85" s="145"/>
      <c r="C85" s="145"/>
      <c r="D85" s="145"/>
      <c r="E85" s="145"/>
      <c r="F85" s="145"/>
      <c r="G85" s="145"/>
      <c r="H85" s="145"/>
      <c r="I85" s="145"/>
      <c r="J85" s="145"/>
      <c r="K85" s="145"/>
      <c r="L85" s="145"/>
      <c r="M85" s="145"/>
      <c r="N85" s="145"/>
      <c r="O85" s="146"/>
      <c r="P85" s="146"/>
      <c r="Q85" s="146"/>
      <c r="R85" s="146"/>
      <c r="S85" s="146"/>
      <c r="T85" s="146"/>
      <c r="U85" s="146"/>
      <c r="V85" s="146"/>
      <c r="W85" s="146"/>
      <c r="X85" s="146"/>
      <c r="Y85" s="146"/>
      <c r="Z85" s="146">
        <f t="shared" si="10"/>
        <v>0</v>
      </c>
      <c r="AA85" s="151">
        <f t="shared" si="10"/>
        <v>0</v>
      </c>
      <c r="AB85" s="148"/>
      <c r="AC85" s="148"/>
      <c r="AD85" s="148"/>
      <c r="AE85" s="148"/>
      <c r="AF85" s="148"/>
      <c r="AG85" s="148"/>
      <c r="AH85" s="148"/>
      <c r="AJ85" s="145" t="s">
        <v>362</v>
      </c>
      <c r="AK85" s="145"/>
      <c r="AL85" s="145"/>
      <c r="AM85" s="145"/>
      <c r="AN85" s="145"/>
      <c r="AO85" s="145"/>
      <c r="AP85" s="145"/>
      <c r="AQ85" s="145"/>
      <c r="AR85" s="145"/>
      <c r="AS85" s="145"/>
      <c r="AT85" s="145"/>
      <c r="AU85" s="145"/>
      <c r="AV85" s="145"/>
      <c r="AW85" s="145"/>
      <c r="AX85" s="146"/>
      <c r="AY85" s="146"/>
      <c r="AZ85" s="146"/>
      <c r="BA85" s="146"/>
      <c r="BB85" s="146"/>
      <c r="BC85" s="146"/>
      <c r="BD85" s="146"/>
      <c r="BE85" s="146"/>
      <c r="BF85" s="146"/>
      <c r="BG85" s="146"/>
      <c r="BH85" s="146"/>
      <c r="BI85" s="146">
        <f t="shared" si="11"/>
        <v>0</v>
      </c>
      <c r="BJ85" s="151">
        <f t="shared" si="11"/>
        <v>0</v>
      </c>
      <c r="BK85" s="148"/>
      <c r="BL85" s="148"/>
      <c r="BM85" s="148"/>
      <c r="BN85" s="148"/>
      <c r="BO85" s="148"/>
      <c r="BP85" s="148"/>
      <c r="BQ85" s="148"/>
    </row>
    <row r="86" spans="1:69" x14ac:dyDescent="0.25">
      <c r="A86" s="145" t="s">
        <v>363</v>
      </c>
      <c r="B86" s="145"/>
      <c r="C86" s="145"/>
      <c r="D86" s="145"/>
      <c r="E86" s="145"/>
      <c r="F86" s="145"/>
      <c r="G86" s="145"/>
      <c r="H86" s="145"/>
      <c r="I86" s="145"/>
      <c r="J86" s="145"/>
      <c r="K86" s="145"/>
      <c r="L86" s="145"/>
      <c r="M86" s="145"/>
      <c r="N86" s="145"/>
      <c r="O86" s="146"/>
      <c r="P86" s="146"/>
      <c r="Q86" s="146"/>
      <c r="R86" s="146"/>
      <c r="S86" s="146"/>
      <c r="T86" s="146"/>
      <c r="U86" s="146"/>
      <c r="V86" s="146"/>
      <c r="W86" s="146"/>
      <c r="X86" s="146"/>
      <c r="Y86" s="146"/>
      <c r="Z86" s="146">
        <f t="shared" si="10"/>
        <v>0</v>
      </c>
      <c r="AA86" s="151">
        <f t="shared" si="10"/>
        <v>0</v>
      </c>
      <c r="AB86" s="148"/>
      <c r="AC86" s="148"/>
      <c r="AD86" s="148"/>
      <c r="AE86" s="148"/>
      <c r="AF86" s="148"/>
      <c r="AG86" s="148"/>
      <c r="AH86" s="148"/>
      <c r="AJ86" s="145" t="s">
        <v>363</v>
      </c>
      <c r="AK86" s="145"/>
      <c r="AL86" s="145"/>
      <c r="AM86" s="145"/>
      <c r="AN86" s="145"/>
      <c r="AO86" s="145"/>
      <c r="AP86" s="145"/>
      <c r="AQ86" s="145"/>
      <c r="AR86" s="145"/>
      <c r="AS86" s="145"/>
      <c r="AT86" s="145"/>
      <c r="AU86" s="145"/>
      <c r="AV86" s="145"/>
      <c r="AW86" s="145"/>
      <c r="AX86" s="146"/>
      <c r="AY86" s="146"/>
      <c r="AZ86" s="146"/>
      <c r="BA86" s="146"/>
      <c r="BB86" s="146"/>
      <c r="BC86" s="146"/>
      <c r="BD86" s="146"/>
      <c r="BE86" s="146"/>
      <c r="BF86" s="146"/>
      <c r="BG86" s="146"/>
      <c r="BH86" s="146"/>
      <c r="BI86" s="146">
        <f t="shared" si="11"/>
        <v>0</v>
      </c>
      <c r="BJ86" s="151">
        <f t="shared" si="11"/>
        <v>0</v>
      </c>
      <c r="BK86" s="148"/>
      <c r="BL86" s="148"/>
      <c r="BM86" s="148"/>
      <c r="BN86" s="148"/>
      <c r="BO86" s="148"/>
      <c r="BP86" s="148"/>
      <c r="BQ86" s="148"/>
    </row>
    <row r="87" spans="1:69" x14ac:dyDescent="0.25">
      <c r="A87" s="145" t="s">
        <v>364</v>
      </c>
      <c r="B87" s="145"/>
      <c r="C87" s="145"/>
      <c r="D87" s="145"/>
      <c r="E87" s="145"/>
      <c r="F87" s="145"/>
      <c r="G87" s="145"/>
      <c r="H87" s="145"/>
      <c r="I87" s="145"/>
      <c r="J87" s="145"/>
      <c r="K87" s="145"/>
      <c r="L87" s="145"/>
      <c r="M87" s="145"/>
      <c r="N87" s="145"/>
      <c r="O87" s="146"/>
      <c r="P87" s="146"/>
      <c r="Q87" s="146"/>
      <c r="R87" s="146"/>
      <c r="S87" s="146"/>
      <c r="T87" s="146"/>
      <c r="U87" s="146"/>
      <c r="V87" s="146"/>
      <c r="W87" s="146"/>
      <c r="X87" s="146"/>
      <c r="Y87" s="146"/>
      <c r="Z87" s="146">
        <f t="shared" si="10"/>
        <v>0</v>
      </c>
      <c r="AA87" s="151">
        <f t="shared" si="10"/>
        <v>0</v>
      </c>
      <c r="AB87" s="148"/>
      <c r="AC87" s="148"/>
      <c r="AD87" s="148"/>
      <c r="AE87" s="148"/>
      <c r="AF87" s="148"/>
      <c r="AG87" s="148"/>
      <c r="AH87" s="148"/>
      <c r="AJ87" s="145" t="s">
        <v>364</v>
      </c>
      <c r="AK87" s="145"/>
      <c r="AL87" s="145"/>
      <c r="AM87" s="145"/>
      <c r="AN87" s="145"/>
      <c r="AO87" s="145"/>
      <c r="AP87" s="145"/>
      <c r="AQ87" s="145"/>
      <c r="AR87" s="145"/>
      <c r="AS87" s="145"/>
      <c r="AT87" s="145"/>
      <c r="AU87" s="145"/>
      <c r="AV87" s="145"/>
      <c r="AW87" s="145"/>
      <c r="AX87" s="146"/>
      <c r="AY87" s="146"/>
      <c r="AZ87" s="146"/>
      <c r="BA87" s="146"/>
      <c r="BB87" s="146"/>
      <c r="BC87" s="146"/>
      <c r="BD87" s="146"/>
      <c r="BE87" s="146"/>
      <c r="BF87" s="146"/>
      <c r="BG87" s="146"/>
      <c r="BH87" s="146"/>
      <c r="BI87" s="146">
        <f t="shared" si="11"/>
        <v>0</v>
      </c>
      <c r="BJ87" s="151">
        <f t="shared" si="11"/>
        <v>0</v>
      </c>
      <c r="BK87" s="148"/>
      <c r="BL87" s="148"/>
      <c r="BM87" s="148"/>
      <c r="BN87" s="148"/>
      <c r="BO87" s="148"/>
      <c r="BP87" s="148"/>
      <c r="BQ87" s="148"/>
    </row>
    <row r="88" spans="1:69" x14ac:dyDescent="0.25">
      <c r="A88" s="145" t="s">
        <v>365</v>
      </c>
      <c r="B88" s="145"/>
      <c r="C88" s="145"/>
      <c r="D88" s="145"/>
      <c r="E88" s="145"/>
      <c r="F88" s="145"/>
      <c r="G88" s="145"/>
      <c r="H88" s="145"/>
      <c r="I88" s="145"/>
      <c r="J88" s="145"/>
      <c r="K88" s="145"/>
      <c r="L88" s="145"/>
      <c r="M88" s="145"/>
      <c r="N88" s="145"/>
      <c r="O88" s="146"/>
      <c r="P88" s="146"/>
      <c r="Q88" s="146"/>
      <c r="R88" s="146"/>
      <c r="S88" s="146"/>
      <c r="T88" s="146"/>
      <c r="U88" s="146"/>
      <c r="V88" s="146"/>
      <c r="W88" s="146"/>
      <c r="X88" s="146"/>
      <c r="Y88" s="146"/>
      <c r="Z88" s="146">
        <f t="shared" si="10"/>
        <v>0</v>
      </c>
      <c r="AA88" s="151">
        <f t="shared" si="10"/>
        <v>0</v>
      </c>
      <c r="AB88" s="148"/>
      <c r="AC88" s="148"/>
      <c r="AD88" s="148"/>
      <c r="AE88" s="148"/>
      <c r="AF88" s="148"/>
      <c r="AG88" s="148"/>
      <c r="AH88" s="148"/>
      <c r="AJ88" s="145" t="s">
        <v>365</v>
      </c>
      <c r="AK88" s="145"/>
      <c r="AL88" s="145"/>
      <c r="AM88" s="145"/>
      <c r="AN88" s="145"/>
      <c r="AO88" s="145"/>
      <c r="AP88" s="145"/>
      <c r="AQ88" s="145"/>
      <c r="AR88" s="145"/>
      <c r="AS88" s="145"/>
      <c r="AT88" s="145"/>
      <c r="AU88" s="145"/>
      <c r="AV88" s="145"/>
      <c r="AW88" s="145"/>
      <c r="AX88" s="146"/>
      <c r="AY88" s="146"/>
      <c r="AZ88" s="146"/>
      <c r="BA88" s="146"/>
      <c r="BB88" s="146"/>
      <c r="BC88" s="146"/>
      <c r="BD88" s="146"/>
      <c r="BE88" s="146"/>
      <c r="BF88" s="146"/>
      <c r="BG88" s="146"/>
      <c r="BH88" s="146"/>
      <c r="BI88" s="146">
        <f t="shared" si="11"/>
        <v>0</v>
      </c>
      <c r="BJ88" s="151">
        <f t="shared" si="11"/>
        <v>0</v>
      </c>
      <c r="BK88" s="148"/>
      <c r="BL88" s="148"/>
      <c r="BM88" s="148"/>
      <c r="BN88" s="148"/>
      <c r="BO88" s="148"/>
      <c r="BP88" s="148"/>
      <c r="BQ88" s="148"/>
    </row>
    <row r="89" spans="1:69" x14ac:dyDescent="0.25">
      <c r="A89" s="149" t="s">
        <v>366</v>
      </c>
      <c r="B89" s="147">
        <f>SUM(B69:B88)</f>
        <v>150</v>
      </c>
      <c r="C89" s="147">
        <f t="shared" ref="C89:AH89" si="12">SUM(C69:C88)</f>
        <v>0</v>
      </c>
      <c r="D89" s="147">
        <f t="shared" si="12"/>
        <v>370</v>
      </c>
      <c r="E89" s="147">
        <f t="shared" si="12"/>
        <v>0</v>
      </c>
      <c r="F89" s="147">
        <f t="shared" si="12"/>
        <v>370</v>
      </c>
      <c r="G89" s="147">
        <f t="shared" si="12"/>
        <v>0</v>
      </c>
      <c r="H89" s="147">
        <f t="shared" si="12"/>
        <v>0</v>
      </c>
      <c r="I89" s="147">
        <f t="shared" si="12"/>
        <v>0</v>
      </c>
      <c r="J89" s="147">
        <f t="shared" si="12"/>
        <v>0</v>
      </c>
      <c r="K89" s="147">
        <f t="shared" si="12"/>
        <v>0</v>
      </c>
      <c r="L89" s="147">
        <f t="shared" si="12"/>
        <v>0</v>
      </c>
      <c r="M89" s="147">
        <f t="shared" si="12"/>
        <v>0</v>
      </c>
      <c r="N89" s="147">
        <f t="shared" si="12"/>
        <v>0</v>
      </c>
      <c r="O89" s="147">
        <f t="shared" si="12"/>
        <v>0</v>
      </c>
      <c r="P89" s="147">
        <f t="shared" si="12"/>
        <v>0</v>
      </c>
      <c r="Q89" s="147">
        <f t="shared" si="12"/>
        <v>0</v>
      </c>
      <c r="R89" s="147">
        <f t="shared" si="12"/>
        <v>0</v>
      </c>
      <c r="S89" s="147">
        <f t="shared" si="12"/>
        <v>0</v>
      </c>
      <c r="T89" s="147">
        <f t="shared" si="12"/>
        <v>0</v>
      </c>
      <c r="U89" s="147">
        <f t="shared" si="12"/>
        <v>0</v>
      </c>
      <c r="V89" s="147">
        <f t="shared" si="12"/>
        <v>0</v>
      </c>
      <c r="W89" s="147">
        <f t="shared" si="12"/>
        <v>0</v>
      </c>
      <c r="X89" s="147">
        <f t="shared" si="12"/>
        <v>0</v>
      </c>
      <c r="Y89" s="147">
        <f t="shared" si="12"/>
        <v>0</v>
      </c>
      <c r="Z89" s="147">
        <f t="shared" si="12"/>
        <v>890</v>
      </c>
      <c r="AA89" s="147">
        <f t="shared" si="12"/>
        <v>0</v>
      </c>
      <c r="AB89" s="147">
        <v>385</v>
      </c>
      <c r="AC89" s="147">
        <f t="shared" si="12"/>
        <v>0</v>
      </c>
      <c r="AD89" s="147">
        <f t="shared" si="12"/>
        <v>0</v>
      </c>
      <c r="AE89" s="147">
        <f t="shared" si="12"/>
        <v>0</v>
      </c>
      <c r="AF89" s="147">
        <f t="shared" si="12"/>
        <v>128</v>
      </c>
      <c r="AG89" s="147">
        <f t="shared" si="12"/>
        <v>251</v>
      </c>
      <c r="AH89" s="147">
        <f t="shared" si="12"/>
        <v>6</v>
      </c>
      <c r="AJ89" s="149" t="s">
        <v>366</v>
      </c>
      <c r="AK89" s="147">
        <f t="shared" ref="AK89:BQ89" si="13">SUM(AK69:AK88)</f>
        <v>338</v>
      </c>
      <c r="AL89" s="147">
        <f t="shared" si="13"/>
        <v>0</v>
      </c>
      <c r="AM89" s="147">
        <f t="shared" si="13"/>
        <v>578</v>
      </c>
      <c r="AN89" s="147">
        <f t="shared" si="13"/>
        <v>0</v>
      </c>
      <c r="AO89" s="147">
        <f t="shared" si="13"/>
        <v>562</v>
      </c>
      <c r="AP89" s="147">
        <f t="shared" si="13"/>
        <v>0</v>
      </c>
      <c r="AQ89" s="147">
        <f t="shared" si="13"/>
        <v>0</v>
      </c>
      <c r="AR89" s="147">
        <f t="shared" si="13"/>
        <v>0</v>
      </c>
      <c r="AS89" s="147">
        <f t="shared" si="13"/>
        <v>0</v>
      </c>
      <c r="AT89" s="147">
        <f t="shared" si="13"/>
        <v>0</v>
      </c>
      <c r="AU89" s="147">
        <f t="shared" si="13"/>
        <v>0</v>
      </c>
      <c r="AV89" s="147">
        <f t="shared" si="13"/>
        <v>0</v>
      </c>
      <c r="AW89" s="147">
        <f t="shared" si="13"/>
        <v>0</v>
      </c>
      <c r="AX89" s="147">
        <f t="shared" si="13"/>
        <v>0</v>
      </c>
      <c r="AY89" s="147">
        <f t="shared" si="13"/>
        <v>0</v>
      </c>
      <c r="AZ89" s="147">
        <f t="shared" si="13"/>
        <v>0</v>
      </c>
      <c r="BA89" s="147">
        <f t="shared" si="13"/>
        <v>0</v>
      </c>
      <c r="BB89" s="147">
        <f t="shared" si="13"/>
        <v>0</v>
      </c>
      <c r="BC89" s="147">
        <f t="shared" si="13"/>
        <v>0</v>
      </c>
      <c r="BD89" s="147">
        <f t="shared" si="13"/>
        <v>0</v>
      </c>
      <c r="BE89" s="147">
        <f t="shared" si="13"/>
        <v>0</v>
      </c>
      <c r="BF89" s="147">
        <f t="shared" si="13"/>
        <v>0</v>
      </c>
      <c r="BG89" s="147">
        <f t="shared" si="13"/>
        <v>0</v>
      </c>
      <c r="BH89" s="147">
        <f t="shared" si="13"/>
        <v>0</v>
      </c>
      <c r="BI89" s="147">
        <f t="shared" si="13"/>
        <v>1478</v>
      </c>
      <c r="BJ89" s="147">
        <f t="shared" si="13"/>
        <v>0</v>
      </c>
      <c r="BK89" s="147">
        <v>385</v>
      </c>
      <c r="BL89" s="147">
        <f t="shared" si="13"/>
        <v>0</v>
      </c>
      <c r="BM89" s="147">
        <f t="shared" si="13"/>
        <v>0</v>
      </c>
      <c r="BN89" s="147">
        <f t="shared" si="13"/>
        <v>0</v>
      </c>
      <c r="BO89" s="147">
        <f t="shared" si="13"/>
        <v>128</v>
      </c>
      <c r="BP89" s="147">
        <f t="shared" si="13"/>
        <v>251</v>
      </c>
      <c r="BQ89" s="147">
        <f t="shared" si="13"/>
        <v>6</v>
      </c>
    </row>
  </sheetData>
  <mergeCells count="112">
    <mergeCell ref="BO4:BQ4"/>
    <mergeCell ref="A4:BN4"/>
    <mergeCell ref="BO1:BQ1"/>
    <mergeCell ref="BO2:BQ2"/>
    <mergeCell ref="BO3:BQ3"/>
    <mergeCell ref="A1:BN1"/>
    <mergeCell ref="A2:BN2"/>
    <mergeCell ref="A3:BN3"/>
    <mergeCell ref="A5:AH5"/>
    <mergeCell ref="AJ5:BQ5"/>
    <mergeCell ref="A9:A10"/>
    <mergeCell ref="B9:C9"/>
    <mergeCell ref="D9:E9"/>
    <mergeCell ref="F9:G9"/>
    <mergeCell ref="H9:I9"/>
    <mergeCell ref="J9:K9"/>
    <mergeCell ref="L9:M9"/>
    <mergeCell ref="B6:BQ6"/>
    <mergeCell ref="N9:O9"/>
    <mergeCell ref="P9:Q9"/>
    <mergeCell ref="R9:S9"/>
    <mergeCell ref="T9:U9"/>
    <mergeCell ref="V9:W9"/>
    <mergeCell ref="B7:BQ7"/>
    <mergeCell ref="AY9:AZ9"/>
    <mergeCell ref="AM9:AN9"/>
    <mergeCell ref="AO9:AP9"/>
    <mergeCell ref="AQ9:AR9"/>
    <mergeCell ref="AS9:AT9"/>
    <mergeCell ref="AU9:AV9"/>
    <mergeCell ref="AW9:AX9"/>
    <mergeCell ref="BI9:BJ9"/>
    <mergeCell ref="BK9:BK10"/>
    <mergeCell ref="BA9:BB9"/>
    <mergeCell ref="Z38:AA38"/>
    <mergeCell ref="AJ38:AJ39"/>
    <mergeCell ref="A38:A39"/>
    <mergeCell ref="B38:C38"/>
    <mergeCell ref="D38:E38"/>
    <mergeCell ref="F38:G38"/>
    <mergeCell ref="H38:I38"/>
    <mergeCell ref="J38:K38"/>
    <mergeCell ref="L38:M38"/>
    <mergeCell ref="N38:O38"/>
    <mergeCell ref="P38:Q38"/>
    <mergeCell ref="BE38:BF38"/>
    <mergeCell ref="AK38:AL38"/>
    <mergeCell ref="AM38:AN38"/>
    <mergeCell ref="AO38:AP38"/>
    <mergeCell ref="AQ38:AR38"/>
    <mergeCell ref="AS38:AT38"/>
    <mergeCell ref="AC38:AH38"/>
    <mergeCell ref="BG38:BH38"/>
    <mergeCell ref="BL38:BQ38"/>
    <mergeCell ref="BC9:BD9"/>
    <mergeCell ref="BE9:BF9"/>
    <mergeCell ref="BG9:BH9"/>
    <mergeCell ref="BL9:BQ9"/>
    <mergeCell ref="B35:BQ35"/>
    <mergeCell ref="R38:S38"/>
    <mergeCell ref="T38:U38"/>
    <mergeCell ref="V38:W38"/>
    <mergeCell ref="X38:Y38"/>
    <mergeCell ref="Z9:AA9"/>
    <mergeCell ref="AB9:AB10"/>
    <mergeCell ref="AC9:AH9"/>
    <mergeCell ref="AJ9:AJ10"/>
    <mergeCell ref="AK9:AL9"/>
    <mergeCell ref="X9:Y9"/>
    <mergeCell ref="B36:BQ36"/>
    <mergeCell ref="AB38:AB39"/>
    <mergeCell ref="BI38:BJ38"/>
    <mergeCell ref="BK38:BK39"/>
    <mergeCell ref="AU38:AV38"/>
    <mergeCell ref="AW38:AX38"/>
    <mergeCell ref="AY38:AZ38"/>
    <mergeCell ref="BA38:BB38"/>
    <mergeCell ref="BC38:BD38"/>
    <mergeCell ref="AB66:AB67"/>
    <mergeCell ref="AC66:AH66"/>
    <mergeCell ref="AJ66:AJ67"/>
    <mergeCell ref="AK66:AL66"/>
    <mergeCell ref="AM66:AN66"/>
    <mergeCell ref="B63:BQ63"/>
    <mergeCell ref="B64:BQ64"/>
    <mergeCell ref="A66:A67"/>
    <mergeCell ref="B66:C66"/>
    <mergeCell ref="D66:E66"/>
    <mergeCell ref="F66:G66"/>
    <mergeCell ref="H66:I66"/>
    <mergeCell ref="J66:K66"/>
    <mergeCell ref="L66:M66"/>
    <mergeCell ref="N66:O66"/>
    <mergeCell ref="P66:Q66"/>
    <mergeCell ref="R66:S66"/>
    <mergeCell ref="T66:U66"/>
    <mergeCell ref="V66:W66"/>
    <mergeCell ref="X66:Y66"/>
    <mergeCell ref="Z66:AA66"/>
    <mergeCell ref="BI66:BJ66"/>
    <mergeCell ref="BK66:BK67"/>
    <mergeCell ref="BL66:BQ66"/>
    <mergeCell ref="AY66:AZ66"/>
    <mergeCell ref="BA66:BB66"/>
    <mergeCell ref="BC66:BD66"/>
    <mergeCell ref="BE66:BF66"/>
    <mergeCell ref="BG66:BH66"/>
    <mergeCell ref="AO66:AP66"/>
    <mergeCell ref="AQ66:AR66"/>
    <mergeCell ref="AS66:AT66"/>
    <mergeCell ref="AU66:AV66"/>
    <mergeCell ref="AW66:AX66"/>
  </mergeCells>
  <printOptions horizontalCentered="1"/>
  <pageMargins left="0.19685039370078741" right="0.19685039370078741" top="0.19685039370078741" bottom="0.19685039370078741" header="0" footer="0"/>
  <pageSetup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B53"/>
  <sheetViews>
    <sheetView topLeftCell="A52" zoomScale="60" zoomScaleNormal="60" workbookViewId="0">
      <selection activeCell="K10" sqref="K10"/>
    </sheetView>
  </sheetViews>
  <sheetFormatPr baseColWidth="10" defaultColWidth="10.85546875" defaultRowHeight="15" x14ac:dyDescent="0.25"/>
  <cols>
    <col min="1" max="1" width="52.140625" style="127" customWidth="1"/>
    <col min="2" max="2" width="73.42578125" style="127" customWidth="1"/>
    <col min="3" max="3" width="10.85546875" style="127"/>
    <col min="4" max="4" width="31.140625" style="127" customWidth="1"/>
    <col min="5" max="5" width="21.85546875" style="127" customWidth="1"/>
    <col min="6" max="6" width="19.42578125" style="127" customWidth="1"/>
    <col min="7" max="7" width="42" style="127" customWidth="1"/>
    <col min="8" max="16384" width="10.85546875" style="127"/>
  </cols>
  <sheetData>
    <row r="1" spans="1:2" ht="25.5" customHeight="1" x14ac:dyDescent="0.25">
      <c r="A1" s="872" t="s">
        <v>202</v>
      </c>
      <c r="B1" s="873"/>
    </row>
    <row r="2" spans="1:2" ht="25.5" customHeight="1" x14ac:dyDescent="0.25">
      <c r="A2" s="738" t="s">
        <v>371</v>
      </c>
      <c r="B2" s="739"/>
    </row>
    <row r="3" spans="1:2" x14ac:dyDescent="0.25">
      <c r="A3" s="128" t="s">
        <v>372</v>
      </c>
      <c r="B3" s="128" t="s">
        <v>373</v>
      </c>
    </row>
    <row r="4" spans="1:2" x14ac:dyDescent="0.25">
      <c r="A4" s="129" t="s">
        <v>9</v>
      </c>
      <c r="B4" s="137" t="s">
        <v>374</v>
      </c>
    </row>
    <row r="5" spans="1:2" ht="105" x14ac:dyDescent="0.25">
      <c r="A5" s="129" t="s">
        <v>10</v>
      </c>
      <c r="B5" s="136" t="s">
        <v>375</v>
      </c>
    </row>
    <row r="6" spans="1:2" x14ac:dyDescent="0.25">
      <c r="A6" s="129" t="s">
        <v>15</v>
      </c>
      <c r="B6" s="874" t="s">
        <v>376</v>
      </c>
    </row>
    <row r="7" spans="1:2" x14ac:dyDescent="0.25">
      <c r="A7" s="129" t="s">
        <v>17</v>
      </c>
      <c r="B7" s="875"/>
    </row>
    <row r="8" spans="1:2" x14ac:dyDescent="0.25">
      <c r="A8" s="129" t="s">
        <v>19</v>
      </c>
      <c r="B8" s="875"/>
    </row>
    <row r="9" spans="1:2" x14ac:dyDescent="0.25">
      <c r="A9" s="129" t="s">
        <v>377</v>
      </c>
      <c r="B9" s="876"/>
    </row>
    <row r="10" spans="1:2" ht="30" x14ac:dyDescent="0.25">
      <c r="A10" s="129" t="s">
        <v>7</v>
      </c>
      <c r="B10" s="130" t="s">
        <v>378</v>
      </c>
    </row>
    <row r="11" spans="1:2" ht="45" x14ac:dyDescent="0.25">
      <c r="A11" s="129" t="s">
        <v>27</v>
      </c>
      <c r="B11" s="130" t="s">
        <v>379</v>
      </c>
    </row>
    <row r="12" spans="1:2" ht="60" x14ac:dyDescent="0.25">
      <c r="A12" s="129" t="s">
        <v>26</v>
      </c>
      <c r="B12" s="131" t="s">
        <v>380</v>
      </c>
    </row>
    <row r="13" spans="1:2" ht="30" x14ac:dyDescent="0.25">
      <c r="A13" s="129" t="s">
        <v>381</v>
      </c>
      <c r="B13" s="131" t="s">
        <v>382</v>
      </c>
    </row>
    <row r="14" spans="1:2" ht="45" x14ac:dyDescent="0.25">
      <c r="A14" s="129" t="s">
        <v>383</v>
      </c>
      <c r="B14" s="131" t="s">
        <v>384</v>
      </c>
    </row>
    <row r="15" spans="1:2" ht="72" customHeight="1" x14ac:dyDescent="0.25">
      <c r="A15" s="132" t="s">
        <v>385</v>
      </c>
      <c r="B15" s="133" t="s">
        <v>386</v>
      </c>
    </row>
    <row r="16" spans="1:2" ht="194.25" x14ac:dyDescent="0.25">
      <c r="A16" s="132" t="s">
        <v>387</v>
      </c>
      <c r="B16" s="134" t="s">
        <v>388</v>
      </c>
    </row>
    <row r="17" spans="1:2" ht="25.5" customHeight="1" x14ac:dyDescent="0.25">
      <c r="A17" s="738" t="s">
        <v>389</v>
      </c>
      <c r="B17" s="739"/>
    </row>
    <row r="18" spans="1:2" x14ac:dyDescent="0.25">
      <c r="A18" s="128" t="s">
        <v>372</v>
      </c>
      <c r="B18" s="128" t="s">
        <v>373</v>
      </c>
    </row>
    <row r="19" spans="1:2" x14ac:dyDescent="0.25">
      <c r="A19" s="129" t="s">
        <v>9</v>
      </c>
      <c r="B19" s="137" t="s">
        <v>374</v>
      </c>
    </row>
    <row r="20" spans="1:2" ht="105" x14ac:dyDescent="0.25">
      <c r="A20" s="129" t="s">
        <v>10</v>
      </c>
      <c r="B20" s="136" t="s">
        <v>375</v>
      </c>
    </row>
    <row r="21" spans="1:2" ht="30" x14ac:dyDescent="0.25">
      <c r="A21" s="129" t="s">
        <v>390</v>
      </c>
      <c r="B21" s="131" t="s">
        <v>391</v>
      </c>
    </row>
    <row r="22" spans="1:2" ht="45" x14ac:dyDescent="0.25">
      <c r="A22" s="129" t="s">
        <v>392</v>
      </c>
      <c r="B22" s="131" t="s">
        <v>393</v>
      </c>
    </row>
    <row r="23" spans="1:2" ht="75" x14ac:dyDescent="0.25">
      <c r="A23" s="129" t="s">
        <v>394</v>
      </c>
      <c r="B23" s="131" t="s">
        <v>395</v>
      </c>
    </row>
    <row r="24" spans="1:2" ht="30" x14ac:dyDescent="0.25">
      <c r="A24" s="129" t="s">
        <v>396</v>
      </c>
      <c r="B24" s="131" t="s">
        <v>397</v>
      </c>
    </row>
    <row r="25" spans="1:2" ht="54" customHeight="1" x14ac:dyDescent="0.25">
      <c r="A25" s="129" t="s">
        <v>398</v>
      </c>
      <c r="B25" s="131" t="s">
        <v>399</v>
      </c>
    </row>
    <row r="26" spans="1:2" ht="59.25" customHeight="1" x14ac:dyDescent="0.25">
      <c r="A26" s="129" t="s">
        <v>400</v>
      </c>
      <c r="B26" s="135" t="s">
        <v>401</v>
      </c>
    </row>
    <row r="27" spans="1:2" ht="75" x14ac:dyDescent="0.25">
      <c r="A27" s="129" t="s">
        <v>216</v>
      </c>
      <c r="B27" s="135" t="s">
        <v>402</v>
      </c>
    </row>
    <row r="28" spans="1:2" ht="45" x14ac:dyDescent="0.25">
      <c r="A28" s="129" t="s">
        <v>403</v>
      </c>
      <c r="B28" s="135" t="s">
        <v>404</v>
      </c>
    </row>
    <row r="29" spans="1:2" ht="45" x14ac:dyDescent="0.25">
      <c r="A29" s="129" t="s">
        <v>405</v>
      </c>
      <c r="B29" s="135" t="s">
        <v>406</v>
      </c>
    </row>
    <row r="30" spans="1:2" ht="45" x14ac:dyDescent="0.25">
      <c r="A30" s="129" t="s">
        <v>407</v>
      </c>
      <c r="B30" s="135" t="s">
        <v>408</v>
      </c>
    </row>
    <row r="31" spans="1:2" ht="144" customHeight="1" x14ac:dyDescent="0.25">
      <c r="A31" s="129" t="s">
        <v>409</v>
      </c>
      <c r="B31" s="135" t="s">
        <v>410</v>
      </c>
    </row>
    <row r="32" spans="1:2" ht="30" x14ac:dyDescent="0.25">
      <c r="A32" s="129" t="s">
        <v>411</v>
      </c>
      <c r="B32" s="135" t="s">
        <v>412</v>
      </c>
    </row>
    <row r="33" spans="1:2" ht="30" x14ac:dyDescent="0.25">
      <c r="A33" s="129" t="s">
        <v>413</v>
      </c>
      <c r="B33" s="135" t="s">
        <v>414</v>
      </c>
    </row>
    <row r="34" spans="1:2" ht="30" x14ac:dyDescent="0.25">
      <c r="A34" s="129" t="s">
        <v>415</v>
      </c>
      <c r="B34" s="135" t="s">
        <v>416</v>
      </c>
    </row>
    <row r="35" spans="1:2" ht="30" x14ac:dyDescent="0.25">
      <c r="A35" s="129" t="s">
        <v>417</v>
      </c>
      <c r="B35" s="135" t="s">
        <v>418</v>
      </c>
    </row>
    <row r="36" spans="1:2" ht="90" x14ac:dyDescent="0.25">
      <c r="A36" s="129" t="s">
        <v>206</v>
      </c>
      <c r="B36" s="135" t="s">
        <v>419</v>
      </c>
    </row>
    <row r="37" spans="1:2" ht="45" x14ac:dyDescent="0.25">
      <c r="A37" s="129" t="s">
        <v>420</v>
      </c>
      <c r="B37" s="135" t="s">
        <v>421</v>
      </c>
    </row>
    <row r="38" spans="1:2" ht="42.75" x14ac:dyDescent="0.25">
      <c r="A38" s="132" t="s">
        <v>208</v>
      </c>
      <c r="B38" s="135" t="s">
        <v>422</v>
      </c>
    </row>
    <row r="39" spans="1:2" ht="25.5" customHeight="1" x14ac:dyDescent="0.25">
      <c r="A39" s="738" t="s">
        <v>423</v>
      </c>
      <c r="B39" s="739"/>
    </row>
    <row r="40" spans="1:2" x14ac:dyDescent="0.25">
      <c r="A40" s="872" t="s">
        <v>424</v>
      </c>
      <c r="B40" s="873"/>
    </row>
    <row r="41" spans="1:2" ht="35.25" customHeight="1" x14ac:dyDescent="0.25">
      <c r="A41" s="870" t="s">
        <v>425</v>
      </c>
      <c r="B41" s="871"/>
    </row>
    <row r="50" ht="26.25" customHeight="1" x14ac:dyDescent="0.25"/>
    <row r="51" ht="28.5" customHeight="1" x14ac:dyDescent="0.25"/>
    <row r="52" ht="27.75" customHeight="1" x14ac:dyDescent="0.25"/>
    <row r="53" ht="28.5" customHeight="1" x14ac:dyDescent="0.25"/>
  </sheetData>
  <mergeCells count="7">
    <mergeCell ref="A41:B41"/>
    <mergeCell ref="A1:B1"/>
    <mergeCell ref="A2:B2"/>
    <mergeCell ref="B6:B9"/>
    <mergeCell ref="A17:B17"/>
    <mergeCell ref="A39:B39"/>
    <mergeCell ref="A40:B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I56"/>
  <sheetViews>
    <sheetView topLeftCell="B13" zoomScale="60" zoomScaleNormal="60" workbookViewId="0">
      <selection activeCell="I49" sqref="I49"/>
    </sheetView>
  </sheetViews>
  <sheetFormatPr baseColWidth="10" defaultColWidth="11.42578125" defaultRowHeight="15" x14ac:dyDescent="0.25"/>
  <cols>
    <col min="1" max="1" width="66.42578125" style="108" customWidth="1"/>
    <col min="2" max="2" width="61.85546875" style="108" customWidth="1"/>
    <col min="3" max="3" width="61.140625" style="108" customWidth="1"/>
    <col min="4" max="4" width="81" style="108" customWidth="1"/>
    <col min="5" max="5" width="32.85546875" style="127" customWidth="1"/>
    <col min="6" max="6" width="19" style="108" customWidth="1"/>
    <col min="7" max="7" width="25.42578125" style="108" customWidth="1"/>
    <col min="8" max="8" width="23.42578125" style="108" customWidth="1"/>
    <col min="9" max="9" width="40" style="108" customWidth="1"/>
    <col min="10" max="16384" width="11.42578125" style="108"/>
  </cols>
  <sheetData>
    <row r="1" spans="1:9" s="115" customFormat="1" x14ac:dyDescent="0.25">
      <c r="A1" s="114" t="s">
        <v>426</v>
      </c>
      <c r="B1" s="114" t="s">
        <v>427</v>
      </c>
      <c r="C1" s="114" t="s">
        <v>428</v>
      </c>
      <c r="D1" s="114" t="s">
        <v>429</v>
      </c>
      <c r="E1" s="114" t="s">
        <v>407</v>
      </c>
      <c r="F1" s="114" t="s">
        <v>430</v>
      </c>
      <c r="G1" s="114" t="s">
        <v>431</v>
      </c>
      <c r="H1" s="114" t="s">
        <v>334</v>
      </c>
      <c r="I1" s="114" t="s">
        <v>398</v>
      </c>
    </row>
    <row r="2" spans="1:9" s="115" customFormat="1" x14ac:dyDescent="0.25">
      <c r="A2" s="116" t="s">
        <v>432</v>
      </c>
      <c r="B2" s="111" t="s">
        <v>433</v>
      </c>
      <c r="C2" s="116" t="s">
        <v>434</v>
      </c>
      <c r="D2" s="117" t="s">
        <v>435</v>
      </c>
      <c r="E2" s="113" t="s">
        <v>436</v>
      </c>
      <c r="F2" s="118" t="s">
        <v>437</v>
      </c>
      <c r="G2" s="119" t="s">
        <v>438</v>
      </c>
      <c r="H2" s="119" t="s">
        <v>439</v>
      </c>
      <c r="I2" s="118" t="s">
        <v>440</v>
      </c>
    </row>
    <row r="3" spans="1:9" x14ac:dyDescent="0.25">
      <c r="A3" s="116" t="s">
        <v>441</v>
      </c>
      <c r="B3" s="111" t="s">
        <v>442</v>
      </c>
      <c r="C3" s="116" t="s">
        <v>443</v>
      </c>
      <c r="D3" s="120" t="s">
        <v>444</v>
      </c>
      <c r="E3" s="113" t="s">
        <v>445</v>
      </c>
      <c r="F3" s="118" t="s">
        <v>446</v>
      </c>
      <c r="G3" s="119" t="s">
        <v>447</v>
      </c>
      <c r="H3" s="119" t="s">
        <v>448</v>
      </c>
      <c r="I3" s="118" t="s">
        <v>449</v>
      </c>
    </row>
    <row r="4" spans="1:9" x14ac:dyDescent="0.25">
      <c r="A4" s="116" t="s">
        <v>210</v>
      </c>
      <c r="B4" s="111" t="s">
        <v>450</v>
      </c>
      <c r="C4" s="116" t="s">
        <v>451</v>
      </c>
      <c r="D4" s="120" t="s">
        <v>452</v>
      </c>
      <c r="E4" s="113" t="s">
        <v>453</v>
      </c>
      <c r="F4" s="118" t="s">
        <v>454</v>
      </c>
      <c r="G4" s="119" t="s">
        <v>455</v>
      </c>
      <c r="H4" s="119" t="s">
        <v>456</v>
      </c>
      <c r="I4" s="118" t="s">
        <v>457</v>
      </c>
    </row>
    <row r="5" spans="1:9" x14ac:dyDescent="0.25">
      <c r="A5" s="116" t="s">
        <v>458</v>
      </c>
      <c r="B5" s="111" t="s">
        <v>459</v>
      </c>
      <c r="C5" s="116" t="s">
        <v>460</v>
      </c>
      <c r="D5" s="120" t="s">
        <v>461</v>
      </c>
      <c r="E5" s="113" t="s">
        <v>462</v>
      </c>
      <c r="F5" s="118" t="s">
        <v>463</v>
      </c>
      <c r="G5" s="119" t="s">
        <v>464</v>
      </c>
      <c r="H5" s="119" t="s">
        <v>465</v>
      </c>
      <c r="I5" s="118" t="s">
        <v>466</v>
      </c>
    </row>
    <row r="6" spans="1:9" ht="30" x14ac:dyDescent="0.25">
      <c r="A6" s="116" t="s">
        <v>467</v>
      </c>
      <c r="B6" s="111" t="s">
        <v>468</v>
      </c>
      <c r="C6" s="116" t="s">
        <v>469</v>
      </c>
      <c r="D6" s="120" t="s">
        <v>470</v>
      </c>
      <c r="E6" s="113" t="s">
        <v>471</v>
      </c>
      <c r="H6" s="119" t="s">
        <v>472</v>
      </c>
      <c r="I6" s="118" t="s">
        <v>473</v>
      </c>
    </row>
    <row r="7" spans="1:9" ht="30" x14ac:dyDescent="0.25">
      <c r="B7" s="111" t="s">
        <v>474</v>
      </c>
      <c r="C7" s="116" t="s">
        <v>475</v>
      </c>
      <c r="D7" s="120" t="s">
        <v>476</v>
      </c>
      <c r="E7" s="118" t="s">
        <v>477</v>
      </c>
      <c r="H7" s="119" t="s">
        <v>478</v>
      </c>
      <c r="I7" s="118" t="s">
        <v>479</v>
      </c>
    </row>
    <row r="8" spans="1:9" ht="30" x14ac:dyDescent="0.25">
      <c r="A8" s="121"/>
      <c r="B8" s="111" t="s">
        <v>480</v>
      </c>
      <c r="C8" s="116" t="s">
        <v>481</v>
      </c>
      <c r="D8" s="120" t="s">
        <v>482</v>
      </c>
      <c r="E8" s="118" t="s">
        <v>483</v>
      </c>
      <c r="I8" s="118" t="s">
        <v>484</v>
      </c>
    </row>
    <row r="9" spans="1:9" ht="32.25" customHeight="1" x14ac:dyDescent="0.25">
      <c r="A9" s="121"/>
      <c r="B9" s="111" t="s">
        <v>485</v>
      </c>
      <c r="C9" s="116" t="s">
        <v>486</v>
      </c>
      <c r="D9" s="120" t="s">
        <v>487</v>
      </c>
      <c r="E9" s="118" t="s">
        <v>488</v>
      </c>
      <c r="I9" s="118" t="s">
        <v>489</v>
      </c>
    </row>
    <row r="10" spans="1:9" x14ac:dyDescent="0.25">
      <c r="A10" s="121"/>
      <c r="B10" s="111" t="s">
        <v>490</v>
      </c>
      <c r="C10" s="116" t="s">
        <v>491</v>
      </c>
      <c r="D10" s="120" t="s">
        <v>492</v>
      </c>
      <c r="E10" s="118" t="s">
        <v>493</v>
      </c>
      <c r="I10" s="118" t="s">
        <v>494</v>
      </c>
    </row>
    <row r="11" spans="1:9" x14ac:dyDescent="0.25">
      <c r="A11" s="121"/>
      <c r="B11" s="111" t="s">
        <v>495</v>
      </c>
      <c r="C11" s="116" t="s">
        <v>496</v>
      </c>
      <c r="D11" s="120" t="s">
        <v>497</v>
      </c>
      <c r="E11" s="118" t="s">
        <v>498</v>
      </c>
      <c r="I11" s="118" t="s">
        <v>499</v>
      </c>
    </row>
    <row r="12" spans="1:9" ht="30" x14ac:dyDescent="0.25">
      <c r="A12" s="121"/>
      <c r="B12" s="111" t="s">
        <v>500</v>
      </c>
      <c r="C12" s="116" t="s">
        <v>501</v>
      </c>
      <c r="D12" s="120" t="s">
        <v>247</v>
      </c>
      <c r="E12" s="118" t="s">
        <v>502</v>
      </c>
      <c r="I12" s="118" t="s">
        <v>503</v>
      </c>
    </row>
    <row r="13" spans="1:9" x14ac:dyDescent="0.25">
      <c r="A13" s="121"/>
      <c r="B13" s="162" t="s">
        <v>504</v>
      </c>
      <c r="D13" s="120" t="s">
        <v>257</v>
      </c>
      <c r="E13" s="118" t="s">
        <v>505</v>
      </c>
      <c r="I13" s="118" t="s">
        <v>506</v>
      </c>
    </row>
    <row r="14" spans="1:9" x14ac:dyDescent="0.25">
      <c r="A14" s="121"/>
      <c r="B14" s="111" t="s">
        <v>507</v>
      </c>
      <c r="C14" s="121"/>
      <c r="D14" s="120" t="s">
        <v>264</v>
      </c>
      <c r="E14" s="118" t="s">
        <v>508</v>
      </c>
    </row>
    <row r="15" spans="1:9" x14ac:dyDescent="0.25">
      <c r="A15" s="121"/>
      <c r="B15" s="111" t="s">
        <v>509</v>
      </c>
      <c r="C15" s="121"/>
      <c r="D15" s="120" t="s">
        <v>510</v>
      </c>
      <c r="E15" s="118" t="s">
        <v>511</v>
      </c>
    </row>
    <row r="16" spans="1:9" x14ac:dyDescent="0.25">
      <c r="A16" s="121"/>
      <c r="B16" s="111" t="s">
        <v>512</v>
      </c>
      <c r="C16" s="121"/>
      <c r="D16" s="120" t="s">
        <v>513</v>
      </c>
      <c r="E16" s="122"/>
    </row>
    <row r="17" spans="1:5" x14ac:dyDescent="0.25">
      <c r="A17" s="121"/>
      <c r="B17" s="111" t="s">
        <v>514</v>
      </c>
      <c r="C17" s="121"/>
      <c r="D17" s="120" t="s">
        <v>515</v>
      </c>
      <c r="E17" s="122"/>
    </row>
    <row r="18" spans="1:5" x14ac:dyDescent="0.25">
      <c r="A18" s="121"/>
      <c r="B18" s="111" t="s">
        <v>516</v>
      </c>
      <c r="C18" s="121"/>
      <c r="D18" s="120" t="s">
        <v>517</v>
      </c>
      <c r="E18" s="122"/>
    </row>
    <row r="19" spans="1:5" x14ac:dyDescent="0.25">
      <c r="A19" s="121"/>
      <c r="B19" s="111" t="s">
        <v>518</v>
      </c>
      <c r="C19" s="121"/>
      <c r="D19" s="120" t="s">
        <v>519</v>
      </c>
      <c r="E19" s="122"/>
    </row>
    <row r="20" spans="1:5" x14ac:dyDescent="0.25">
      <c r="A20" s="121"/>
      <c r="B20" s="111" t="s">
        <v>520</v>
      </c>
      <c r="C20" s="121"/>
      <c r="D20" s="120" t="s">
        <v>521</v>
      </c>
      <c r="E20" s="122"/>
    </row>
    <row r="21" spans="1:5" x14ac:dyDescent="0.25">
      <c r="B21" s="111" t="s">
        <v>522</v>
      </c>
      <c r="D21" s="120" t="s">
        <v>523</v>
      </c>
      <c r="E21" s="122"/>
    </row>
    <row r="22" spans="1:5" x14ac:dyDescent="0.25">
      <c r="B22" s="111" t="s">
        <v>524</v>
      </c>
      <c r="D22" s="120" t="s">
        <v>525</v>
      </c>
      <c r="E22" s="122"/>
    </row>
    <row r="23" spans="1:5" x14ac:dyDescent="0.25">
      <c r="B23" s="111" t="s">
        <v>526</v>
      </c>
      <c r="D23" s="120" t="s">
        <v>527</v>
      </c>
      <c r="E23" s="122"/>
    </row>
    <row r="24" spans="1:5" x14ac:dyDescent="0.25">
      <c r="D24" s="123" t="s">
        <v>528</v>
      </c>
      <c r="E24" s="123" t="s">
        <v>529</v>
      </c>
    </row>
    <row r="25" spans="1:5" x14ac:dyDescent="0.25">
      <c r="D25" s="124" t="s">
        <v>530</v>
      </c>
      <c r="E25" s="118" t="s">
        <v>531</v>
      </c>
    </row>
    <row r="26" spans="1:5" x14ac:dyDescent="0.25">
      <c r="D26" s="124" t="s">
        <v>532</v>
      </c>
      <c r="E26" s="118" t="s">
        <v>533</v>
      </c>
    </row>
    <row r="27" spans="1:5" x14ac:dyDescent="0.25">
      <c r="D27" s="877" t="s">
        <v>534</v>
      </c>
      <c r="E27" s="118" t="s">
        <v>535</v>
      </c>
    </row>
    <row r="28" spans="1:5" x14ac:dyDescent="0.25">
      <c r="D28" s="878"/>
      <c r="E28" s="118" t="s">
        <v>536</v>
      </c>
    </row>
    <row r="29" spans="1:5" x14ac:dyDescent="0.25">
      <c r="D29" s="878"/>
      <c r="E29" s="118" t="s">
        <v>537</v>
      </c>
    </row>
    <row r="30" spans="1:5" x14ac:dyDescent="0.25">
      <c r="D30" s="879"/>
      <c r="E30" s="118" t="s">
        <v>538</v>
      </c>
    </row>
    <row r="31" spans="1:5" x14ac:dyDescent="0.25">
      <c r="D31" s="124" t="s">
        <v>539</v>
      </c>
      <c r="E31" s="118" t="s">
        <v>540</v>
      </c>
    </row>
    <row r="32" spans="1:5" x14ac:dyDescent="0.25">
      <c r="D32" s="124" t="s">
        <v>541</v>
      </c>
      <c r="E32" s="118" t="s">
        <v>542</v>
      </c>
    </row>
    <row r="33" spans="4:5" x14ac:dyDescent="0.25">
      <c r="D33" s="124" t="s">
        <v>543</v>
      </c>
      <c r="E33" s="118" t="s">
        <v>544</v>
      </c>
    </row>
    <row r="34" spans="4:5" x14ac:dyDescent="0.25">
      <c r="D34" s="124" t="s">
        <v>545</v>
      </c>
      <c r="E34" s="118" t="s">
        <v>546</v>
      </c>
    </row>
    <row r="35" spans="4:5" x14ac:dyDescent="0.25">
      <c r="D35" s="124" t="s">
        <v>547</v>
      </c>
      <c r="E35" s="118" t="s">
        <v>548</v>
      </c>
    </row>
    <row r="36" spans="4:5" x14ac:dyDescent="0.25">
      <c r="D36" s="124" t="s">
        <v>549</v>
      </c>
      <c r="E36" s="118" t="s">
        <v>550</v>
      </c>
    </row>
    <row r="37" spans="4:5" x14ac:dyDescent="0.25">
      <c r="D37" s="124" t="s">
        <v>551</v>
      </c>
      <c r="E37" s="118" t="s">
        <v>552</v>
      </c>
    </row>
    <row r="38" spans="4:5" x14ac:dyDescent="0.25">
      <c r="D38" s="124" t="s">
        <v>553</v>
      </c>
      <c r="E38" s="118" t="s">
        <v>554</v>
      </c>
    </row>
    <row r="39" spans="4:5" x14ac:dyDescent="0.25">
      <c r="D39" s="125" t="s">
        <v>555</v>
      </c>
      <c r="E39" s="118" t="s">
        <v>556</v>
      </c>
    </row>
    <row r="40" spans="4:5" x14ac:dyDescent="0.25">
      <c r="D40" s="125" t="s">
        <v>557</v>
      </c>
      <c r="E40" s="118" t="s">
        <v>558</v>
      </c>
    </row>
    <row r="41" spans="4:5" x14ac:dyDescent="0.25">
      <c r="D41" s="124" t="s">
        <v>559</v>
      </c>
      <c r="E41" s="118" t="s">
        <v>560</v>
      </c>
    </row>
    <row r="42" spans="4:5" x14ac:dyDescent="0.25">
      <c r="D42" s="124" t="s">
        <v>561</v>
      </c>
      <c r="E42" s="118" t="s">
        <v>562</v>
      </c>
    </row>
    <row r="43" spans="4:5" x14ac:dyDescent="0.25">
      <c r="D43" s="125" t="s">
        <v>563</v>
      </c>
      <c r="E43" s="118" t="s">
        <v>564</v>
      </c>
    </row>
    <row r="44" spans="4:5" x14ac:dyDescent="0.25">
      <c r="D44" s="126" t="s">
        <v>565</v>
      </c>
      <c r="E44" s="118" t="s">
        <v>566</v>
      </c>
    </row>
    <row r="45" spans="4:5" x14ac:dyDescent="0.25">
      <c r="D45" s="120" t="s">
        <v>567</v>
      </c>
      <c r="E45" s="118" t="s">
        <v>568</v>
      </c>
    </row>
    <row r="46" spans="4:5" x14ac:dyDescent="0.25">
      <c r="D46" s="120" t="s">
        <v>569</v>
      </c>
      <c r="E46" s="118" t="s">
        <v>570</v>
      </c>
    </row>
    <row r="47" spans="4:5" x14ac:dyDescent="0.25">
      <c r="D47" s="120" t="s">
        <v>571</v>
      </c>
      <c r="E47" s="118" t="s">
        <v>572</v>
      </c>
    </row>
    <row r="48" spans="4:5" x14ac:dyDescent="0.25">
      <c r="D48" s="120" t="s">
        <v>573</v>
      </c>
      <c r="E48" s="118" t="s">
        <v>574</v>
      </c>
    </row>
    <row r="49" spans="4:4" x14ac:dyDescent="0.25">
      <c r="D49" s="123" t="s">
        <v>575</v>
      </c>
    </row>
    <row r="50" spans="4:4" x14ac:dyDescent="0.25">
      <c r="D50" s="120" t="s">
        <v>576</v>
      </c>
    </row>
    <row r="51" spans="4:4" x14ac:dyDescent="0.25">
      <c r="D51" s="120" t="s">
        <v>577</v>
      </c>
    </row>
    <row r="52" spans="4:4" x14ac:dyDescent="0.25">
      <c r="D52" s="123" t="s">
        <v>578</v>
      </c>
    </row>
    <row r="53" spans="4:4" x14ac:dyDescent="0.25">
      <c r="D53" s="126" t="s">
        <v>579</v>
      </c>
    </row>
    <row r="54" spans="4:4" x14ac:dyDescent="0.25">
      <c r="D54" s="126" t="s">
        <v>580</v>
      </c>
    </row>
    <row r="55" spans="4:4" x14ac:dyDescent="0.25">
      <c r="D55" s="126" t="s">
        <v>581</v>
      </c>
    </row>
    <row r="56" spans="4:4" x14ac:dyDescent="0.25">
      <c r="D56" s="126" t="s">
        <v>582</v>
      </c>
    </row>
  </sheetData>
  <mergeCells count="1">
    <mergeCell ref="D27:D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J9"/>
  <sheetViews>
    <sheetView zoomScale="60" zoomScaleNormal="60" workbookViewId="0">
      <selection activeCell="I49" sqref="I49"/>
    </sheetView>
  </sheetViews>
  <sheetFormatPr baseColWidth="10" defaultColWidth="11.42578125" defaultRowHeight="15" x14ac:dyDescent="0.25"/>
  <cols>
    <col min="1" max="3" width="16.42578125" bestFit="1" customWidth="1"/>
    <col min="6" max="6" width="18.42578125" bestFit="1" customWidth="1"/>
    <col min="7" max="7" width="11.42578125" style="186"/>
    <col min="9" max="9" width="18.42578125" bestFit="1" customWidth="1"/>
  </cols>
  <sheetData>
    <row r="1" spans="1:10" x14ac:dyDescent="0.25">
      <c r="A1" s="183">
        <f>+'Meta 1 DED. SCPI'!O24</f>
        <v>44095680.229999997</v>
      </c>
      <c r="B1" s="183">
        <v>44977430.220000029</v>
      </c>
      <c r="C1" s="183">
        <f>+A1-B1</f>
        <v>-881749.99000003189</v>
      </c>
      <c r="F1" s="183">
        <v>897225656</v>
      </c>
      <c r="G1" s="186">
        <f>+F1/$F$8</f>
        <v>0.17898656761377352</v>
      </c>
      <c r="I1" s="183">
        <v>897225656</v>
      </c>
      <c r="J1" s="182">
        <f>+F1-I1</f>
        <v>0</v>
      </c>
    </row>
    <row r="2" spans="1:10" x14ac:dyDescent="0.25">
      <c r="A2" s="183">
        <f>+'Meta 2 DED'!O24</f>
        <v>72533429</v>
      </c>
      <c r="B2" s="183">
        <v>76850600</v>
      </c>
      <c r="C2" s="183">
        <f t="shared" ref="C2:C8" si="0">+A2-B2</f>
        <v>-4317171</v>
      </c>
      <c r="F2" s="183">
        <v>990296613</v>
      </c>
      <c r="G2" s="186">
        <f t="shared" ref="G2:G8" si="1">+F2/$F$8</f>
        <v>0.19755319132382834</v>
      </c>
      <c r="I2" s="183">
        <v>990296613</v>
      </c>
      <c r="J2" s="182">
        <f t="shared" ref="J2:J8" si="2">+F2-I2</f>
        <v>0</v>
      </c>
    </row>
    <row r="3" spans="1:10" x14ac:dyDescent="0.25">
      <c r="A3" s="183">
        <f>+'Meta 3 DED'!O24</f>
        <v>78269171</v>
      </c>
      <c r="B3" s="183">
        <v>91581394.400000095</v>
      </c>
      <c r="C3" s="183">
        <f t="shared" si="0"/>
        <v>-13312223.400000095</v>
      </c>
      <c r="F3" s="183">
        <v>1600896358</v>
      </c>
      <c r="G3" s="186">
        <f t="shared" si="1"/>
        <v>0.31936106854239438</v>
      </c>
      <c r="I3" s="183">
        <v>1600896358</v>
      </c>
      <c r="J3" s="182">
        <f t="shared" si="2"/>
        <v>0</v>
      </c>
    </row>
    <row r="4" spans="1:10" x14ac:dyDescent="0.25">
      <c r="A4" s="183">
        <f>+'Meta 4 DED'!O24</f>
        <v>71581557.049999997</v>
      </c>
      <c r="B4" s="183">
        <v>72127640</v>
      </c>
      <c r="C4" s="183">
        <f t="shared" si="0"/>
        <v>-546082.95000000298</v>
      </c>
      <c r="F4" s="183">
        <v>447829697</v>
      </c>
      <c r="G4" s="186">
        <f t="shared" si="1"/>
        <v>8.9337057857768395E-2</v>
      </c>
      <c r="I4" s="183">
        <v>447829697</v>
      </c>
      <c r="J4" s="182">
        <f t="shared" si="2"/>
        <v>0</v>
      </c>
    </row>
    <row r="5" spans="1:10" x14ac:dyDescent="0.25">
      <c r="A5" s="183">
        <f>+'Meta 5 SCPI'!O24</f>
        <v>63830437</v>
      </c>
      <c r="B5" s="183">
        <v>64204436.49000001</v>
      </c>
      <c r="C5" s="183">
        <f t="shared" si="0"/>
        <v>-373999.49000000954</v>
      </c>
      <c r="F5" s="183">
        <v>299780042</v>
      </c>
      <c r="G5" s="186">
        <f t="shared" si="1"/>
        <v>5.9802793642687438E-2</v>
      </c>
      <c r="I5" s="183">
        <v>299780042</v>
      </c>
      <c r="J5" s="182">
        <f t="shared" si="2"/>
        <v>0</v>
      </c>
    </row>
    <row r="6" spans="1:10" x14ac:dyDescent="0.25">
      <c r="A6" s="183">
        <f>+'Meta 6 SCPI'!O24</f>
        <v>0</v>
      </c>
      <c r="B6" s="183">
        <v>373999.88999998569</v>
      </c>
      <c r="C6" s="183">
        <f t="shared" si="0"/>
        <v>-373999.88999998569</v>
      </c>
      <c r="F6" s="183">
        <v>248289520</v>
      </c>
      <c r="G6" s="186">
        <f t="shared" si="1"/>
        <v>4.9531005563745685E-2</v>
      </c>
      <c r="I6" s="183">
        <v>248289520</v>
      </c>
      <c r="J6" s="182">
        <f t="shared" si="2"/>
        <v>0</v>
      </c>
    </row>
    <row r="7" spans="1:10" x14ac:dyDescent="0.25">
      <c r="A7" s="183" t="e">
        <f>+#REF!</f>
        <v>#REF!</v>
      </c>
      <c r="B7" s="183">
        <v>40036153</v>
      </c>
      <c r="C7" s="183" t="e">
        <f t="shared" si="0"/>
        <v>#REF!</v>
      </c>
      <c r="F7" s="183">
        <v>528492114</v>
      </c>
      <c r="G7" s="186">
        <f t="shared" si="1"/>
        <v>0.10542831545580224</v>
      </c>
      <c r="I7" s="183">
        <v>528492114</v>
      </c>
      <c r="J7" s="182">
        <f t="shared" si="2"/>
        <v>0</v>
      </c>
    </row>
    <row r="8" spans="1:10" x14ac:dyDescent="0.25">
      <c r="A8" s="184" t="e">
        <f>SUM(A1:A7)</f>
        <v>#REF!</v>
      </c>
      <c r="B8" s="184">
        <v>390151654</v>
      </c>
      <c r="C8" s="184" t="e">
        <f t="shared" si="0"/>
        <v>#REF!</v>
      </c>
      <c r="F8" s="185">
        <f>SUM(F1:F7)</f>
        <v>5012810000</v>
      </c>
      <c r="G8" s="186">
        <f t="shared" si="1"/>
        <v>1</v>
      </c>
      <c r="I8" s="183">
        <v>5012810000</v>
      </c>
      <c r="J8" s="182">
        <f t="shared" si="2"/>
        <v>0</v>
      </c>
    </row>
    <row r="9" spans="1:10" x14ac:dyDescent="0.25">
      <c r="I9" s="18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heetViews>
  <sheetFormatPr baseColWidth="10" defaultColWidth="8.85546875" defaultRowHeight="15" x14ac:dyDescent="0.2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N46"/>
  <sheetViews>
    <sheetView zoomScale="90" zoomScaleNormal="90" workbookViewId="0">
      <selection activeCell="P9" sqref="P9"/>
    </sheetView>
  </sheetViews>
  <sheetFormatPr baseColWidth="10" defaultColWidth="8.8554687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583</v>
      </c>
      <c r="C1" s="883" t="s">
        <v>584</v>
      </c>
      <c r="D1" s="883"/>
      <c r="E1" s="883"/>
      <c r="F1" s="883"/>
      <c r="G1" s="884" t="s">
        <v>585</v>
      </c>
      <c r="H1" s="885"/>
      <c r="I1" s="885"/>
      <c r="J1" s="886"/>
      <c r="K1" s="882" t="s">
        <v>586</v>
      </c>
      <c r="L1" s="882"/>
      <c r="M1" s="882"/>
      <c r="N1" s="882"/>
    </row>
    <row r="2" spans="1:14" x14ac:dyDescent="0.25">
      <c r="C2" s="4"/>
      <c r="D2" s="4"/>
      <c r="E2" s="4"/>
      <c r="F2" s="4" t="s">
        <v>587</v>
      </c>
      <c r="G2" s="30"/>
      <c r="H2" s="4"/>
      <c r="I2" s="4"/>
      <c r="J2" s="31" t="s">
        <v>587</v>
      </c>
      <c r="K2" s="4"/>
      <c r="L2" s="4"/>
      <c r="M2" s="4"/>
      <c r="N2" s="4" t="s">
        <v>587</v>
      </c>
    </row>
    <row r="3" spans="1:14" x14ac:dyDescent="0.25">
      <c r="A3" s="881" t="s">
        <v>588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8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81"/>
      <c r="B5" s="5">
        <v>3</v>
      </c>
      <c r="C5" s="6">
        <v>0.05</v>
      </c>
      <c r="D5" s="6">
        <v>0.05</v>
      </c>
      <c r="E5" s="6">
        <v>0.1</v>
      </c>
      <c r="F5" s="7">
        <f>(C5+D5+E5)</f>
        <v>0.2</v>
      </c>
      <c r="G5" s="32">
        <v>0.1</v>
      </c>
      <c r="H5" s="6">
        <v>0.1</v>
      </c>
      <c r="I5" s="6">
        <v>0.1</v>
      </c>
      <c r="J5" s="33">
        <f>(G5+H5+I5)</f>
        <v>0.30000000000000004</v>
      </c>
      <c r="K5" s="24"/>
      <c r="L5" s="5"/>
      <c r="M5" s="5"/>
      <c r="N5" s="5"/>
    </row>
    <row r="6" spans="1:14" x14ac:dyDescent="0.25">
      <c r="A6" s="881"/>
      <c r="B6" s="5">
        <v>4</v>
      </c>
      <c r="C6" s="6">
        <v>0.1</v>
      </c>
      <c r="D6" s="6">
        <v>0.1</v>
      </c>
      <c r="E6" s="6">
        <v>0.2</v>
      </c>
      <c r="F6" s="7">
        <f>(C6+D6+E6)</f>
        <v>0.4</v>
      </c>
      <c r="G6" s="32">
        <v>0</v>
      </c>
      <c r="H6" s="6">
        <v>0</v>
      </c>
      <c r="I6" s="6">
        <v>0.1</v>
      </c>
      <c r="J6" s="33">
        <f>(G6+H6+I6)</f>
        <v>0.1</v>
      </c>
      <c r="K6" s="24"/>
      <c r="L6" s="5"/>
      <c r="M6" s="5"/>
      <c r="N6" s="5"/>
    </row>
    <row r="7" spans="1:14" x14ac:dyDescent="0.25">
      <c r="A7" s="881"/>
      <c r="B7" s="5">
        <v>5</v>
      </c>
      <c r="C7" s="6">
        <v>0</v>
      </c>
      <c r="D7" s="6">
        <v>0</v>
      </c>
      <c r="E7" s="6">
        <v>0</v>
      </c>
      <c r="F7" s="7">
        <f>(C7+D7+E7)</f>
        <v>0</v>
      </c>
      <c r="G7" s="32">
        <v>0</v>
      </c>
      <c r="H7" s="6">
        <v>0</v>
      </c>
      <c r="I7" s="6">
        <v>0</v>
      </c>
      <c r="J7" s="33">
        <f>(G7+H7+I7)</f>
        <v>0</v>
      </c>
      <c r="K7" s="24"/>
      <c r="L7" s="5"/>
      <c r="M7" s="5"/>
      <c r="N7" s="5"/>
    </row>
    <row r="8" spans="1:14" x14ac:dyDescent="0.25">
      <c r="A8" s="881" t="s">
        <v>589</v>
      </c>
      <c r="B8" s="9">
        <v>6</v>
      </c>
      <c r="C8" s="10">
        <v>0.1</v>
      </c>
      <c r="D8" s="10">
        <v>0.1</v>
      </c>
      <c r="E8" s="10">
        <v>0.1</v>
      </c>
      <c r="F8" s="11">
        <f>C8+D8+E8</f>
        <v>0.30000000000000004</v>
      </c>
      <c r="G8" s="34"/>
      <c r="H8" s="9"/>
      <c r="I8" s="9"/>
      <c r="J8" s="35"/>
      <c r="K8" s="25"/>
      <c r="L8" s="9"/>
      <c r="M8" s="9"/>
      <c r="N8" s="9"/>
    </row>
    <row r="9" spans="1:14" x14ac:dyDescent="0.25">
      <c r="A9" s="881"/>
      <c r="B9" s="9">
        <v>7</v>
      </c>
      <c r="C9" s="9"/>
      <c r="D9" s="9"/>
      <c r="E9" s="9"/>
      <c r="F9" s="19"/>
      <c r="G9" s="36"/>
      <c r="H9" s="9"/>
      <c r="I9" s="9"/>
      <c r="J9" s="35"/>
      <c r="K9" s="25"/>
      <c r="L9" s="9"/>
      <c r="M9" s="9"/>
      <c r="N9" s="9"/>
    </row>
    <row r="10" spans="1:14" x14ac:dyDescent="0.25">
      <c r="A10" s="881"/>
      <c r="B10" s="9">
        <v>8</v>
      </c>
      <c r="C10" s="9"/>
      <c r="D10" s="9"/>
      <c r="E10" s="9"/>
      <c r="F10" s="19"/>
      <c r="G10" s="36"/>
      <c r="H10" s="9"/>
      <c r="I10" s="9"/>
      <c r="J10" s="35"/>
      <c r="K10" s="25"/>
      <c r="L10" s="9"/>
      <c r="M10" s="9"/>
      <c r="N10" s="9"/>
    </row>
    <row r="11" spans="1:14" x14ac:dyDescent="0.25">
      <c r="A11" s="881"/>
      <c r="B11" s="9">
        <v>9</v>
      </c>
      <c r="C11" s="9"/>
      <c r="D11" s="9"/>
      <c r="E11" s="9"/>
      <c r="F11" s="19"/>
      <c r="G11" s="36"/>
      <c r="H11" s="9"/>
      <c r="I11" s="9"/>
      <c r="J11" s="35"/>
      <c r="K11" s="25"/>
      <c r="L11" s="9"/>
      <c r="M11" s="9"/>
      <c r="N11" s="9"/>
    </row>
    <row r="12" spans="1:14" x14ac:dyDescent="0.25">
      <c r="A12" s="881" t="s">
        <v>590</v>
      </c>
      <c r="B12" s="14">
        <v>10</v>
      </c>
      <c r="C12" s="14"/>
      <c r="D12" s="14"/>
      <c r="E12" s="14"/>
      <c r="F12" s="20"/>
      <c r="G12" s="37"/>
      <c r="H12" s="14"/>
      <c r="I12" s="14"/>
      <c r="J12" s="38"/>
      <c r="K12" s="26"/>
      <c r="L12" s="14"/>
      <c r="M12" s="14"/>
      <c r="N12" s="14"/>
    </row>
    <row r="13" spans="1:14" x14ac:dyDescent="0.25">
      <c r="A13" s="881"/>
      <c r="B13" s="14">
        <v>11</v>
      </c>
      <c r="C13" s="14"/>
      <c r="D13" s="14"/>
      <c r="E13" s="14"/>
      <c r="F13" s="20"/>
      <c r="G13" s="37"/>
      <c r="H13" s="14"/>
      <c r="I13" s="14"/>
      <c r="J13" s="38"/>
      <c r="K13" s="26"/>
      <c r="L13" s="14"/>
      <c r="M13" s="14"/>
      <c r="N13" s="14"/>
    </row>
    <row r="14" spans="1:14" x14ac:dyDescent="0.25">
      <c r="A14" s="881"/>
      <c r="B14" s="14">
        <v>12</v>
      </c>
      <c r="C14" s="14"/>
      <c r="D14" s="14"/>
      <c r="E14" s="14"/>
      <c r="F14" s="20"/>
      <c r="G14" s="37"/>
      <c r="H14" s="14"/>
      <c r="I14" s="14"/>
      <c r="J14" s="38"/>
      <c r="K14" s="26"/>
      <c r="L14" s="14"/>
      <c r="M14" s="14"/>
      <c r="N14" s="14"/>
    </row>
    <row r="15" spans="1:14" x14ac:dyDescent="0.25">
      <c r="A15" s="881"/>
      <c r="B15" s="14">
        <v>13</v>
      </c>
      <c r="C15" s="14"/>
      <c r="D15" s="14"/>
      <c r="E15" s="14"/>
      <c r="F15" s="20"/>
      <c r="G15" s="37"/>
      <c r="H15" s="14"/>
      <c r="I15" s="14"/>
      <c r="J15" s="38"/>
      <c r="K15" s="26"/>
      <c r="L15" s="14"/>
      <c r="M15" s="14"/>
      <c r="N15" s="14"/>
    </row>
    <row r="16" spans="1:14" x14ac:dyDescent="0.25">
      <c r="A16" s="881" t="s">
        <v>591</v>
      </c>
      <c r="B16" s="15">
        <v>14</v>
      </c>
      <c r="C16" s="15"/>
      <c r="D16" s="15"/>
      <c r="E16" s="15"/>
      <c r="F16" s="21"/>
      <c r="G16" s="39"/>
      <c r="H16" s="15"/>
      <c r="I16" s="15"/>
      <c r="J16" s="40"/>
      <c r="K16" s="27"/>
      <c r="L16" s="15"/>
      <c r="M16" s="15"/>
      <c r="N16" s="15"/>
    </row>
    <row r="17" spans="1:14" x14ac:dyDescent="0.25">
      <c r="A17" s="881"/>
      <c r="B17" s="15">
        <v>15</v>
      </c>
      <c r="C17" s="15"/>
      <c r="D17" s="15"/>
      <c r="E17" s="15"/>
      <c r="F17" s="21"/>
      <c r="G17" s="39"/>
      <c r="H17" s="15"/>
      <c r="I17" s="15"/>
      <c r="J17" s="40"/>
      <c r="K17" s="27"/>
      <c r="L17" s="15"/>
      <c r="M17" s="15"/>
      <c r="N17" s="15"/>
    </row>
    <row r="18" spans="1:14" x14ac:dyDescent="0.25">
      <c r="A18" s="881"/>
      <c r="B18" s="15">
        <v>16</v>
      </c>
      <c r="C18" s="15"/>
      <c r="D18" s="15"/>
      <c r="E18" s="15"/>
      <c r="F18" s="21"/>
      <c r="G18" s="39"/>
      <c r="H18" s="15"/>
      <c r="I18" s="15"/>
      <c r="J18" s="40"/>
      <c r="K18" s="27"/>
      <c r="L18" s="15"/>
      <c r="M18" s="15"/>
      <c r="N18" s="15"/>
    </row>
    <row r="19" spans="1:14" x14ac:dyDescent="0.25">
      <c r="A19" s="881" t="s">
        <v>592</v>
      </c>
      <c r="B19" s="18">
        <v>17</v>
      </c>
      <c r="C19" s="18"/>
      <c r="D19" s="18"/>
      <c r="E19" s="18"/>
      <c r="F19" s="22"/>
      <c r="G19" s="41"/>
      <c r="H19" s="18"/>
      <c r="I19" s="18"/>
      <c r="J19" s="42"/>
      <c r="K19" s="28"/>
      <c r="L19" s="18"/>
      <c r="M19" s="18"/>
      <c r="N19" s="18"/>
    </row>
    <row r="20" spans="1:14" x14ac:dyDescent="0.25">
      <c r="A20" s="881"/>
      <c r="B20" s="18">
        <v>18</v>
      </c>
      <c r="C20" s="18"/>
      <c r="D20" s="18"/>
      <c r="E20" s="18"/>
      <c r="F20" s="22"/>
      <c r="G20" s="41"/>
      <c r="H20" s="18"/>
      <c r="I20" s="18"/>
      <c r="J20" s="42"/>
      <c r="K20" s="28"/>
      <c r="L20" s="18"/>
      <c r="M20" s="18"/>
      <c r="N20" s="18"/>
    </row>
    <row r="21" spans="1:14" x14ac:dyDescent="0.25">
      <c r="A21" s="881"/>
      <c r="B21" s="18">
        <v>19</v>
      </c>
      <c r="C21" s="18"/>
      <c r="D21" s="18"/>
      <c r="E21" s="18"/>
      <c r="F21" s="22"/>
      <c r="G21" s="41"/>
      <c r="H21" s="18"/>
      <c r="I21" s="18"/>
      <c r="J21" s="42"/>
      <c r="K21" s="28"/>
      <c r="L21" s="18"/>
      <c r="M21" s="18"/>
      <c r="N21" s="18"/>
    </row>
    <row r="22" spans="1:14" x14ac:dyDescent="0.25">
      <c r="A22" s="881"/>
      <c r="B22" s="18">
        <v>20</v>
      </c>
      <c r="C22" s="18"/>
      <c r="D22" s="18"/>
      <c r="E22" s="18"/>
      <c r="F22" s="22"/>
      <c r="G22" s="41"/>
      <c r="H22" s="18"/>
      <c r="I22" s="18"/>
      <c r="J22" s="42"/>
      <c r="K22" s="28"/>
      <c r="L22" s="18"/>
      <c r="M22" s="18"/>
      <c r="N22" s="18"/>
    </row>
    <row r="23" spans="1:14" x14ac:dyDescent="0.25">
      <c r="A23" s="881" t="s">
        <v>593</v>
      </c>
      <c r="B23" s="13">
        <v>21</v>
      </c>
      <c r="C23" s="13"/>
      <c r="D23" s="13"/>
      <c r="E23" s="13"/>
      <c r="F23" s="23"/>
      <c r="G23" s="43"/>
      <c r="H23" s="13"/>
      <c r="I23" s="13"/>
      <c r="J23" s="44"/>
      <c r="K23" s="29"/>
      <c r="L23" s="13"/>
      <c r="M23" s="13"/>
      <c r="N23" s="13"/>
    </row>
    <row r="24" spans="1:14" x14ac:dyDescent="0.25">
      <c r="A24" s="881"/>
      <c r="B24" s="13">
        <v>22</v>
      </c>
      <c r="C24" s="13"/>
      <c r="D24" s="13"/>
      <c r="E24" s="13"/>
      <c r="F24" s="23"/>
      <c r="G24" s="43"/>
      <c r="H24" s="13"/>
      <c r="I24" s="13"/>
      <c r="J24" s="44"/>
      <c r="K24" s="29"/>
      <c r="L24" s="13"/>
      <c r="M24" s="13"/>
      <c r="N24" s="13"/>
    </row>
    <row r="25" spans="1:14" x14ac:dyDescent="0.25">
      <c r="A25" s="881"/>
      <c r="B25" s="13">
        <v>23</v>
      </c>
      <c r="C25" s="13"/>
      <c r="D25" s="13"/>
      <c r="E25" s="13"/>
      <c r="F25" s="23"/>
      <c r="G25" s="43"/>
      <c r="H25" s="13"/>
      <c r="I25" s="13"/>
      <c r="J25" s="44"/>
      <c r="K25" s="29"/>
      <c r="L25" s="13"/>
      <c r="M25" s="13"/>
      <c r="N25" s="13"/>
    </row>
    <row r="26" spans="1:14" x14ac:dyDescent="0.25">
      <c r="A26" s="881"/>
      <c r="B26" s="13">
        <v>24</v>
      </c>
      <c r="C26" s="13"/>
      <c r="D26" s="13"/>
      <c r="E26" s="13"/>
      <c r="F26" s="23"/>
      <c r="G26" s="43"/>
      <c r="H26" s="13"/>
      <c r="I26" s="13"/>
      <c r="J26" s="44"/>
      <c r="K26" s="29"/>
      <c r="L26" s="13"/>
      <c r="M26" s="13"/>
      <c r="N26" s="13"/>
    </row>
    <row r="27" spans="1:14" x14ac:dyDescent="0.25">
      <c r="A27" s="881" t="s">
        <v>594</v>
      </c>
      <c r="B27" s="9">
        <v>25</v>
      </c>
      <c r="C27" s="9"/>
      <c r="D27" s="9"/>
      <c r="E27" s="9"/>
      <c r="F27" s="9"/>
      <c r="G27" s="9"/>
      <c r="H27" s="9"/>
      <c r="I27" s="9"/>
      <c r="J27" s="9"/>
      <c r="K27" s="9"/>
      <c r="L27" s="9"/>
      <c r="M27" s="9"/>
      <c r="N27" s="9"/>
    </row>
    <row r="28" spans="1:14" x14ac:dyDescent="0.25">
      <c r="A28" s="881"/>
      <c r="B28" s="9">
        <v>26</v>
      </c>
      <c r="C28" s="9"/>
      <c r="D28" s="9"/>
      <c r="E28" s="9"/>
      <c r="F28" s="9"/>
      <c r="G28" s="9"/>
      <c r="H28" s="9"/>
      <c r="I28" s="9"/>
      <c r="J28" s="9"/>
      <c r="K28" s="9"/>
      <c r="L28" s="9"/>
      <c r="M28" s="9"/>
      <c r="N28" s="9"/>
    </row>
    <row r="29" spans="1:14" x14ac:dyDescent="0.25">
      <c r="A29" s="881"/>
      <c r="B29" s="9">
        <v>27</v>
      </c>
      <c r="C29" s="9"/>
      <c r="D29" s="9"/>
      <c r="E29" s="9"/>
      <c r="F29" s="9"/>
      <c r="G29" s="9"/>
      <c r="H29" s="9"/>
      <c r="I29" s="9"/>
      <c r="J29" s="9"/>
      <c r="K29" s="9"/>
      <c r="L29" s="9"/>
      <c r="M29" s="9"/>
      <c r="N29" s="9"/>
    </row>
    <row r="30" spans="1:14" x14ac:dyDescent="0.25">
      <c r="A30" s="881"/>
      <c r="B30" s="9">
        <v>28</v>
      </c>
      <c r="C30" s="9"/>
      <c r="D30" s="9"/>
      <c r="E30" s="9"/>
      <c r="F30" s="9"/>
      <c r="G30" s="9"/>
      <c r="H30" s="9"/>
      <c r="I30" s="9"/>
      <c r="J30" s="9"/>
      <c r="K30" s="9"/>
      <c r="L30" s="9"/>
      <c r="M30" s="9"/>
      <c r="N30" s="9"/>
    </row>
    <row r="31" spans="1:14" x14ac:dyDescent="0.25">
      <c r="A31" s="881"/>
      <c r="B31" s="9">
        <v>29</v>
      </c>
      <c r="C31" s="9"/>
      <c r="D31" s="9"/>
      <c r="E31" s="9"/>
      <c r="F31" s="9"/>
      <c r="G31" s="9"/>
      <c r="H31" s="9"/>
      <c r="I31" s="9"/>
      <c r="J31" s="9"/>
      <c r="K31" s="9"/>
      <c r="L31" s="9"/>
      <c r="M31" s="9"/>
      <c r="N31" s="9"/>
    </row>
    <row r="32" spans="1:14" x14ac:dyDescent="0.25">
      <c r="A32" s="881" t="s">
        <v>595</v>
      </c>
      <c r="B32" s="16">
        <v>30</v>
      </c>
      <c r="C32" s="16"/>
      <c r="D32" s="16"/>
      <c r="E32" s="16"/>
      <c r="F32" s="16"/>
      <c r="G32" s="16"/>
      <c r="H32" s="16"/>
      <c r="I32" s="16"/>
      <c r="J32" s="16"/>
      <c r="K32" s="16"/>
      <c r="L32" s="16"/>
      <c r="M32" s="16"/>
      <c r="N32" s="16"/>
    </row>
    <row r="33" spans="1:14" x14ac:dyDescent="0.25">
      <c r="A33" s="881"/>
      <c r="B33" s="16">
        <v>31</v>
      </c>
      <c r="C33" s="16"/>
      <c r="D33" s="16"/>
      <c r="E33" s="16"/>
      <c r="F33" s="16"/>
      <c r="G33" s="16"/>
      <c r="H33" s="16"/>
      <c r="I33" s="16"/>
      <c r="J33" s="16"/>
      <c r="K33" s="16"/>
      <c r="L33" s="16"/>
      <c r="M33" s="16"/>
      <c r="N33" s="16"/>
    </row>
    <row r="34" spans="1:14" x14ac:dyDescent="0.25">
      <c r="A34" s="881"/>
      <c r="B34" s="16">
        <v>32</v>
      </c>
      <c r="C34" s="16"/>
      <c r="D34" s="16"/>
      <c r="E34" s="16"/>
      <c r="F34" s="16"/>
      <c r="G34" s="16"/>
      <c r="H34" s="16"/>
      <c r="I34" s="16"/>
      <c r="J34" s="16"/>
      <c r="K34" s="16"/>
      <c r="L34" s="16"/>
      <c r="M34" s="16"/>
      <c r="N34" s="16"/>
    </row>
    <row r="35" spans="1:14" x14ac:dyDescent="0.25">
      <c r="A35" s="881" t="s">
        <v>596</v>
      </c>
      <c r="B35" s="17">
        <v>33</v>
      </c>
      <c r="C35" s="14"/>
      <c r="D35" s="14"/>
      <c r="E35" s="14"/>
      <c r="F35" s="14"/>
      <c r="G35" s="14"/>
      <c r="H35" s="14"/>
      <c r="I35" s="14"/>
      <c r="J35" s="14"/>
      <c r="K35" s="14"/>
      <c r="L35" s="14"/>
      <c r="M35" s="14"/>
      <c r="N35" s="14"/>
    </row>
    <row r="36" spans="1:14" x14ac:dyDescent="0.25">
      <c r="A36" s="881"/>
      <c r="B36" s="14">
        <v>34</v>
      </c>
      <c r="C36" s="14"/>
      <c r="D36" s="14"/>
      <c r="E36" s="14"/>
      <c r="F36" s="14"/>
      <c r="G36" s="14"/>
      <c r="H36" s="14"/>
      <c r="I36" s="14"/>
      <c r="J36" s="14"/>
      <c r="K36" s="14"/>
      <c r="L36" s="14"/>
      <c r="M36" s="14"/>
      <c r="N36" s="14"/>
    </row>
    <row r="37" spans="1:14" x14ac:dyDescent="0.25">
      <c r="A37" s="881"/>
      <c r="B37" s="45">
        <v>35</v>
      </c>
      <c r="C37" s="14"/>
      <c r="D37" s="14"/>
      <c r="E37" s="14"/>
      <c r="F37" s="14"/>
      <c r="G37" s="14"/>
      <c r="H37" s="14"/>
      <c r="I37" s="14"/>
      <c r="J37" s="14"/>
      <c r="K37" s="14"/>
      <c r="L37" s="14"/>
      <c r="M37" s="14"/>
      <c r="N37" s="14"/>
    </row>
    <row r="38" spans="1:14" x14ac:dyDescent="0.25">
      <c r="A38" s="881" t="s">
        <v>597</v>
      </c>
      <c r="B38" s="8">
        <v>36</v>
      </c>
      <c r="C38" s="8"/>
      <c r="D38" s="8"/>
      <c r="E38" s="8"/>
      <c r="F38" s="8"/>
      <c r="G38" s="8"/>
      <c r="H38" s="8"/>
      <c r="I38" s="8"/>
      <c r="J38" s="8"/>
      <c r="K38" s="8"/>
      <c r="L38" s="8"/>
      <c r="M38" s="8"/>
      <c r="N38" s="8"/>
    </row>
    <row r="39" spans="1:14" x14ac:dyDescent="0.25">
      <c r="A39" s="881"/>
      <c r="B39" s="8">
        <v>37</v>
      </c>
      <c r="C39" s="8"/>
      <c r="D39" s="8"/>
      <c r="E39" s="8"/>
      <c r="F39" s="8"/>
      <c r="G39" s="8"/>
      <c r="H39" s="8"/>
      <c r="I39" s="8"/>
      <c r="J39" s="8"/>
      <c r="K39" s="8"/>
      <c r="L39" s="8"/>
      <c r="M39" s="8"/>
      <c r="N39" s="8"/>
    </row>
    <row r="40" spans="1:14" x14ac:dyDescent="0.25">
      <c r="A40" s="881"/>
      <c r="B40" s="8">
        <v>38</v>
      </c>
      <c r="C40" s="8"/>
      <c r="D40" s="8"/>
      <c r="E40" s="8"/>
      <c r="F40" s="8"/>
      <c r="G40" s="8"/>
      <c r="H40" s="8"/>
      <c r="I40" s="8"/>
      <c r="J40" s="8"/>
      <c r="K40" s="8"/>
      <c r="L40" s="8"/>
      <c r="M40" s="8"/>
      <c r="N40" s="8"/>
    </row>
    <row r="41" spans="1:14" x14ac:dyDescent="0.25">
      <c r="A41" s="887" t="s">
        <v>598</v>
      </c>
      <c r="B41" s="46">
        <v>39</v>
      </c>
      <c r="C41" s="47"/>
      <c r="D41" s="47"/>
      <c r="E41" s="47"/>
      <c r="F41" s="47"/>
      <c r="G41" s="47"/>
      <c r="H41" s="47"/>
      <c r="I41" s="47"/>
      <c r="J41" s="47"/>
      <c r="K41" s="47"/>
      <c r="L41" s="47"/>
      <c r="M41" s="47"/>
      <c r="N41" s="47"/>
    </row>
    <row r="42" spans="1:14" x14ac:dyDescent="0.25">
      <c r="A42" s="887"/>
      <c r="B42" s="47">
        <v>40</v>
      </c>
      <c r="C42" s="47"/>
      <c r="D42" s="47"/>
      <c r="E42" s="47"/>
      <c r="F42" s="47"/>
      <c r="G42" s="47"/>
      <c r="H42" s="47"/>
      <c r="I42" s="47"/>
      <c r="J42" s="47"/>
      <c r="K42" s="47"/>
      <c r="L42" s="47"/>
      <c r="M42" s="47"/>
      <c r="N42" s="47"/>
    </row>
    <row r="43" spans="1:14" x14ac:dyDescent="0.25">
      <c r="A43" s="887"/>
      <c r="B43" s="47">
        <v>41</v>
      </c>
      <c r="C43" s="47"/>
      <c r="D43" s="47"/>
      <c r="E43" s="47"/>
      <c r="F43" s="47"/>
      <c r="G43" s="47"/>
      <c r="H43" s="47"/>
      <c r="I43" s="47"/>
      <c r="J43" s="47"/>
      <c r="K43" s="47"/>
      <c r="L43" s="47"/>
      <c r="M43" s="47"/>
      <c r="N43" s="47"/>
    </row>
    <row r="44" spans="1:14" x14ac:dyDescent="0.25">
      <c r="A44" s="887"/>
      <c r="B44" s="48">
        <v>42</v>
      </c>
      <c r="C44" s="47"/>
      <c r="D44" s="47"/>
      <c r="E44" s="47"/>
      <c r="F44" s="47"/>
      <c r="G44" s="47"/>
      <c r="H44" s="47"/>
      <c r="I44" s="47"/>
      <c r="J44" s="47"/>
      <c r="K44" s="47"/>
      <c r="L44" s="47"/>
      <c r="M44" s="47"/>
      <c r="N44" s="47"/>
    </row>
    <row r="45" spans="1:14" x14ac:dyDescent="0.25">
      <c r="A45" s="880" t="s">
        <v>599</v>
      </c>
      <c r="B45" s="12">
        <v>43</v>
      </c>
      <c r="C45" s="12"/>
      <c r="D45" s="12"/>
      <c r="E45" s="12"/>
      <c r="F45" s="12"/>
      <c r="G45" s="12"/>
      <c r="H45" s="12"/>
      <c r="I45" s="12"/>
      <c r="J45" s="12"/>
      <c r="K45" s="12"/>
      <c r="L45" s="12"/>
      <c r="M45" s="12"/>
      <c r="N45" s="12"/>
    </row>
    <row r="46" spans="1:14" x14ac:dyDescent="0.25">
      <c r="A46" s="88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Y87"/>
  <sheetViews>
    <sheetView view="pageBreakPreview" topLeftCell="E17" zoomScale="75" zoomScaleNormal="75" zoomScaleSheetLayoutView="75" workbookViewId="0">
      <selection activeCell="J24" sqref="J24"/>
    </sheetView>
  </sheetViews>
  <sheetFormatPr baseColWidth="10" defaultColWidth="10.85546875" defaultRowHeight="15" x14ac:dyDescent="0.25"/>
  <cols>
    <col min="1" max="1" width="41.85546875" style="108" customWidth="1"/>
    <col min="2" max="2" width="15.42578125" style="108" customWidth="1"/>
    <col min="3" max="3" width="17.42578125" style="108" customWidth="1"/>
    <col min="4" max="16" width="15.42578125" style="108" customWidth="1"/>
    <col min="17" max="17" width="16" style="108" bestFit="1" customWidth="1"/>
    <col min="18" max="18" width="14.85546875" style="108" bestFit="1" customWidth="1"/>
    <col min="19" max="19" width="16" style="108" bestFit="1" customWidth="1"/>
    <col min="20" max="21" width="14.85546875" style="108" bestFit="1" customWidth="1"/>
    <col min="22" max="24" width="16" style="108" bestFit="1" customWidth="1"/>
    <col min="25" max="27" width="14.85546875" style="108" bestFit="1" customWidth="1"/>
    <col min="28" max="29" width="16" style="108" bestFit="1" customWidth="1"/>
    <col min="30" max="30" width="19.42578125" style="108" customWidth="1"/>
    <col min="31" max="31" width="6.42578125" style="108" bestFit="1" customWidth="1"/>
    <col min="32" max="32" width="22.85546875" style="108" customWidth="1"/>
    <col min="33" max="33" width="18.42578125" style="108" bestFit="1" customWidth="1"/>
    <col min="34" max="34" width="8.42578125" style="108" customWidth="1"/>
    <col min="35" max="35" width="18.42578125" style="108" bestFit="1" customWidth="1"/>
    <col min="36" max="36" width="5.42578125" style="108" customWidth="1"/>
    <col min="37" max="37" width="18.42578125" style="108" bestFit="1" customWidth="1"/>
    <col min="38" max="38" width="4.42578125" style="108" customWidth="1"/>
    <col min="39" max="39" width="23" style="108" bestFit="1" customWidth="1"/>
    <col min="40" max="40" width="10.85546875" style="108"/>
    <col min="41" max="41" width="18.42578125" style="108" bestFit="1" customWidth="1"/>
    <col min="42" max="42" width="16.140625" style="108" customWidth="1"/>
    <col min="43" max="16384" width="10.85546875" style="108"/>
  </cols>
  <sheetData>
    <row r="1" spans="1:30"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ht="15" customHeight="1" x14ac:dyDescent="0.25">
      <c r="A11" s="358" t="s">
        <v>15</v>
      </c>
      <c r="B11" s="359"/>
      <c r="C11" s="496" t="s">
        <v>16</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1:30" ht="15" customHeight="1" x14ac:dyDescent="0.25">
      <c r="A12" s="360"/>
      <c r="B12" s="36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1"/>
    </row>
    <row r="13" spans="1:30" ht="15" customHeight="1" thickBot="1" x14ac:dyDescent="0.3">
      <c r="A13" s="362"/>
      <c r="B13" s="363"/>
      <c r="C13" s="502"/>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9" t="s">
        <v>18</v>
      </c>
      <c r="D15" s="510"/>
      <c r="E15" s="510"/>
      <c r="F15" s="510"/>
      <c r="G15" s="510"/>
      <c r="H15" s="510"/>
      <c r="I15" s="510"/>
      <c r="J15" s="510"/>
      <c r="K15" s="511"/>
      <c r="L15" s="420" t="s">
        <v>19</v>
      </c>
      <c r="M15" s="424"/>
      <c r="N15" s="424"/>
      <c r="O15" s="424"/>
      <c r="P15" s="424"/>
      <c r="Q15" s="421"/>
      <c r="R15" s="417" t="s">
        <v>20</v>
      </c>
      <c r="S15" s="418"/>
      <c r="T15" s="418"/>
      <c r="U15" s="418"/>
      <c r="V15" s="418"/>
      <c r="W15" s="418"/>
      <c r="X15" s="419"/>
      <c r="Y15" s="420" t="s">
        <v>21</v>
      </c>
      <c r="Z15" s="421"/>
      <c r="AA15" s="403" t="s">
        <v>22</v>
      </c>
      <c r="AB15" s="404"/>
      <c r="AC15" s="404"/>
      <c r="AD15" s="405"/>
    </row>
    <row r="16" spans="1:30" ht="9" customHeight="1"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41" s="222" customFormat="1" ht="37.5" customHeight="1" thickBot="1" x14ac:dyDescent="0.3">
      <c r="A17" s="407" t="s">
        <v>23</v>
      </c>
      <c r="B17" s="408"/>
      <c r="C17" s="506" t="s">
        <v>103</v>
      </c>
      <c r="D17" s="507"/>
      <c r="E17" s="507"/>
      <c r="F17" s="507"/>
      <c r="G17" s="507"/>
      <c r="H17" s="507"/>
      <c r="I17" s="507"/>
      <c r="J17" s="507"/>
      <c r="K17" s="507"/>
      <c r="L17" s="507"/>
      <c r="M17" s="507"/>
      <c r="N17" s="507"/>
      <c r="O17" s="507"/>
      <c r="P17" s="507"/>
      <c r="Q17" s="508"/>
      <c r="R17" s="420" t="s">
        <v>25</v>
      </c>
      <c r="S17" s="424"/>
      <c r="T17" s="424"/>
      <c r="U17" s="424"/>
      <c r="V17" s="421"/>
      <c r="W17" s="422">
        <v>0.9</v>
      </c>
      <c r="X17" s="423"/>
      <c r="Y17" s="424" t="s">
        <v>26</v>
      </c>
      <c r="Z17" s="424"/>
      <c r="AA17" s="424"/>
      <c r="AB17" s="421"/>
      <c r="AC17" s="412">
        <v>0.2</v>
      </c>
      <c r="AD17" s="413"/>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41"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41" ht="32.25" customHeight="1" thickBot="1" x14ac:dyDescent="0.3">
      <c r="A21" s="59"/>
      <c r="B21" s="271"/>
      <c r="C21" s="194"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194"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41" ht="32.25" customHeight="1" x14ac:dyDescent="0.25">
      <c r="A22" s="187" t="s">
        <v>43</v>
      </c>
      <c r="B22" s="272"/>
      <c r="C22" s="263" t="s">
        <v>44</v>
      </c>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77">
        <v>620606424.75</v>
      </c>
      <c r="R22" s="263" t="s">
        <v>44</v>
      </c>
      <c r="S22" s="263">
        <v>271806000</v>
      </c>
      <c r="T22" s="263">
        <v>8596121.5999999996</v>
      </c>
      <c r="U22" s="263">
        <v>89288066.599999994</v>
      </c>
      <c r="V22" s="263" t="s">
        <v>44</v>
      </c>
      <c r="W22" s="263" t="s">
        <v>44</v>
      </c>
      <c r="X22" s="263" t="s">
        <v>44</v>
      </c>
      <c r="Y22" s="263" t="s">
        <v>44</v>
      </c>
      <c r="Z22" s="263" t="s">
        <v>44</v>
      </c>
      <c r="AA22" s="263" t="s">
        <v>44</v>
      </c>
      <c r="AB22" s="263" t="s">
        <v>44</v>
      </c>
      <c r="AC22" s="263">
        <f>SUM(Q22:AB22)</f>
        <v>990296612.95000005</v>
      </c>
      <c r="AD22" s="259"/>
      <c r="AE22" s="224"/>
      <c r="AF22" s="224"/>
    </row>
    <row r="23" spans="1:41"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77">
        <v>617924725</v>
      </c>
      <c r="R23" s="263">
        <v>0</v>
      </c>
      <c r="S23" s="300">
        <f>612731687-Q23</f>
        <v>-5193038</v>
      </c>
      <c r="T23" s="263">
        <v>10563669</v>
      </c>
      <c r="U23" s="263">
        <f>631024750-Q23-R23-S23-T23</f>
        <v>7729394</v>
      </c>
      <c r="V23" s="263">
        <f>688476817-Q23-R23-S23-T23-U23</f>
        <v>57452067</v>
      </c>
      <c r="W23" s="263">
        <f>698823517-Q23-R23-S23-T23-U23-V23</f>
        <v>10346700</v>
      </c>
      <c r="X23" s="263" t="s">
        <v>44</v>
      </c>
      <c r="Y23" s="263" t="s">
        <v>44</v>
      </c>
      <c r="Z23" s="263" t="s">
        <v>44</v>
      </c>
      <c r="AA23" s="263" t="s">
        <v>44</v>
      </c>
      <c r="AB23" s="263" t="s">
        <v>44</v>
      </c>
      <c r="AC23" s="263">
        <f t="shared" ref="AC23:AC25" si="0">SUM(Q23:AB23)</f>
        <v>698823517</v>
      </c>
      <c r="AD23" s="312">
        <f>(SUM(Q23:W23)/SUM(Q22:W22))</f>
        <v>0.70567091501835066</v>
      </c>
      <c r="AE23" s="224"/>
      <c r="AF23" s="224"/>
    </row>
    <row r="24" spans="1:41" ht="32.25" customHeight="1" x14ac:dyDescent="0.25">
      <c r="A24" s="188" t="s">
        <v>47</v>
      </c>
      <c r="B24" s="189"/>
      <c r="C24" s="277" t="s">
        <v>44</v>
      </c>
      <c r="D24" s="265">
        <f>54361114</f>
        <v>54361114</v>
      </c>
      <c r="E24" s="265">
        <f>3611445</f>
        <v>3611445</v>
      </c>
      <c r="F24" s="265">
        <f>3453332</f>
        <v>3453332</v>
      </c>
      <c r="G24" s="265">
        <f>1051250+14373459-316666.5-3491248.5</f>
        <v>11616794</v>
      </c>
      <c r="H24" s="263" t="s">
        <v>44</v>
      </c>
      <c r="I24" s="263">
        <v>-509256</v>
      </c>
      <c r="J24" s="263" t="s">
        <v>44</v>
      </c>
      <c r="K24" s="263" t="s">
        <v>44</v>
      </c>
      <c r="L24" s="263" t="s">
        <v>44</v>
      </c>
      <c r="M24" s="263" t="s">
        <v>44</v>
      </c>
      <c r="N24" s="263" t="s">
        <v>44</v>
      </c>
      <c r="O24" s="265">
        <f>SUM(C24:N24)</f>
        <v>72533429</v>
      </c>
      <c r="P24" s="261"/>
      <c r="Q24" s="277" t="s">
        <v>44</v>
      </c>
      <c r="R24" s="265">
        <v>32896294.760000002</v>
      </c>
      <c r="S24" s="263">
        <v>58063415.193333298</v>
      </c>
      <c r="T24" s="263">
        <v>57728752.743333302</v>
      </c>
      <c r="U24" s="263">
        <v>55057487.493333302</v>
      </c>
      <c r="V24" s="263">
        <v>146470198.29333299</v>
      </c>
      <c r="W24" s="265">
        <v>199537548.29333299</v>
      </c>
      <c r="X24" s="265">
        <v>119736548.29333299</v>
      </c>
      <c r="Y24" s="265">
        <v>65375348.293333299</v>
      </c>
      <c r="Z24" s="265">
        <v>65375348.293333299</v>
      </c>
      <c r="AA24" s="265">
        <v>66403702.493333302</v>
      </c>
      <c r="AB24" s="265">
        <v>123651969.073333</v>
      </c>
      <c r="AC24" s="263">
        <f t="shared" si="0"/>
        <v>990296613.22333193</v>
      </c>
      <c r="AD24" s="312"/>
      <c r="AE24" s="224"/>
      <c r="AF24" s="224"/>
      <c r="AG24" s="225"/>
    </row>
    <row r="25" spans="1:41" ht="32.25" customHeight="1" thickBot="1" x14ac:dyDescent="0.3">
      <c r="A25" s="190" t="s">
        <v>48</v>
      </c>
      <c r="B25" s="273"/>
      <c r="C25" s="278">
        <v>696667</v>
      </c>
      <c r="D25" s="279">
        <f>61973398-C25</f>
        <v>61276731</v>
      </c>
      <c r="E25" s="279">
        <v>2781031</v>
      </c>
      <c r="F25" s="279">
        <v>1430394</v>
      </c>
      <c r="G25" s="279">
        <f>72533429-C25-D25-E25-F25</f>
        <v>6348606</v>
      </c>
      <c r="H25" s="279"/>
      <c r="I25" s="279" t="s">
        <v>44</v>
      </c>
      <c r="J25" s="279" t="s">
        <v>44</v>
      </c>
      <c r="K25" s="279" t="s">
        <v>44</v>
      </c>
      <c r="L25" s="279" t="s">
        <v>44</v>
      </c>
      <c r="M25" s="279" t="s">
        <v>44</v>
      </c>
      <c r="N25" s="279" t="s">
        <v>44</v>
      </c>
      <c r="O25" s="282">
        <f>SUM(C25:N25)</f>
        <v>72533429</v>
      </c>
      <c r="P25" s="311">
        <f>(SUM(C25:H25)/SUM(C24:H24))</f>
        <v>0.99302796714003594</v>
      </c>
      <c r="Q25" s="278"/>
      <c r="R25" s="279">
        <v>25853067</v>
      </c>
      <c r="S25" s="279">
        <v>54619928</v>
      </c>
      <c r="T25" s="305">
        <v>53489650</v>
      </c>
      <c r="U25" s="279">
        <f>187452295-R25-S25-T25</f>
        <v>53489650</v>
      </c>
      <c r="V25" s="279">
        <f>249781588-R25-S25-T25-U25</f>
        <v>62329293</v>
      </c>
      <c r="W25" s="279">
        <f>309562647-Q25-R25-S25-T25-U25-V25</f>
        <v>59781059</v>
      </c>
      <c r="X25" s="279" t="s">
        <v>44</v>
      </c>
      <c r="Y25" s="279" t="s">
        <v>44</v>
      </c>
      <c r="Z25" s="279" t="s">
        <v>44</v>
      </c>
      <c r="AA25" s="279" t="s">
        <v>44</v>
      </c>
      <c r="AB25" s="279" t="s">
        <v>44</v>
      </c>
      <c r="AC25" s="279">
        <f t="shared" si="0"/>
        <v>309562647</v>
      </c>
      <c r="AD25" s="311">
        <f>(SUM(Q25:W25)/SUM(Q24:W24))</f>
        <v>0.56309334310080672</v>
      </c>
      <c r="AE25" s="224"/>
      <c r="AF25" s="224"/>
      <c r="AG25" s="225"/>
    </row>
    <row r="26" spans="1:41" ht="32.25" customHeight="1" thickBot="1" x14ac:dyDescent="0.3">
      <c r="A26" s="59"/>
      <c r="B26" s="54"/>
      <c r="C26" s="80"/>
      <c r="D26" s="80"/>
      <c r="E26" s="80"/>
      <c r="F26" s="80"/>
      <c r="G26" s="80"/>
      <c r="H26" s="80"/>
      <c r="I26" s="294"/>
      <c r="J26" s="80"/>
      <c r="K26" s="80"/>
      <c r="L26" s="80"/>
      <c r="M26" s="80"/>
      <c r="N26" s="80"/>
      <c r="O26" s="80"/>
      <c r="P26" s="294"/>
      <c r="Q26" s="80"/>
      <c r="R26" s="80"/>
      <c r="S26" s="80"/>
      <c r="T26" s="80"/>
      <c r="U26" s="80"/>
      <c r="V26" s="80"/>
      <c r="W26" s="80"/>
      <c r="X26" s="80"/>
      <c r="Y26" s="80"/>
      <c r="Z26" s="80"/>
      <c r="AA26" s="80"/>
      <c r="AB26" s="80"/>
      <c r="AC26" s="60"/>
      <c r="AD26" s="61"/>
    </row>
    <row r="27" spans="1:41" ht="33.950000000000003" customHeight="1"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41" ht="15" customHeight="1"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41" ht="27" customHeight="1"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41" ht="42" customHeight="1" thickBot="1" x14ac:dyDescent="0.3">
      <c r="A30" s="85" t="s">
        <v>103</v>
      </c>
      <c r="B30" s="512"/>
      <c r="C30" s="513"/>
      <c r="D30" s="89"/>
      <c r="E30" s="89"/>
      <c r="F30" s="89"/>
      <c r="G30" s="89"/>
      <c r="H30" s="89"/>
      <c r="I30" s="89"/>
      <c r="J30" s="89"/>
      <c r="K30" s="89"/>
      <c r="L30" s="89"/>
      <c r="M30" s="89"/>
      <c r="N30" s="89"/>
      <c r="O30" s="89"/>
      <c r="P30" s="86">
        <f>SUM(D30:O30)</f>
        <v>0</v>
      </c>
      <c r="Q30" s="427" t="s">
        <v>104</v>
      </c>
      <c r="R30" s="427"/>
      <c r="S30" s="427"/>
      <c r="T30" s="427"/>
      <c r="U30" s="427"/>
      <c r="V30" s="427"/>
      <c r="W30" s="427"/>
      <c r="X30" s="427"/>
      <c r="Y30" s="427"/>
      <c r="Z30" s="427"/>
      <c r="AA30" s="427"/>
      <c r="AB30" s="427"/>
      <c r="AC30" s="427"/>
      <c r="AD30" s="428"/>
    </row>
    <row r="31" spans="1:41" ht="45" customHeight="1"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41" ht="23.25" customHeight="1"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c r="AG32" s="226"/>
      <c r="AH32" s="226"/>
      <c r="AI32" s="226"/>
      <c r="AJ32" s="226"/>
      <c r="AK32" s="226"/>
      <c r="AL32" s="226"/>
      <c r="AM32" s="226"/>
      <c r="AN32" s="226"/>
      <c r="AO32" s="226"/>
    </row>
    <row r="33" spans="1:41" ht="23.25" customHeight="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c r="AG33" s="226"/>
      <c r="AH33" s="226"/>
      <c r="AI33" s="226"/>
      <c r="AJ33" s="226"/>
      <c r="AK33" s="226"/>
      <c r="AL33" s="226"/>
      <c r="AM33" s="226"/>
      <c r="AN33" s="226"/>
      <c r="AO33" s="226"/>
    </row>
    <row r="34" spans="1:41" ht="101.25" customHeight="1" x14ac:dyDescent="0.25">
      <c r="A34" s="444" t="s">
        <v>103</v>
      </c>
      <c r="B34" s="446">
        <f>B38+B40+B42+B44+B46+B48+B50+B52+B54+B56</f>
        <v>0.19999999999999998</v>
      </c>
      <c r="C34" s="90" t="s">
        <v>63</v>
      </c>
      <c r="D34" s="214">
        <f>D87</f>
        <v>0</v>
      </c>
      <c r="E34" s="214">
        <f t="shared" ref="E34:O34" si="1">E87</f>
        <v>3.0600000000000006E-2</v>
      </c>
      <c r="F34" s="214">
        <f t="shared" si="1"/>
        <v>4.7700000000000006E-2</v>
      </c>
      <c r="G34" s="214">
        <f t="shared" si="1"/>
        <v>6.6600000000000006E-2</v>
      </c>
      <c r="H34" s="214">
        <f t="shared" si="1"/>
        <v>6.0300000000000013E-2</v>
      </c>
      <c r="I34" s="214">
        <f t="shared" si="1"/>
        <v>9.9000000000000019E-2</v>
      </c>
      <c r="J34" s="214">
        <f t="shared" si="1"/>
        <v>0.10350000000000002</v>
      </c>
      <c r="K34" s="214">
        <f t="shared" si="1"/>
        <v>0.11250000000000004</v>
      </c>
      <c r="L34" s="214">
        <f t="shared" si="1"/>
        <v>0.10800000000000003</v>
      </c>
      <c r="M34" s="214">
        <f t="shared" si="1"/>
        <v>0.12150000000000002</v>
      </c>
      <c r="N34" s="214">
        <f t="shared" si="1"/>
        <v>9.4500000000000028E-2</v>
      </c>
      <c r="O34" s="214">
        <f t="shared" si="1"/>
        <v>5.5800000000000009E-2</v>
      </c>
      <c r="P34" s="215">
        <f>SUM(D34:O34)</f>
        <v>0.90000000000000024</v>
      </c>
      <c r="Q34" s="515" t="s">
        <v>600</v>
      </c>
      <c r="R34" s="516"/>
      <c r="S34" s="516"/>
      <c r="T34" s="516"/>
      <c r="U34" s="516"/>
      <c r="V34" s="517"/>
      <c r="W34" s="515" t="s">
        <v>105</v>
      </c>
      <c r="X34" s="516"/>
      <c r="Y34" s="516"/>
      <c r="Z34" s="517"/>
      <c r="AA34" s="521" t="s">
        <v>106</v>
      </c>
      <c r="AB34" s="516"/>
      <c r="AC34" s="516"/>
      <c r="AD34" s="522"/>
      <c r="AG34" s="226"/>
      <c r="AH34" s="226"/>
      <c r="AI34" s="226"/>
      <c r="AJ34" s="226"/>
      <c r="AK34" s="226"/>
      <c r="AL34" s="226"/>
      <c r="AM34" s="226"/>
      <c r="AN34" s="226"/>
      <c r="AO34" s="226"/>
    </row>
    <row r="35" spans="1:41" ht="101.25" customHeight="1" thickBot="1" x14ac:dyDescent="0.3">
      <c r="A35" s="445"/>
      <c r="B35" s="447"/>
      <c r="C35" s="91" t="s">
        <v>67</v>
      </c>
      <c r="D35" s="218">
        <f>D84</f>
        <v>0</v>
      </c>
      <c r="E35" s="218">
        <f t="shared" ref="E35:O35" si="2">E84</f>
        <v>3.0600000000000006E-2</v>
      </c>
      <c r="F35" s="218">
        <f t="shared" si="2"/>
        <v>5.4000000000000006E-2</v>
      </c>
      <c r="G35" s="218">
        <f t="shared" si="2"/>
        <v>6.6600000000000006E-2</v>
      </c>
      <c r="H35" s="218">
        <f>H84</f>
        <v>6.9300000000000014E-2</v>
      </c>
      <c r="I35" s="218">
        <f>I84</f>
        <v>9.7200000000000022E-2</v>
      </c>
      <c r="J35" s="327">
        <f>J84</f>
        <v>8.5500000000000034E-2</v>
      </c>
      <c r="K35" s="218">
        <f t="shared" si="2"/>
        <v>0</v>
      </c>
      <c r="L35" s="218">
        <f t="shared" si="2"/>
        <v>0</v>
      </c>
      <c r="M35" s="218">
        <f t="shared" si="2"/>
        <v>0</v>
      </c>
      <c r="N35" s="218">
        <f t="shared" si="2"/>
        <v>0</v>
      </c>
      <c r="O35" s="218">
        <f t="shared" si="2"/>
        <v>0</v>
      </c>
      <c r="P35" s="216">
        <f>SUM(D35:O35)</f>
        <v>0.40320000000000006</v>
      </c>
      <c r="Q35" s="518"/>
      <c r="R35" s="519"/>
      <c r="S35" s="519"/>
      <c r="T35" s="519"/>
      <c r="U35" s="519"/>
      <c r="V35" s="520"/>
      <c r="W35" s="518"/>
      <c r="X35" s="519"/>
      <c r="Y35" s="519"/>
      <c r="Z35" s="520"/>
      <c r="AA35" s="518"/>
      <c r="AB35" s="519"/>
      <c r="AC35" s="519"/>
      <c r="AD35" s="523"/>
      <c r="AE35" s="227"/>
      <c r="AG35" s="226"/>
      <c r="AH35" s="226"/>
      <c r="AI35" s="226"/>
      <c r="AJ35" s="226"/>
      <c r="AK35" s="226"/>
      <c r="AL35" s="226"/>
      <c r="AM35" s="226"/>
      <c r="AN35" s="226"/>
      <c r="AO35" s="226"/>
    </row>
    <row r="36" spans="1:41" ht="26.25" customHeight="1" x14ac:dyDescent="0.25">
      <c r="A36" s="429" t="s">
        <v>68</v>
      </c>
      <c r="B36" s="437" t="s">
        <v>69</v>
      </c>
      <c r="C36" s="439" t="s">
        <v>70</v>
      </c>
      <c r="D36" s="439"/>
      <c r="E36" s="439"/>
      <c r="F36" s="439"/>
      <c r="G36" s="439"/>
      <c r="H36" s="439"/>
      <c r="I36" s="439"/>
      <c r="J36" s="439"/>
      <c r="K36" s="439"/>
      <c r="L36" s="439"/>
      <c r="M36" s="439"/>
      <c r="N36" s="439"/>
      <c r="O36" s="439"/>
      <c r="P36" s="439"/>
      <c r="Q36" s="440" t="s">
        <v>71</v>
      </c>
      <c r="R36" s="441"/>
      <c r="S36" s="441"/>
      <c r="T36" s="441"/>
      <c r="U36" s="441"/>
      <c r="V36" s="441"/>
      <c r="W36" s="441"/>
      <c r="X36" s="441"/>
      <c r="Y36" s="441"/>
      <c r="Z36" s="441"/>
      <c r="AA36" s="441"/>
      <c r="AB36" s="441"/>
      <c r="AC36" s="441"/>
      <c r="AD36" s="442"/>
      <c r="AG36" s="226"/>
      <c r="AH36" s="226"/>
      <c r="AI36" s="226"/>
      <c r="AJ36" s="226"/>
      <c r="AK36" s="226"/>
      <c r="AL36" s="226"/>
      <c r="AM36" s="226"/>
      <c r="AN36" s="226"/>
      <c r="AO36" s="226"/>
    </row>
    <row r="37" spans="1:41" ht="26.25" customHeight="1" x14ac:dyDescent="0.25">
      <c r="A37" s="514"/>
      <c r="B37" s="438"/>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94" t="s">
        <v>86</v>
      </c>
      <c r="R37" s="395"/>
      <c r="S37" s="395"/>
      <c r="T37" s="395"/>
      <c r="U37" s="395"/>
      <c r="V37" s="395"/>
      <c r="W37" s="395"/>
      <c r="X37" s="395"/>
      <c r="Y37" s="395"/>
      <c r="Z37" s="395"/>
      <c r="AA37" s="395"/>
      <c r="AB37" s="395"/>
      <c r="AC37" s="395"/>
      <c r="AD37" s="443"/>
      <c r="AG37" s="228"/>
      <c r="AH37" s="228"/>
      <c r="AI37" s="228"/>
      <c r="AJ37" s="228"/>
      <c r="AK37" s="228"/>
      <c r="AL37" s="228"/>
      <c r="AM37" s="228"/>
      <c r="AN37" s="228"/>
      <c r="AO37" s="228"/>
    </row>
    <row r="38" spans="1:41" ht="45.75" customHeight="1" x14ac:dyDescent="0.25">
      <c r="A38" s="471" t="s">
        <v>107</v>
      </c>
      <c r="B38" s="524">
        <v>0.02</v>
      </c>
      <c r="C38" s="90" t="s">
        <v>63</v>
      </c>
      <c r="D38" s="95">
        <v>0</v>
      </c>
      <c r="E38" s="95">
        <v>0</v>
      </c>
      <c r="F38" s="95">
        <v>0</v>
      </c>
      <c r="G38" s="95">
        <v>0</v>
      </c>
      <c r="H38" s="95">
        <v>0.05</v>
      </c>
      <c r="I38" s="95">
        <v>0.05</v>
      </c>
      <c r="J38" s="95">
        <v>0.05</v>
      </c>
      <c r="K38" s="95">
        <v>0.2</v>
      </c>
      <c r="L38" s="95">
        <v>0.2</v>
      </c>
      <c r="M38" s="95">
        <v>0.2</v>
      </c>
      <c r="N38" s="95">
        <v>0.2</v>
      </c>
      <c r="O38" s="95">
        <v>0.05</v>
      </c>
      <c r="P38" s="96">
        <f t="shared" ref="P38:P49" si="3">SUM(D38:O38)</f>
        <v>1</v>
      </c>
      <c r="Q38" s="474" t="s">
        <v>108</v>
      </c>
      <c r="R38" s="475"/>
      <c r="S38" s="475"/>
      <c r="T38" s="475"/>
      <c r="U38" s="475"/>
      <c r="V38" s="475"/>
      <c r="W38" s="475"/>
      <c r="X38" s="475"/>
      <c r="Y38" s="475"/>
      <c r="Z38" s="475"/>
      <c r="AA38" s="475"/>
      <c r="AB38" s="475"/>
      <c r="AC38" s="475"/>
      <c r="AD38" s="476"/>
      <c r="AE38" s="97"/>
      <c r="AG38" s="229"/>
      <c r="AH38" s="229"/>
      <c r="AI38" s="229"/>
      <c r="AJ38" s="229"/>
      <c r="AK38" s="229"/>
      <c r="AL38" s="229"/>
      <c r="AM38" s="229"/>
      <c r="AN38" s="229"/>
      <c r="AO38" s="229"/>
    </row>
    <row r="39" spans="1:41" ht="45.75" customHeight="1" x14ac:dyDescent="0.25">
      <c r="A39" s="468"/>
      <c r="B39" s="473"/>
      <c r="C39" s="99" t="s">
        <v>67</v>
      </c>
      <c r="D39" s="100">
        <v>0</v>
      </c>
      <c r="E39" s="100">
        <v>0</v>
      </c>
      <c r="F39" s="100">
        <v>0</v>
      </c>
      <c r="G39" s="100">
        <v>0</v>
      </c>
      <c r="H39" s="100">
        <v>0.05</v>
      </c>
      <c r="I39" s="100">
        <v>0.05</v>
      </c>
      <c r="J39" s="100">
        <v>0.05</v>
      </c>
      <c r="K39" s="100"/>
      <c r="L39" s="100"/>
      <c r="M39" s="100"/>
      <c r="N39" s="100"/>
      <c r="O39" s="100"/>
      <c r="P39" s="101">
        <f t="shared" si="3"/>
        <v>0.15000000000000002</v>
      </c>
      <c r="Q39" s="477"/>
      <c r="R39" s="478"/>
      <c r="S39" s="478"/>
      <c r="T39" s="478"/>
      <c r="U39" s="478"/>
      <c r="V39" s="478"/>
      <c r="W39" s="478"/>
      <c r="X39" s="478"/>
      <c r="Y39" s="478"/>
      <c r="Z39" s="478"/>
      <c r="AA39" s="478"/>
      <c r="AB39" s="478"/>
      <c r="AC39" s="478"/>
      <c r="AD39" s="479"/>
      <c r="AE39" s="97"/>
    </row>
    <row r="40" spans="1:41" ht="45.75" customHeight="1" x14ac:dyDescent="0.25">
      <c r="A40" s="468" t="s">
        <v>109</v>
      </c>
      <c r="B40" s="473">
        <v>0.02</v>
      </c>
      <c r="C40" s="102" t="s">
        <v>63</v>
      </c>
      <c r="D40" s="103">
        <v>0</v>
      </c>
      <c r="E40" s="103">
        <v>0.02</v>
      </c>
      <c r="F40" s="103">
        <v>0.1</v>
      </c>
      <c r="G40" s="103">
        <v>0.04</v>
      </c>
      <c r="H40" s="103">
        <v>0.02</v>
      </c>
      <c r="I40" s="103">
        <v>0.1</v>
      </c>
      <c r="J40" s="103">
        <v>0.1</v>
      </c>
      <c r="K40" s="103">
        <v>0.1</v>
      </c>
      <c r="L40" s="103">
        <v>0.1</v>
      </c>
      <c r="M40" s="103">
        <v>0.2</v>
      </c>
      <c r="N40" s="103">
        <v>0.2</v>
      </c>
      <c r="O40" s="103">
        <v>0.02</v>
      </c>
      <c r="P40" s="101">
        <f t="shared" si="3"/>
        <v>1</v>
      </c>
      <c r="Q40" s="474" t="s">
        <v>110</v>
      </c>
      <c r="R40" s="475"/>
      <c r="S40" s="475"/>
      <c r="T40" s="475"/>
      <c r="U40" s="475"/>
      <c r="V40" s="475"/>
      <c r="W40" s="475"/>
      <c r="X40" s="475"/>
      <c r="Y40" s="475"/>
      <c r="Z40" s="475"/>
      <c r="AA40" s="475"/>
      <c r="AB40" s="475"/>
      <c r="AC40" s="475"/>
      <c r="AD40" s="476"/>
      <c r="AE40" s="97"/>
    </row>
    <row r="41" spans="1:41" ht="45.75" customHeight="1" x14ac:dyDescent="0.25">
      <c r="A41" s="468"/>
      <c r="B41" s="473"/>
      <c r="C41" s="99" t="s">
        <v>67</v>
      </c>
      <c r="D41" s="100">
        <v>0</v>
      </c>
      <c r="E41" s="100">
        <v>0.02</v>
      </c>
      <c r="F41" s="100">
        <v>0.1</v>
      </c>
      <c r="G41" s="100">
        <v>0.04</v>
      </c>
      <c r="H41" s="100">
        <v>0.02</v>
      </c>
      <c r="I41" s="100">
        <v>0.1</v>
      </c>
      <c r="J41" s="100">
        <v>0.1</v>
      </c>
      <c r="K41" s="100"/>
      <c r="L41" s="104"/>
      <c r="M41" s="104"/>
      <c r="N41" s="104"/>
      <c r="O41" s="104"/>
      <c r="P41" s="101">
        <f t="shared" si="3"/>
        <v>0.38</v>
      </c>
      <c r="Q41" s="477"/>
      <c r="R41" s="478"/>
      <c r="S41" s="478"/>
      <c r="T41" s="478"/>
      <c r="U41" s="478"/>
      <c r="V41" s="478"/>
      <c r="W41" s="478"/>
      <c r="X41" s="478"/>
      <c r="Y41" s="478"/>
      <c r="Z41" s="478"/>
      <c r="AA41" s="478"/>
      <c r="AB41" s="478"/>
      <c r="AC41" s="478"/>
      <c r="AD41" s="479"/>
      <c r="AE41" s="97"/>
    </row>
    <row r="42" spans="1:41" ht="79.5" customHeight="1" x14ac:dyDescent="0.25">
      <c r="A42" s="525" t="s">
        <v>111</v>
      </c>
      <c r="B42" s="473">
        <v>0.02</v>
      </c>
      <c r="C42" s="102" t="s">
        <v>63</v>
      </c>
      <c r="D42" s="103">
        <v>0</v>
      </c>
      <c r="E42" s="103">
        <v>0.02</v>
      </c>
      <c r="F42" s="103">
        <v>0.08</v>
      </c>
      <c r="G42" s="103">
        <v>0.1</v>
      </c>
      <c r="H42" s="103">
        <v>0.1</v>
      </c>
      <c r="I42" s="103">
        <v>0.1</v>
      </c>
      <c r="J42" s="103">
        <v>0.1</v>
      </c>
      <c r="K42" s="103">
        <v>0.1</v>
      </c>
      <c r="L42" s="103">
        <v>0.1</v>
      </c>
      <c r="M42" s="103">
        <v>0.1</v>
      </c>
      <c r="N42" s="103">
        <v>0.1</v>
      </c>
      <c r="O42" s="103">
        <v>0.1</v>
      </c>
      <c r="P42" s="101">
        <f t="shared" si="3"/>
        <v>0.99999999999999989</v>
      </c>
      <c r="Q42" s="474" t="s">
        <v>112</v>
      </c>
      <c r="R42" s="475"/>
      <c r="S42" s="475"/>
      <c r="T42" s="475"/>
      <c r="U42" s="475"/>
      <c r="V42" s="475"/>
      <c r="W42" s="475"/>
      <c r="X42" s="475"/>
      <c r="Y42" s="475"/>
      <c r="Z42" s="475"/>
      <c r="AA42" s="475"/>
      <c r="AB42" s="475"/>
      <c r="AC42" s="475"/>
      <c r="AD42" s="476"/>
      <c r="AE42" s="97"/>
    </row>
    <row r="43" spans="1:41" ht="45.75" customHeight="1" x14ac:dyDescent="0.25">
      <c r="A43" s="471"/>
      <c r="B43" s="473"/>
      <c r="C43" s="99" t="s">
        <v>67</v>
      </c>
      <c r="D43" s="100">
        <v>0</v>
      </c>
      <c r="E43" s="100">
        <v>0.02</v>
      </c>
      <c r="F43" s="100">
        <v>0.08</v>
      </c>
      <c r="G43" s="100">
        <v>0.1</v>
      </c>
      <c r="H43" s="100">
        <v>0.1</v>
      </c>
      <c r="I43" s="100">
        <v>0.1</v>
      </c>
      <c r="J43" s="100">
        <v>0.1</v>
      </c>
      <c r="K43" s="100"/>
      <c r="L43" s="104"/>
      <c r="M43" s="104"/>
      <c r="N43" s="104"/>
      <c r="O43" s="104"/>
      <c r="P43" s="101">
        <f t="shared" si="3"/>
        <v>0.5</v>
      </c>
      <c r="Q43" s="477"/>
      <c r="R43" s="478"/>
      <c r="S43" s="478"/>
      <c r="T43" s="478"/>
      <c r="U43" s="478"/>
      <c r="V43" s="478"/>
      <c r="W43" s="478"/>
      <c r="X43" s="478"/>
      <c r="Y43" s="478"/>
      <c r="Z43" s="478"/>
      <c r="AA43" s="478"/>
      <c r="AB43" s="478"/>
      <c r="AC43" s="478"/>
      <c r="AD43" s="479"/>
      <c r="AE43" s="97"/>
    </row>
    <row r="44" spans="1:41" ht="45.75" customHeight="1" x14ac:dyDescent="0.25">
      <c r="A44" s="525" t="s">
        <v>113</v>
      </c>
      <c r="B44" s="473">
        <v>0.02</v>
      </c>
      <c r="C44" s="102" t="s">
        <v>63</v>
      </c>
      <c r="D44" s="163">
        <v>0</v>
      </c>
      <c r="E44" s="163">
        <v>0.05</v>
      </c>
      <c r="F44" s="163">
        <v>0.05</v>
      </c>
      <c r="G44" s="163">
        <v>0.05</v>
      </c>
      <c r="H44" s="163">
        <v>0.05</v>
      </c>
      <c r="I44" s="163">
        <v>0.05</v>
      </c>
      <c r="J44" s="163">
        <v>0.05</v>
      </c>
      <c r="K44" s="163">
        <v>0.1</v>
      </c>
      <c r="L44" s="164">
        <v>0.1</v>
      </c>
      <c r="M44" s="164">
        <v>0.1</v>
      </c>
      <c r="N44" s="164">
        <v>0.2</v>
      </c>
      <c r="O44" s="164">
        <v>0.2</v>
      </c>
      <c r="P44" s="101">
        <v>1</v>
      </c>
      <c r="Q44" s="526" t="s">
        <v>114</v>
      </c>
      <c r="R44" s="475"/>
      <c r="S44" s="475"/>
      <c r="T44" s="475"/>
      <c r="U44" s="475"/>
      <c r="V44" s="475"/>
      <c r="W44" s="475"/>
      <c r="X44" s="475"/>
      <c r="Y44" s="475"/>
      <c r="Z44" s="475"/>
      <c r="AA44" s="475"/>
      <c r="AB44" s="475"/>
      <c r="AC44" s="475"/>
      <c r="AD44" s="476"/>
      <c r="AE44" s="97"/>
    </row>
    <row r="45" spans="1:41" ht="84.75" customHeight="1" x14ac:dyDescent="0.25">
      <c r="A45" s="471"/>
      <c r="B45" s="473"/>
      <c r="C45" s="99" t="s">
        <v>67</v>
      </c>
      <c r="D45" s="100">
        <v>0</v>
      </c>
      <c r="E45" s="100">
        <v>0.05</v>
      </c>
      <c r="F45" s="100">
        <v>0.05</v>
      </c>
      <c r="G45" s="100">
        <v>0.05</v>
      </c>
      <c r="H45" s="100">
        <v>0.15</v>
      </c>
      <c r="I45" s="100">
        <v>0.05</v>
      </c>
      <c r="J45" s="100">
        <v>0.05</v>
      </c>
      <c r="K45" s="100"/>
      <c r="L45" s="104"/>
      <c r="M45" s="104"/>
      <c r="N45" s="104"/>
      <c r="O45" s="104"/>
      <c r="P45" s="101">
        <f xml:space="preserve"> D45+E45+F45+G45+H45+I45+J45+K45+L45+M45+N45</f>
        <v>0.4</v>
      </c>
      <c r="Q45" s="477"/>
      <c r="R45" s="478"/>
      <c r="S45" s="478"/>
      <c r="T45" s="478"/>
      <c r="U45" s="478"/>
      <c r="V45" s="478"/>
      <c r="W45" s="478"/>
      <c r="X45" s="478"/>
      <c r="Y45" s="478"/>
      <c r="Z45" s="478"/>
      <c r="AA45" s="478"/>
      <c r="AB45" s="478"/>
      <c r="AC45" s="478"/>
      <c r="AD45" s="479"/>
      <c r="AE45" s="97"/>
    </row>
    <row r="46" spans="1:41" ht="45.75" customHeight="1" x14ac:dyDescent="0.25">
      <c r="A46" s="525" t="s">
        <v>115</v>
      </c>
      <c r="B46" s="473">
        <v>0.02</v>
      </c>
      <c r="C46" s="102" t="s">
        <v>63</v>
      </c>
      <c r="D46" s="163">
        <v>0</v>
      </c>
      <c r="E46" s="163">
        <v>0.05</v>
      </c>
      <c r="F46" s="163">
        <v>0.05</v>
      </c>
      <c r="G46" s="163">
        <v>0.1</v>
      </c>
      <c r="H46" s="163">
        <v>0.1</v>
      </c>
      <c r="I46" s="163">
        <v>0.1</v>
      </c>
      <c r="J46" s="163">
        <v>0.1</v>
      </c>
      <c r="K46" s="163">
        <v>0.1</v>
      </c>
      <c r="L46" s="164">
        <v>0.1</v>
      </c>
      <c r="M46" s="164">
        <v>0.1</v>
      </c>
      <c r="N46" s="164">
        <v>0.1</v>
      </c>
      <c r="O46" s="164">
        <v>0.1</v>
      </c>
      <c r="P46" s="101">
        <v>1</v>
      </c>
      <c r="Q46" s="474" t="s">
        <v>116</v>
      </c>
      <c r="R46" s="475"/>
      <c r="S46" s="475"/>
      <c r="T46" s="475"/>
      <c r="U46" s="475"/>
      <c r="V46" s="475"/>
      <c r="W46" s="475"/>
      <c r="X46" s="475"/>
      <c r="Y46" s="475"/>
      <c r="Z46" s="475"/>
      <c r="AA46" s="475"/>
      <c r="AB46" s="475"/>
      <c r="AC46" s="475"/>
      <c r="AD46" s="476"/>
      <c r="AE46" s="97"/>
    </row>
    <row r="47" spans="1:41" ht="89.25" customHeight="1" x14ac:dyDescent="0.25">
      <c r="A47" s="471"/>
      <c r="B47" s="473"/>
      <c r="C47" s="99" t="s">
        <v>67</v>
      </c>
      <c r="D47" s="100">
        <v>0</v>
      </c>
      <c r="E47" s="100">
        <v>0.05</v>
      </c>
      <c r="F47" s="100">
        <v>7.0000000000000007E-2</v>
      </c>
      <c r="G47" s="100">
        <v>7.0000000000000007E-2</v>
      </c>
      <c r="H47" s="100">
        <v>0.1</v>
      </c>
      <c r="I47" s="100">
        <v>0.1</v>
      </c>
      <c r="J47" s="100">
        <v>0.1</v>
      </c>
      <c r="K47" s="100"/>
      <c r="L47" s="104"/>
      <c r="M47" s="104"/>
      <c r="N47" s="104"/>
      <c r="O47" s="104"/>
      <c r="P47" s="101">
        <f>SUM(D47:O47)</f>
        <v>0.49</v>
      </c>
      <c r="Q47" s="477"/>
      <c r="R47" s="478"/>
      <c r="S47" s="478"/>
      <c r="T47" s="478"/>
      <c r="U47" s="478"/>
      <c r="V47" s="478"/>
      <c r="W47" s="478"/>
      <c r="X47" s="478"/>
      <c r="Y47" s="478"/>
      <c r="Z47" s="478"/>
      <c r="AA47" s="478"/>
      <c r="AB47" s="478"/>
      <c r="AC47" s="478"/>
      <c r="AD47" s="479"/>
      <c r="AE47" s="97"/>
    </row>
    <row r="48" spans="1:41" ht="59.25" customHeight="1" x14ac:dyDescent="0.25">
      <c r="A48" s="525" t="s">
        <v>117</v>
      </c>
      <c r="B48" s="473">
        <v>0.02</v>
      </c>
      <c r="C48" s="102" t="s">
        <v>63</v>
      </c>
      <c r="D48" s="103">
        <v>0</v>
      </c>
      <c r="E48" s="103">
        <v>0.05</v>
      </c>
      <c r="F48" s="103">
        <v>0.05</v>
      </c>
      <c r="G48" s="103">
        <v>0.05</v>
      </c>
      <c r="H48" s="103">
        <v>0.05</v>
      </c>
      <c r="I48" s="103">
        <v>0.1</v>
      </c>
      <c r="J48" s="103">
        <v>0.1</v>
      </c>
      <c r="K48" s="103">
        <v>0.2</v>
      </c>
      <c r="L48" s="103">
        <v>0.1</v>
      </c>
      <c r="M48" s="103">
        <v>0.1</v>
      </c>
      <c r="N48" s="103">
        <v>0.1</v>
      </c>
      <c r="O48" s="103">
        <v>0.1</v>
      </c>
      <c r="P48" s="101">
        <f t="shared" si="3"/>
        <v>1</v>
      </c>
      <c r="Q48" s="474" t="s">
        <v>118</v>
      </c>
      <c r="R48" s="475"/>
      <c r="S48" s="475"/>
      <c r="T48" s="475"/>
      <c r="U48" s="475"/>
      <c r="V48" s="475"/>
      <c r="W48" s="475"/>
      <c r="X48" s="475"/>
      <c r="Y48" s="475"/>
      <c r="Z48" s="475"/>
      <c r="AA48" s="475"/>
      <c r="AB48" s="475"/>
      <c r="AC48" s="475"/>
      <c r="AD48" s="476"/>
      <c r="AE48" s="97"/>
    </row>
    <row r="49" spans="1:51" ht="59.25" customHeight="1" x14ac:dyDescent="0.25">
      <c r="A49" s="471"/>
      <c r="B49" s="473"/>
      <c r="C49" s="99" t="s">
        <v>67</v>
      </c>
      <c r="D49" s="100">
        <v>0</v>
      </c>
      <c r="E49" s="100">
        <v>0</v>
      </c>
      <c r="F49" s="100">
        <v>0</v>
      </c>
      <c r="G49" s="100">
        <v>0.03</v>
      </c>
      <c r="H49" s="100">
        <v>0</v>
      </c>
      <c r="I49" s="100">
        <v>0.08</v>
      </c>
      <c r="J49" s="100">
        <v>0</v>
      </c>
      <c r="K49" s="100"/>
      <c r="L49" s="104"/>
      <c r="M49" s="104"/>
      <c r="N49" s="104"/>
      <c r="O49" s="104"/>
      <c r="P49" s="101">
        <f t="shared" si="3"/>
        <v>0.11</v>
      </c>
      <c r="Q49" s="477"/>
      <c r="R49" s="478"/>
      <c r="S49" s="478"/>
      <c r="T49" s="478"/>
      <c r="U49" s="478"/>
      <c r="V49" s="478"/>
      <c r="W49" s="478"/>
      <c r="X49" s="478"/>
      <c r="Y49" s="478"/>
      <c r="Z49" s="478"/>
      <c r="AA49" s="478"/>
      <c r="AB49" s="478"/>
      <c r="AC49" s="478"/>
      <c r="AD49" s="479"/>
      <c r="AE49" s="97"/>
    </row>
    <row r="50" spans="1:51" ht="75.75" customHeight="1" x14ac:dyDescent="0.25">
      <c r="A50" s="525" t="s">
        <v>119</v>
      </c>
      <c r="B50" s="527">
        <v>0.02</v>
      </c>
      <c r="C50" s="165" t="s">
        <v>63</v>
      </c>
      <c r="D50" s="166">
        <v>0</v>
      </c>
      <c r="E50" s="166">
        <v>0.05</v>
      </c>
      <c r="F50" s="166">
        <v>0.1</v>
      </c>
      <c r="G50" s="166">
        <v>0.15</v>
      </c>
      <c r="H50" s="166">
        <v>0.1</v>
      </c>
      <c r="I50" s="166">
        <v>0.1</v>
      </c>
      <c r="J50" s="166">
        <v>0.15</v>
      </c>
      <c r="K50" s="166">
        <v>0.1</v>
      </c>
      <c r="L50" s="166">
        <v>0.1</v>
      </c>
      <c r="M50" s="166">
        <v>0.1</v>
      </c>
      <c r="N50" s="166">
        <v>0.05</v>
      </c>
      <c r="O50" s="166">
        <v>0</v>
      </c>
      <c r="P50" s="167">
        <f t="shared" ref="P50:P56" si="4">SUM(D50:O50)</f>
        <v>1</v>
      </c>
      <c r="Q50" s="474" t="s">
        <v>120</v>
      </c>
      <c r="R50" s="475"/>
      <c r="S50" s="475"/>
      <c r="T50" s="475"/>
      <c r="U50" s="475"/>
      <c r="V50" s="475"/>
      <c r="W50" s="475"/>
      <c r="X50" s="475"/>
      <c r="Y50" s="475"/>
      <c r="Z50" s="475"/>
      <c r="AA50" s="475"/>
      <c r="AB50" s="475"/>
      <c r="AC50" s="475"/>
      <c r="AD50" s="476"/>
    </row>
    <row r="51" spans="1:51" ht="75.75" customHeight="1" x14ac:dyDescent="0.25">
      <c r="A51" s="471"/>
      <c r="B51" s="527"/>
      <c r="C51" s="168" t="s">
        <v>67</v>
      </c>
      <c r="D51" s="169">
        <v>0</v>
      </c>
      <c r="E51" s="169">
        <v>0.05</v>
      </c>
      <c r="F51" s="169">
        <v>0.1</v>
      </c>
      <c r="G51" s="169">
        <v>0.2</v>
      </c>
      <c r="H51" s="169">
        <v>0.1</v>
      </c>
      <c r="I51" s="169">
        <v>0.2</v>
      </c>
      <c r="J51" s="169">
        <v>0.15</v>
      </c>
      <c r="K51" s="169"/>
      <c r="L51" s="169"/>
      <c r="M51" s="169"/>
      <c r="N51" s="169"/>
      <c r="O51" s="104"/>
      <c r="P51" s="170">
        <f t="shared" si="4"/>
        <v>0.80000000000000016</v>
      </c>
      <c r="Q51" s="477"/>
      <c r="R51" s="478"/>
      <c r="S51" s="478"/>
      <c r="T51" s="478"/>
      <c r="U51" s="478"/>
      <c r="V51" s="478"/>
      <c r="W51" s="478"/>
      <c r="X51" s="478"/>
      <c r="Y51" s="478"/>
      <c r="Z51" s="478"/>
      <c r="AA51" s="478"/>
      <c r="AB51" s="478"/>
      <c r="AC51" s="478"/>
      <c r="AD51" s="479"/>
    </row>
    <row r="52" spans="1:51" ht="45.75" customHeight="1" x14ac:dyDescent="0.25">
      <c r="A52" s="525" t="s">
        <v>121</v>
      </c>
      <c r="B52" s="527">
        <v>0.02</v>
      </c>
      <c r="C52" s="165" t="s">
        <v>63</v>
      </c>
      <c r="D52" s="166">
        <v>0</v>
      </c>
      <c r="E52" s="166">
        <v>0.05</v>
      </c>
      <c r="F52" s="166">
        <v>0.1</v>
      </c>
      <c r="G52" s="166">
        <v>0.1</v>
      </c>
      <c r="H52" s="166">
        <v>0.1</v>
      </c>
      <c r="I52" s="166">
        <v>0.1</v>
      </c>
      <c r="J52" s="166">
        <v>0.1</v>
      </c>
      <c r="K52" s="166">
        <v>0.1</v>
      </c>
      <c r="L52" s="166">
        <v>0.1</v>
      </c>
      <c r="M52" s="166">
        <v>0.1</v>
      </c>
      <c r="N52" s="166">
        <v>0.1</v>
      </c>
      <c r="O52" s="166">
        <v>0.05</v>
      </c>
      <c r="P52" s="167">
        <f t="shared" si="4"/>
        <v>0.99999999999999989</v>
      </c>
      <c r="Q52" s="474" t="s">
        <v>122</v>
      </c>
      <c r="R52" s="475"/>
      <c r="S52" s="475"/>
      <c r="T52" s="475"/>
      <c r="U52" s="475"/>
      <c r="V52" s="475"/>
      <c r="W52" s="475"/>
      <c r="X52" s="475"/>
      <c r="Y52" s="475"/>
      <c r="Z52" s="475"/>
      <c r="AA52" s="475"/>
      <c r="AB52" s="475"/>
      <c r="AC52" s="475"/>
      <c r="AD52" s="476"/>
    </row>
    <row r="53" spans="1:51" ht="46.5" customHeight="1" x14ac:dyDescent="0.25">
      <c r="A53" s="471"/>
      <c r="B53" s="527"/>
      <c r="C53" s="168" t="s">
        <v>67</v>
      </c>
      <c r="D53" s="169">
        <v>0</v>
      </c>
      <c r="E53" s="169">
        <v>0.05</v>
      </c>
      <c r="F53" s="169">
        <v>0.1</v>
      </c>
      <c r="G53" s="169">
        <v>0.1</v>
      </c>
      <c r="H53" s="169">
        <v>0.1</v>
      </c>
      <c r="I53" s="169">
        <v>0.1</v>
      </c>
      <c r="J53" s="169">
        <v>0.1</v>
      </c>
      <c r="K53" s="169"/>
      <c r="L53" s="169"/>
      <c r="M53" s="169"/>
      <c r="N53" s="169"/>
      <c r="O53" s="104"/>
      <c r="P53" s="170">
        <f t="shared" si="4"/>
        <v>0.54999999999999993</v>
      </c>
      <c r="Q53" s="477"/>
      <c r="R53" s="478"/>
      <c r="S53" s="478"/>
      <c r="T53" s="478"/>
      <c r="U53" s="478"/>
      <c r="V53" s="478"/>
      <c r="W53" s="478"/>
      <c r="X53" s="478"/>
      <c r="Y53" s="478"/>
      <c r="Z53" s="478"/>
      <c r="AA53" s="478"/>
      <c r="AB53" s="478"/>
      <c r="AC53" s="478"/>
      <c r="AD53" s="479"/>
    </row>
    <row r="54" spans="1:51" ht="45.75" customHeight="1" x14ac:dyDescent="0.25">
      <c r="A54" s="525" t="s">
        <v>123</v>
      </c>
      <c r="B54" s="527">
        <v>0.02</v>
      </c>
      <c r="C54" s="165" t="s">
        <v>63</v>
      </c>
      <c r="D54" s="166">
        <v>0</v>
      </c>
      <c r="E54" s="166">
        <v>0</v>
      </c>
      <c r="F54" s="166">
        <v>0</v>
      </c>
      <c r="G54" s="166">
        <v>0.1</v>
      </c>
      <c r="H54" s="166">
        <v>0.1</v>
      </c>
      <c r="I54" s="166">
        <v>0.2</v>
      </c>
      <c r="J54" s="166">
        <v>0.2</v>
      </c>
      <c r="K54" s="166">
        <v>0.1</v>
      </c>
      <c r="L54" s="166">
        <v>0.1</v>
      </c>
      <c r="M54" s="166">
        <v>0.2</v>
      </c>
      <c r="N54" s="166">
        <v>0</v>
      </c>
      <c r="O54" s="166"/>
      <c r="P54" s="167">
        <f t="shared" si="4"/>
        <v>1</v>
      </c>
      <c r="Q54" s="526" t="s">
        <v>124</v>
      </c>
      <c r="R54" s="475"/>
      <c r="S54" s="475"/>
      <c r="T54" s="475"/>
      <c r="U54" s="475"/>
      <c r="V54" s="475"/>
      <c r="W54" s="475"/>
      <c r="X54" s="475"/>
      <c r="Y54" s="475"/>
      <c r="Z54" s="475"/>
      <c r="AA54" s="475"/>
      <c r="AB54" s="475"/>
      <c r="AC54" s="475"/>
      <c r="AD54" s="476"/>
    </row>
    <row r="55" spans="1:51" ht="74.25" customHeight="1" x14ac:dyDescent="0.25">
      <c r="A55" s="471"/>
      <c r="B55" s="527"/>
      <c r="C55" s="168" t="s">
        <v>67</v>
      </c>
      <c r="D55" s="169">
        <v>0</v>
      </c>
      <c r="E55" s="169">
        <v>0.05</v>
      </c>
      <c r="F55" s="169">
        <v>0.05</v>
      </c>
      <c r="G55" s="169">
        <v>0.1</v>
      </c>
      <c r="H55" s="169">
        <v>0.1</v>
      </c>
      <c r="I55" s="169">
        <v>0.1</v>
      </c>
      <c r="J55" s="169">
        <v>0.2</v>
      </c>
      <c r="K55" s="169"/>
      <c r="L55" s="169"/>
      <c r="M55" s="169"/>
      <c r="N55" s="169"/>
      <c r="O55" s="104"/>
      <c r="P55" s="170">
        <f t="shared" si="4"/>
        <v>0.60000000000000009</v>
      </c>
      <c r="Q55" s="477"/>
      <c r="R55" s="478"/>
      <c r="S55" s="478"/>
      <c r="T55" s="478"/>
      <c r="U55" s="478"/>
      <c r="V55" s="478"/>
      <c r="W55" s="478"/>
      <c r="X55" s="478"/>
      <c r="Y55" s="478"/>
      <c r="Z55" s="478"/>
      <c r="AA55" s="478"/>
      <c r="AB55" s="478"/>
      <c r="AC55" s="478"/>
      <c r="AD55" s="479"/>
    </row>
    <row r="56" spans="1:51" ht="45.75" customHeight="1" x14ac:dyDescent="0.25">
      <c r="A56" s="531" t="s">
        <v>125</v>
      </c>
      <c r="B56" s="527">
        <v>0.02</v>
      </c>
      <c r="C56" s="171" t="s">
        <v>63</v>
      </c>
      <c r="D56" s="172">
        <v>0</v>
      </c>
      <c r="E56" s="172">
        <v>0.05</v>
      </c>
      <c r="F56" s="172">
        <v>0</v>
      </c>
      <c r="G56" s="172">
        <v>0.05</v>
      </c>
      <c r="H56" s="173">
        <v>0</v>
      </c>
      <c r="I56" s="166">
        <v>0.2</v>
      </c>
      <c r="J56" s="166">
        <v>0.2</v>
      </c>
      <c r="K56" s="166">
        <v>0.15</v>
      </c>
      <c r="L56" s="166">
        <v>0.2</v>
      </c>
      <c r="M56" s="166">
        <v>0.15</v>
      </c>
      <c r="N56" s="166">
        <v>0</v>
      </c>
      <c r="O56" s="166"/>
      <c r="P56" s="167">
        <f t="shared" si="4"/>
        <v>1</v>
      </c>
      <c r="Q56" s="533" t="s">
        <v>126</v>
      </c>
      <c r="R56" s="534"/>
      <c r="S56" s="534"/>
      <c r="T56" s="534"/>
      <c r="U56" s="534"/>
      <c r="V56" s="534"/>
      <c r="W56" s="534"/>
      <c r="X56" s="534"/>
      <c r="Y56" s="534"/>
      <c r="Z56" s="534"/>
      <c r="AA56" s="534"/>
      <c r="AB56" s="534"/>
      <c r="AC56" s="534"/>
      <c r="AD56" s="535"/>
    </row>
    <row r="57" spans="1:51" ht="45.75" customHeight="1" thickBot="1" x14ac:dyDescent="0.3">
      <c r="A57" s="532"/>
      <c r="B57" s="528"/>
      <c r="C57" s="174" t="s">
        <v>67</v>
      </c>
      <c r="D57" s="175">
        <v>0</v>
      </c>
      <c r="E57" s="175">
        <v>0.05</v>
      </c>
      <c r="F57" s="175">
        <v>0.05</v>
      </c>
      <c r="G57" s="175">
        <v>0.05</v>
      </c>
      <c r="H57" s="176">
        <v>0.05</v>
      </c>
      <c r="I57" s="177">
        <v>0.2</v>
      </c>
      <c r="J57" s="177">
        <v>0.1</v>
      </c>
      <c r="K57" s="177"/>
      <c r="L57" s="177"/>
      <c r="M57" s="177"/>
      <c r="N57" s="177"/>
      <c r="O57" s="104"/>
      <c r="P57" s="178">
        <f>SUM(D57:O57)</f>
        <v>0.5</v>
      </c>
      <c r="Q57" s="536"/>
      <c r="R57" s="537"/>
      <c r="S57" s="537"/>
      <c r="T57" s="537"/>
      <c r="U57" s="537"/>
      <c r="V57" s="537"/>
      <c r="W57" s="537"/>
      <c r="X57" s="537"/>
      <c r="Y57" s="537"/>
      <c r="Z57" s="537"/>
      <c r="AA57" s="537"/>
      <c r="AB57" s="537"/>
      <c r="AC57" s="537"/>
      <c r="AD57" s="538"/>
    </row>
    <row r="59" spans="1:51" ht="34.5" customHeight="1" x14ac:dyDescent="0.25"/>
    <row r="61" spans="1:51" s="274" customFormat="1" ht="21.75" customHeight="1" x14ac:dyDescent="0.25">
      <c r="A61" s="488" t="s">
        <v>102</v>
      </c>
      <c r="B61" s="488" t="s">
        <v>69</v>
      </c>
      <c r="C61" s="490" t="s">
        <v>70</v>
      </c>
      <c r="D61" s="491"/>
      <c r="E61" s="491"/>
      <c r="F61" s="491"/>
      <c r="G61" s="491"/>
      <c r="H61" s="491"/>
      <c r="I61" s="491"/>
      <c r="J61" s="491"/>
      <c r="K61" s="491"/>
      <c r="L61" s="491"/>
      <c r="M61" s="491"/>
      <c r="N61" s="491"/>
      <c r="O61" s="491"/>
      <c r="P61" s="492"/>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row>
    <row r="62" spans="1:51" s="274" customFormat="1" ht="21.75" customHeight="1" x14ac:dyDescent="0.25">
      <c r="A62" s="489"/>
      <c r="B62" s="489"/>
      <c r="C62" s="198" t="s">
        <v>72</v>
      </c>
      <c r="D62" s="198" t="s">
        <v>73</v>
      </c>
      <c r="E62" s="198" t="s">
        <v>74</v>
      </c>
      <c r="F62" s="198" t="s">
        <v>75</v>
      </c>
      <c r="G62" s="198" t="s">
        <v>76</v>
      </c>
      <c r="H62" s="198" t="s">
        <v>77</v>
      </c>
      <c r="I62" s="198" t="s">
        <v>78</v>
      </c>
      <c r="J62" s="198" t="s">
        <v>79</v>
      </c>
      <c r="K62" s="198" t="s">
        <v>80</v>
      </c>
      <c r="L62" s="198" t="s">
        <v>81</v>
      </c>
      <c r="M62" s="198" t="s">
        <v>82</v>
      </c>
      <c r="N62" s="198" t="s">
        <v>83</v>
      </c>
      <c r="O62" s="198" t="s">
        <v>84</v>
      </c>
      <c r="P62" s="198" t="s">
        <v>85</v>
      </c>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row>
    <row r="63" spans="1:51" s="274" customFormat="1" ht="12.75" customHeight="1" x14ac:dyDescent="0.25">
      <c r="A63" s="484" t="str">
        <f>A38</f>
        <v xml:space="preserve">8. Realizar semilleros de empoderamiento dirigidos a niñas, adolescentes y mujeres jóvenes. </v>
      </c>
      <c r="B63" s="529">
        <f>B38</f>
        <v>0.02</v>
      </c>
      <c r="C63" s="199" t="s">
        <v>63</v>
      </c>
      <c r="D63" s="230">
        <f>D38*$B$38/$P$38</f>
        <v>0</v>
      </c>
      <c r="E63" s="230">
        <f t="shared" ref="E63:O64" si="5">E38*$B$38/$P$38</f>
        <v>0</v>
      </c>
      <c r="F63" s="230">
        <f t="shared" si="5"/>
        <v>0</v>
      </c>
      <c r="G63" s="230">
        <f t="shared" si="5"/>
        <v>0</v>
      </c>
      <c r="H63" s="230">
        <f t="shared" si="5"/>
        <v>1E-3</v>
      </c>
      <c r="I63" s="230">
        <f t="shared" si="5"/>
        <v>1E-3</v>
      </c>
      <c r="J63" s="230">
        <f t="shared" si="5"/>
        <v>1E-3</v>
      </c>
      <c r="K63" s="230">
        <f t="shared" si="5"/>
        <v>4.0000000000000001E-3</v>
      </c>
      <c r="L63" s="230">
        <f t="shared" si="5"/>
        <v>4.0000000000000001E-3</v>
      </c>
      <c r="M63" s="230">
        <f t="shared" si="5"/>
        <v>4.0000000000000001E-3</v>
      </c>
      <c r="N63" s="230">
        <f t="shared" si="5"/>
        <v>4.0000000000000001E-3</v>
      </c>
      <c r="O63" s="230">
        <f t="shared" si="5"/>
        <v>1E-3</v>
      </c>
      <c r="P63" s="231">
        <f t="shared" ref="P63:P66" si="6">SUM(D63:O63)</f>
        <v>0.02</v>
      </c>
      <c r="Q63" s="108"/>
      <c r="R63" s="232"/>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51" s="274" customFormat="1" ht="12.75" customHeight="1" x14ac:dyDescent="0.25">
      <c r="A64" s="493"/>
      <c r="B64" s="530"/>
      <c r="C64" s="204" t="s">
        <v>67</v>
      </c>
      <c r="D64" s="234">
        <f>D39*$B$38/$P$38</f>
        <v>0</v>
      </c>
      <c r="E64" s="234">
        <f t="shared" si="5"/>
        <v>0</v>
      </c>
      <c r="F64" s="234">
        <f t="shared" si="5"/>
        <v>0</v>
      </c>
      <c r="G64" s="234">
        <f t="shared" si="5"/>
        <v>0</v>
      </c>
      <c r="H64" s="234">
        <f t="shared" si="5"/>
        <v>1E-3</v>
      </c>
      <c r="I64" s="234">
        <f t="shared" si="5"/>
        <v>1E-3</v>
      </c>
      <c r="J64" s="234">
        <f t="shared" si="5"/>
        <v>1E-3</v>
      </c>
      <c r="K64" s="234">
        <f t="shared" si="5"/>
        <v>0</v>
      </c>
      <c r="L64" s="234">
        <f t="shared" si="5"/>
        <v>0</v>
      </c>
      <c r="M64" s="234">
        <f t="shared" si="5"/>
        <v>0</v>
      </c>
      <c r="N64" s="234">
        <f t="shared" si="5"/>
        <v>0</v>
      </c>
      <c r="O64" s="234">
        <f t="shared" si="5"/>
        <v>0</v>
      </c>
      <c r="P64" s="235">
        <f t="shared" si="6"/>
        <v>3.0000000000000001E-3</v>
      </c>
      <c r="Q64" s="236"/>
      <c r="R64" s="232"/>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13"/>
      <c r="AR64" s="213"/>
      <c r="AS64" s="213"/>
      <c r="AT64" s="213"/>
      <c r="AU64" s="213"/>
      <c r="AV64" s="213"/>
      <c r="AW64" s="213"/>
      <c r="AX64" s="213"/>
      <c r="AY64" s="213"/>
    </row>
    <row r="65" spans="1:51" s="274" customFormat="1" ht="12.75" customHeight="1" x14ac:dyDescent="0.25">
      <c r="A65" s="484" t="str">
        <f t="shared" ref="A65:B65" si="7">A40</f>
        <v>9. Desarrollar acciones de empoderamiento dirigidas a niñas, adolescentes y mujeres jóvenes.</v>
      </c>
      <c r="B65" s="529">
        <f t="shared" si="7"/>
        <v>0.02</v>
      </c>
      <c r="C65" s="199" t="s">
        <v>63</v>
      </c>
      <c r="D65" s="230">
        <f>D40*$B$40/$P$40</f>
        <v>0</v>
      </c>
      <c r="E65" s="230">
        <f t="shared" ref="E65:O66" si="8">E40*$B$40/$P$40</f>
        <v>4.0000000000000002E-4</v>
      </c>
      <c r="F65" s="230">
        <f t="shared" si="8"/>
        <v>2E-3</v>
      </c>
      <c r="G65" s="230">
        <f t="shared" si="8"/>
        <v>8.0000000000000004E-4</v>
      </c>
      <c r="H65" s="230">
        <f t="shared" si="8"/>
        <v>4.0000000000000002E-4</v>
      </c>
      <c r="I65" s="230">
        <f t="shared" si="8"/>
        <v>2E-3</v>
      </c>
      <c r="J65" s="230">
        <f t="shared" si="8"/>
        <v>2E-3</v>
      </c>
      <c r="K65" s="230">
        <f t="shared" si="8"/>
        <v>2E-3</v>
      </c>
      <c r="L65" s="230">
        <f t="shared" si="8"/>
        <v>2E-3</v>
      </c>
      <c r="M65" s="230">
        <f t="shared" si="8"/>
        <v>4.0000000000000001E-3</v>
      </c>
      <c r="N65" s="230">
        <f t="shared" si="8"/>
        <v>4.0000000000000001E-3</v>
      </c>
      <c r="O65" s="230">
        <f t="shared" si="8"/>
        <v>4.0000000000000002E-4</v>
      </c>
      <c r="P65" s="231">
        <f t="shared" si="6"/>
        <v>0.02</v>
      </c>
      <c r="Q65" s="108"/>
      <c r="R65" s="232"/>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13"/>
      <c r="AR65" s="213"/>
      <c r="AS65" s="213"/>
      <c r="AT65" s="213"/>
      <c r="AU65" s="213"/>
      <c r="AV65" s="213"/>
      <c r="AW65" s="213"/>
      <c r="AX65" s="213"/>
      <c r="AY65" s="213"/>
    </row>
    <row r="66" spans="1:51" s="274" customFormat="1" ht="12.75" customHeight="1" x14ac:dyDescent="0.25">
      <c r="A66" s="493"/>
      <c r="B66" s="530"/>
      <c r="C66" s="204" t="s">
        <v>67</v>
      </c>
      <c r="D66" s="234">
        <f>D41*$B$40/$P$40</f>
        <v>0</v>
      </c>
      <c r="E66" s="234">
        <f t="shared" si="8"/>
        <v>4.0000000000000002E-4</v>
      </c>
      <c r="F66" s="234">
        <f t="shared" si="8"/>
        <v>2E-3</v>
      </c>
      <c r="G66" s="234">
        <f t="shared" si="8"/>
        <v>8.0000000000000004E-4</v>
      </c>
      <c r="H66" s="234">
        <f t="shared" si="8"/>
        <v>4.0000000000000002E-4</v>
      </c>
      <c r="I66" s="234">
        <f t="shared" si="8"/>
        <v>2E-3</v>
      </c>
      <c r="J66" s="234">
        <f t="shared" si="8"/>
        <v>2E-3</v>
      </c>
      <c r="K66" s="234">
        <f t="shared" si="8"/>
        <v>0</v>
      </c>
      <c r="L66" s="234">
        <f t="shared" si="8"/>
        <v>0</v>
      </c>
      <c r="M66" s="234">
        <f t="shared" si="8"/>
        <v>0</v>
      </c>
      <c r="N66" s="234">
        <f t="shared" si="8"/>
        <v>0</v>
      </c>
      <c r="O66" s="234">
        <f t="shared" si="8"/>
        <v>0</v>
      </c>
      <c r="P66" s="235">
        <f t="shared" si="6"/>
        <v>7.6000000000000009E-3</v>
      </c>
      <c r="Q66" s="236"/>
      <c r="R66" s="232"/>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13"/>
      <c r="AR66" s="213"/>
      <c r="AS66" s="213"/>
      <c r="AT66" s="213"/>
      <c r="AU66" s="213"/>
      <c r="AV66" s="213"/>
      <c r="AW66" s="213"/>
      <c r="AX66" s="213"/>
      <c r="AY66" s="213"/>
    </row>
    <row r="67" spans="1:51" s="274" customFormat="1" ht="12.75" customHeight="1" x14ac:dyDescent="0.25">
      <c r="A67" s="484" t="str">
        <f t="shared" ref="A67:B67" si="9">A42</f>
        <v>10. Fortalecer redes protectoras con madres, padres, cuidadoras, cuidadores y profesionales que en el marco de sus acciones trabajan con niñas, niños y adolescentes para la identificación, prevención y actuación frente a las violencias y formas de discriminación basadas en género contra niños, niñas y adolescentes.</v>
      </c>
      <c r="B67" s="529">
        <f t="shared" si="9"/>
        <v>0.02</v>
      </c>
      <c r="C67" s="199" t="s">
        <v>63</v>
      </c>
      <c r="D67" s="230">
        <f>D42*$B$42/$P$42</f>
        <v>0</v>
      </c>
      <c r="E67" s="230">
        <f t="shared" ref="E67:O68" si="10">E42*$B$42/$P$42</f>
        <v>4.0000000000000007E-4</v>
      </c>
      <c r="F67" s="230">
        <f t="shared" si="10"/>
        <v>1.6000000000000003E-3</v>
      </c>
      <c r="G67" s="230">
        <f t="shared" si="10"/>
        <v>2.0000000000000005E-3</v>
      </c>
      <c r="H67" s="230">
        <f t="shared" si="10"/>
        <v>2.0000000000000005E-3</v>
      </c>
      <c r="I67" s="230">
        <f t="shared" si="10"/>
        <v>2.0000000000000005E-3</v>
      </c>
      <c r="J67" s="230">
        <f t="shared" si="10"/>
        <v>2.0000000000000005E-3</v>
      </c>
      <c r="K67" s="230">
        <f t="shared" si="10"/>
        <v>2.0000000000000005E-3</v>
      </c>
      <c r="L67" s="230">
        <f t="shared" si="10"/>
        <v>2.0000000000000005E-3</v>
      </c>
      <c r="M67" s="230">
        <f t="shared" si="10"/>
        <v>2.0000000000000005E-3</v>
      </c>
      <c r="N67" s="230">
        <f t="shared" si="10"/>
        <v>2.0000000000000005E-3</v>
      </c>
      <c r="O67" s="230">
        <f t="shared" si="10"/>
        <v>2.0000000000000005E-3</v>
      </c>
      <c r="P67" s="231">
        <f t="shared" ref="P67:P70" si="11">SUM(D67:O67)</f>
        <v>2.0000000000000007E-2</v>
      </c>
      <c r="Q67" s="108"/>
      <c r="R67" s="232"/>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13"/>
      <c r="AR67" s="213"/>
      <c r="AS67" s="213"/>
      <c r="AT67" s="213"/>
      <c r="AU67" s="213"/>
      <c r="AV67" s="213"/>
      <c r="AW67" s="213"/>
      <c r="AX67" s="213"/>
      <c r="AY67" s="213"/>
    </row>
    <row r="68" spans="1:51" s="274" customFormat="1" ht="12.75" customHeight="1" x14ac:dyDescent="0.25">
      <c r="A68" s="493"/>
      <c r="B68" s="530"/>
      <c r="C68" s="204" t="s">
        <v>67</v>
      </c>
      <c r="D68" s="234">
        <f>D43*$B$42/$P$42</f>
        <v>0</v>
      </c>
      <c r="E68" s="234">
        <f t="shared" si="10"/>
        <v>4.0000000000000007E-4</v>
      </c>
      <c r="F68" s="234">
        <f t="shared" si="10"/>
        <v>1.6000000000000003E-3</v>
      </c>
      <c r="G68" s="234">
        <f t="shared" si="10"/>
        <v>2.0000000000000005E-3</v>
      </c>
      <c r="H68" s="234">
        <f t="shared" si="10"/>
        <v>2.0000000000000005E-3</v>
      </c>
      <c r="I68" s="234">
        <f t="shared" si="10"/>
        <v>2.0000000000000005E-3</v>
      </c>
      <c r="J68" s="234">
        <f t="shared" si="10"/>
        <v>2.0000000000000005E-3</v>
      </c>
      <c r="K68" s="234">
        <f t="shared" si="10"/>
        <v>0</v>
      </c>
      <c r="L68" s="234">
        <f t="shared" si="10"/>
        <v>0</v>
      </c>
      <c r="M68" s="234">
        <f t="shared" si="10"/>
        <v>0</v>
      </c>
      <c r="N68" s="234">
        <f t="shared" si="10"/>
        <v>0</v>
      </c>
      <c r="O68" s="234">
        <f t="shared" si="10"/>
        <v>0</v>
      </c>
      <c r="P68" s="235">
        <f t="shared" si="11"/>
        <v>1.0000000000000002E-2</v>
      </c>
      <c r="Q68" s="236"/>
      <c r="R68" s="232"/>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13"/>
      <c r="AR68" s="213"/>
      <c r="AS68" s="213"/>
      <c r="AT68" s="213"/>
      <c r="AU68" s="213"/>
      <c r="AV68" s="213"/>
      <c r="AW68" s="213"/>
      <c r="AX68" s="213"/>
      <c r="AY68" s="213"/>
    </row>
    <row r="69" spans="1:51" s="274" customFormat="1" ht="12.75" customHeight="1" x14ac:dyDescent="0.25">
      <c r="A69" s="484" t="str">
        <f t="shared" ref="A69:B69" si="12">A44</f>
        <v>11. Desarrollar escuelas de educación emocional enfocadas en fortalecer capacidades y herramientas para gestionar la salud mental de las mujeres en su diversidad en la ciudad de Bogotá.</v>
      </c>
      <c r="B69" s="529">
        <f t="shared" si="12"/>
        <v>0.02</v>
      </c>
      <c r="C69" s="199" t="s">
        <v>63</v>
      </c>
      <c r="D69" s="230">
        <f>D44*$B$44/$P$44</f>
        <v>0</v>
      </c>
      <c r="E69" s="230">
        <f t="shared" ref="E69:O70" si="13">E44*$B$44/$P$44</f>
        <v>1E-3</v>
      </c>
      <c r="F69" s="230">
        <f t="shared" si="13"/>
        <v>1E-3</v>
      </c>
      <c r="G69" s="230">
        <f t="shared" si="13"/>
        <v>1E-3</v>
      </c>
      <c r="H69" s="230">
        <f t="shared" si="13"/>
        <v>1E-3</v>
      </c>
      <c r="I69" s="230">
        <f t="shared" si="13"/>
        <v>1E-3</v>
      </c>
      <c r="J69" s="230">
        <f t="shared" si="13"/>
        <v>1E-3</v>
      </c>
      <c r="K69" s="230">
        <f t="shared" si="13"/>
        <v>2E-3</v>
      </c>
      <c r="L69" s="230">
        <f t="shared" si="13"/>
        <v>2E-3</v>
      </c>
      <c r="M69" s="230">
        <f t="shared" si="13"/>
        <v>2E-3</v>
      </c>
      <c r="N69" s="230">
        <f t="shared" si="13"/>
        <v>4.0000000000000001E-3</v>
      </c>
      <c r="O69" s="230">
        <f t="shared" si="13"/>
        <v>4.0000000000000001E-3</v>
      </c>
      <c r="P69" s="231">
        <f t="shared" si="11"/>
        <v>0.02</v>
      </c>
      <c r="Q69" s="108"/>
      <c r="R69" s="232"/>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13"/>
      <c r="AR69" s="213"/>
      <c r="AS69" s="213"/>
      <c r="AT69" s="213"/>
      <c r="AU69" s="213"/>
      <c r="AV69" s="213"/>
      <c r="AW69" s="213"/>
      <c r="AX69" s="213"/>
      <c r="AY69" s="213"/>
    </row>
    <row r="70" spans="1:51" s="274" customFormat="1" ht="12.75" customHeight="1" x14ac:dyDescent="0.25">
      <c r="A70" s="493"/>
      <c r="B70" s="530"/>
      <c r="C70" s="204" t="s">
        <v>67</v>
      </c>
      <c r="D70" s="234">
        <f>D45*$B$44/$P$44</f>
        <v>0</v>
      </c>
      <c r="E70" s="234">
        <f t="shared" si="13"/>
        <v>1E-3</v>
      </c>
      <c r="F70" s="234">
        <f t="shared" si="13"/>
        <v>1E-3</v>
      </c>
      <c r="G70" s="234">
        <f t="shared" si="13"/>
        <v>1E-3</v>
      </c>
      <c r="H70" s="234">
        <f t="shared" si="13"/>
        <v>3.0000000000000001E-3</v>
      </c>
      <c r="I70" s="234">
        <f t="shared" si="13"/>
        <v>1E-3</v>
      </c>
      <c r="J70" s="234">
        <f t="shared" si="13"/>
        <v>1E-3</v>
      </c>
      <c r="K70" s="234">
        <f t="shared" si="13"/>
        <v>0</v>
      </c>
      <c r="L70" s="234">
        <f t="shared" si="13"/>
        <v>0</v>
      </c>
      <c r="M70" s="234">
        <f t="shared" si="13"/>
        <v>0</v>
      </c>
      <c r="N70" s="234">
        <f t="shared" si="13"/>
        <v>0</v>
      </c>
      <c r="O70" s="234">
        <f t="shared" si="13"/>
        <v>0</v>
      </c>
      <c r="P70" s="235">
        <f t="shared" si="11"/>
        <v>8.0000000000000002E-3</v>
      </c>
      <c r="Q70" s="236"/>
      <c r="R70" s="232"/>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13"/>
      <c r="AR70" s="213"/>
      <c r="AS70" s="213"/>
      <c r="AT70" s="213"/>
      <c r="AU70" s="213"/>
      <c r="AV70" s="213"/>
      <c r="AW70" s="213"/>
      <c r="AX70" s="213"/>
      <c r="AY70" s="213"/>
    </row>
    <row r="71" spans="1:51" s="274" customFormat="1" ht="12.75" customHeight="1" x14ac:dyDescent="0.25">
      <c r="A71" s="484" t="str">
        <f t="shared" ref="A71:B71" si="14">A46</f>
        <v>12. Desarrollar espacios de encuentro de mujeres para el cuidado emocional denominados Espacios Respiro.</v>
      </c>
      <c r="B71" s="529">
        <f t="shared" si="14"/>
        <v>0.02</v>
      </c>
      <c r="C71" s="199" t="s">
        <v>63</v>
      </c>
      <c r="D71" s="230">
        <f>D46*$B$46/$P$46</f>
        <v>0</v>
      </c>
      <c r="E71" s="230">
        <f t="shared" ref="E71:O72" si="15">E46*$B$46/$P$46</f>
        <v>1E-3</v>
      </c>
      <c r="F71" s="230">
        <f t="shared" si="15"/>
        <v>1E-3</v>
      </c>
      <c r="G71" s="230">
        <f t="shared" si="15"/>
        <v>2E-3</v>
      </c>
      <c r="H71" s="230">
        <f t="shared" si="15"/>
        <v>2E-3</v>
      </c>
      <c r="I71" s="230">
        <f t="shared" si="15"/>
        <v>2E-3</v>
      </c>
      <c r="J71" s="230">
        <f t="shared" si="15"/>
        <v>2E-3</v>
      </c>
      <c r="K71" s="230">
        <f t="shared" si="15"/>
        <v>2E-3</v>
      </c>
      <c r="L71" s="230">
        <f t="shared" si="15"/>
        <v>2E-3</v>
      </c>
      <c r="M71" s="230">
        <f t="shared" si="15"/>
        <v>2E-3</v>
      </c>
      <c r="N71" s="230">
        <f t="shared" si="15"/>
        <v>2E-3</v>
      </c>
      <c r="O71" s="230">
        <f t="shared" si="15"/>
        <v>2E-3</v>
      </c>
      <c r="P71" s="231">
        <f t="shared" ref="P71:P76" si="16">SUM(D71:O71)</f>
        <v>2.0000000000000004E-2</v>
      </c>
      <c r="Q71" s="108"/>
      <c r="R71" s="232"/>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13"/>
      <c r="AR71" s="213"/>
      <c r="AS71" s="213"/>
      <c r="AT71" s="213"/>
      <c r="AU71" s="213"/>
      <c r="AV71" s="213"/>
      <c r="AW71" s="213"/>
      <c r="AX71" s="213"/>
      <c r="AY71" s="213"/>
    </row>
    <row r="72" spans="1:51" s="274" customFormat="1" ht="12.75" customHeight="1" x14ac:dyDescent="0.25">
      <c r="A72" s="493"/>
      <c r="B72" s="530"/>
      <c r="C72" s="204" t="s">
        <v>67</v>
      </c>
      <c r="D72" s="234">
        <f>D47*$B$46/$P$46</f>
        <v>0</v>
      </c>
      <c r="E72" s="234">
        <f t="shared" si="15"/>
        <v>1E-3</v>
      </c>
      <c r="F72" s="234">
        <f t="shared" si="15"/>
        <v>1.4000000000000002E-3</v>
      </c>
      <c r="G72" s="234">
        <f t="shared" si="15"/>
        <v>1.4000000000000002E-3</v>
      </c>
      <c r="H72" s="234">
        <f t="shared" si="15"/>
        <v>2E-3</v>
      </c>
      <c r="I72" s="234">
        <f t="shared" si="15"/>
        <v>2E-3</v>
      </c>
      <c r="J72" s="234">
        <f t="shared" si="15"/>
        <v>2E-3</v>
      </c>
      <c r="K72" s="234">
        <f t="shared" si="15"/>
        <v>0</v>
      </c>
      <c r="L72" s="234">
        <f t="shared" si="15"/>
        <v>0</v>
      </c>
      <c r="M72" s="234">
        <f t="shared" si="15"/>
        <v>0</v>
      </c>
      <c r="N72" s="234">
        <f t="shared" si="15"/>
        <v>0</v>
      </c>
      <c r="O72" s="234">
        <f t="shared" si="15"/>
        <v>0</v>
      </c>
      <c r="P72" s="235">
        <f t="shared" si="16"/>
        <v>9.7999999999999997E-3</v>
      </c>
      <c r="Q72" s="236"/>
      <c r="R72" s="232"/>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13"/>
      <c r="AR72" s="213"/>
      <c r="AS72" s="213"/>
      <c r="AT72" s="213"/>
      <c r="AU72" s="213"/>
      <c r="AV72" s="213"/>
      <c r="AW72" s="213"/>
      <c r="AX72" s="213"/>
      <c r="AY72" s="213"/>
    </row>
    <row r="73" spans="1:51" s="274" customFormat="1" ht="12.75" customHeight="1" x14ac:dyDescent="0.25">
      <c r="A73" s="484" t="str">
        <f t="shared" ref="A73:B73" si="17">A48</f>
        <v xml:space="preserve">13. Desarrollar un Curso virtual Fortalecimiento de Hábitos de autocuidado y herramientas para la atención y acompañamiento sensible con enfoque diferencial   para equipos de atención psicosocial de los diferentes sectores del Distrito </v>
      </c>
      <c r="B73" s="529">
        <f t="shared" si="17"/>
        <v>0.02</v>
      </c>
      <c r="C73" s="199" t="s">
        <v>63</v>
      </c>
      <c r="D73" s="230">
        <f>D48*$B$48/$P$48</f>
        <v>0</v>
      </c>
      <c r="E73" s="230">
        <f t="shared" ref="E73:O74" si="18">E48*$B$48/$P$48</f>
        <v>1E-3</v>
      </c>
      <c r="F73" s="230">
        <f t="shared" si="18"/>
        <v>1E-3</v>
      </c>
      <c r="G73" s="230">
        <f t="shared" si="18"/>
        <v>1E-3</v>
      </c>
      <c r="H73" s="230">
        <f t="shared" si="18"/>
        <v>1E-3</v>
      </c>
      <c r="I73" s="230">
        <f t="shared" si="18"/>
        <v>2E-3</v>
      </c>
      <c r="J73" s="230">
        <f t="shared" si="18"/>
        <v>2E-3</v>
      </c>
      <c r="K73" s="230">
        <f t="shared" si="18"/>
        <v>4.0000000000000001E-3</v>
      </c>
      <c r="L73" s="230">
        <f t="shared" si="18"/>
        <v>2E-3</v>
      </c>
      <c r="M73" s="230">
        <f t="shared" si="18"/>
        <v>2E-3</v>
      </c>
      <c r="N73" s="230">
        <f t="shared" si="18"/>
        <v>2E-3</v>
      </c>
      <c r="O73" s="230">
        <f t="shared" si="18"/>
        <v>2E-3</v>
      </c>
      <c r="P73" s="231">
        <f t="shared" si="16"/>
        <v>2.0000000000000004E-2</v>
      </c>
      <c r="Q73" s="108"/>
      <c r="R73" s="232"/>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13"/>
      <c r="AR73" s="213"/>
      <c r="AS73" s="213"/>
      <c r="AT73" s="213"/>
      <c r="AU73" s="213"/>
      <c r="AV73" s="213"/>
      <c r="AW73" s="213"/>
      <c r="AX73" s="213"/>
      <c r="AY73" s="213"/>
    </row>
    <row r="74" spans="1:51" s="274" customFormat="1" ht="12.75" customHeight="1" x14ac:dyDescent="0.25">
      <c r="A74" s="493"/>
      <c r="B74" s="530"/>
      <c r="C74" s="204" t="s">
        <v>67</v>
      </c>
      <c r="D74" s="234">
        <f>D49*$B$48/$P$48</f>
        <v>0</v>
      </c>
      <c r="E74" s="234">
        <f t="shared" si="18"/>
        <v>0</v>
      </c>
      <c r="F74" s="234">
        <f t="shared" si="18"/>
        <v>0</v>
      </c>
      <c r="G74" s="234">
        <f t="shared" si="18"/>
        <v>5.9999999999999995E-4</v>
      </c>
      <c r="H74" s="234">
        <f t="shared" si="18"/>
        <v>0</v>
      </c>
      <c r="I74" s="234">
        <f t="shared" si="18"/>
        <v>1.6000000000000001E-3</v>
      </c>
      <c r="J74" s="234">
        <f t="shared" si="18"/>
        <v>0</v>
      </c>
      <c r="K74" s="234">
        <f t="shared" si="18"/>
        <v>0</v>
      </c>
      <c r="L74" s="234">
        <f t="shared" si="18"/>
        <v>0</v>
      </c>
      <c r="M74" s="234">
        <f t="shared" si="18"/>
        <v>0</v>
      </c>
      <c r="N74" s="234">
        <f t="shared" si="18"/>
        <v>0</v>
      </c>
      <c r="O74" s="234">
        <f t="shared" si="18"/>
        <v>0</v>
      </c>
      <c r="P74" s="235">
        <f t="shared" si="16"/>
        <v>2.2000000000000001E-3</v>
      </c>
      <c r="Q74" s="236"/>
      <c r="R74" s="232"/>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13"/>
      <c r="AR74" s="213"/>
      <c r="AS74" s="213"/>
      <c r="AT74" s="213"/>
      <c r="AU74" s="213"/>
      <c r="AV74" s="213"/>
      <c r="AW74" s="213"/>
      <c r="AX74" s="213"/>
      <c r="AY74" s="213"/>
    </row>
    <row r="75" spans="1:51" s="274" customFormat="1" ht="12.75" customHeight="1" x14ac:dyDescent="0.25">
      <c r="A75" s="484" t="str">
        <f t="shared" ref="A75:B75" si="19">A50</f>
        <v xml:space="preserve">14.   Implementar la Fase I y II de la EDCM . Espacios EMAA mujeres en sus diferencias y diversidad; hombres trans y personas no binarias. Jornadas de Dignidad Menstrual.  Fortalecimiento de capacidades y/o acompañamiento en EMAA a servidoras/servidores públicos del Distrito </v>
      </c>
      <c r="B75" s="529">
        <f t="shared" si="19"/>
        <v>0.02</v>
      </c>
      <c r="C75" s="199" t="s">
        <v>63</v>
      </c>
      <c r="D75" s="230">
        <f>D50*$B$50/$P$50</f>
        <v>0</v>
      </c>
      <c r="E75" s="230">
        <f t="shared" ref="E75:O76" si="20">E50*$B$50/$P$50</f>
        <v>1E-3</v>
      </c>
      <c r="F75" s="230">
        <f t="shared" si="20"/>
        <v>2E-3</v>
      </c>
      <c r="G75" s="230">
        <f t="shared" si="20"/>
        <v>3.0000000000000001E-3</v>
      </c>
      <c r="H75" s="230">
        <f t="shared" si="20"/>
        <v>2E-3</v>
      </c>
      <c r="I75" s="230">
        <f t="shared" si="20"/>
        <v>2E-3</v>
      </c>
      <c r="J75" s="230">
        <f t="shared" si="20"/>
        <v>3.0000000000000001E-3</v>
      </c>
      <c r="K75" s="230">
        <f t="shared" si="20"/>
        <v>2E-3</v>
      </c>
      <c r="L75" s="230">
        <f t="shared" si="20"/>
        <v>2E-3</v>
      </c>
      <c r="M75" s="230">
        <f t="shared" si="20"/>
        <v>2E-3</v>
      </c>
      <c r="N75" s="230">
        <f t="shared" si="20"/>
        <v>1E-3</v>
      </c>
      <c r="O75" s="230">
        <f t="shared" si="20"/>
        <v>0</v>
      </c>
      <c r="P75" s="231">
        <f t="shared" si="16"/>
        <v>2.0000000000000004E-2</v>
      </c>
      <c r="Q75" s="108"/>
      <c r="R75" s="232"/>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13"/>
      <c r="AR75" s="213"/>
      <c r="AS75" s="213"/>
      <c r="AT75" s="213"/>
      <c r="AU75" s="213"/>
      <c r="AV75" s="213"/>
      <c r="AW75" s="213"/>
      <c r="AX75" s="213"/>
      <c r="AY75" s="213"/>
    </row>
    <row r="76" spans="1:51" s="274" customFormat="1" ht="12.75" customHeight="1" x14ac:dyDescent="0.25">
      <c r="A76" s="493"/>
      <c r="B76" s="530"/>
      <c r="C76" s="204" t="s">
        <v>67</v>
      </c>
      <c r="D76" s="234">
        <f>D51*$B$50/$P$50</f>
        <v>0</v>
      </c>
      <c r="E76" s="234">
        <f t="shared" si="20"/>
        <v>1E-3</v>
      </c>
      <c r="F76" s="234">
        <f t="shared" si="20"/>
        <v>2E-3</v>
      </c>
      <c r="G76" s="234">
        <f t="shared" si="20"/>
        <v>4.0000000000000001E-3</v>
      </c>
      <c r="H76" s="234">
        <f t="shared" si="20"/>
        <v>2E-3</v>
      </c>
      <c r="I76" s="234">
        <f t="shared" si="20"/>
        <v>4.0000000000000001E-3</v>
      </c>
      <c r="J76" s="234">
        <f t="shared" si="20"/>
        <v>3.0000000000000001E-3</v>
      </c>
      <c r="K76" s="234">
        <f t="shared" si="20"/>
        <v>0</v>
      </c>
      <c r="L76" s="234">
        <f t="shared" si="20"/>
        <v>0</v>
      </c>
      <c r="M76" s="234">
        <f t="shared" si="20"/>
        <v>0</v>
      </c>
      <c r="N76" s="234">
        <f t="shared" si="20"/>
        <v>0</v>
      </c>
      <c r="O76" s="234">
        <f t="shared" si="20"/>
        <v>0</v>
      </c>
      <c r="P76" s="235">
        <f t="shared" si="16"/>
        <v>1.6E-2</v>
      </c>
      <c r="Q76" s="236"/>
      <c r="R76" s="232"/>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13"/>
      <c r="AR76" s="213"/>
      <c r="AS76" s="213"/>
      <c r="AT76" s="213"/>
      <c r="AU76" s="213"/>
      <c r="AV76" s="213"/>
      <c r="AW76" s="213"/>
      <c r="AX76" s="213"/>
      <c r="AY76" s="213"/>
    </row>
    <row r="77" spans="1:51" s="274" customFormat="1" ht="12.75" customHeight="1" x14ac:dyDescent="0.25">
      <c r="A77" s="484" t="str">
        <f t="shared" ref="A77:B77" si="21">A52</f>
        <v xml:space="preserve">15. Desarrollar la Mesa Interinstitucional e implementar Plan de Trabajo  </v>
      </c>
      <c r="B77" s="529">
        <f t="shared" si="21"/>
        <v>0.02</v>
      </c>
      <c r="C77" s="199" t="s">
        <v>63</v>
      </c>
      <c r="D77" s="230">
        <f>D52*$B$52/$P$52</f>
        <v>0</v>
      </c>
      <c r="E77" s="230">
        <f t="shared" ref="E77:O78" si="22">E52*$B$52/$P$52</f>
        <v>1.0000000000000002E-3</v>
      </c>
      <c r="F77" s="230">
        <f t="shared" si="22"/>
        <v>2.0000000000000005E-3</v>
      </c>
      <c r="G77" s="230">
        <f t="shared" si="22"/>
        <v>2.0000000000000005E-3</v>
      </c>
      <c r="H77" s="230">
        <f t="shared" si="22"/>
        <v>2.0000000000000005E-3</v>
      </c>
      <c r="I77" s="230">
        <f t="shared" si="22"/>
        <v>2.0000000000000005E-3</v>
      </c>
      <c r="J77" s="230">
        <f t="shared" si="22"/>
        <v>2.0000000000000005E-3</v>
      </c>
      <c r="K77" s="230">
        <f t="shared" si="22"/>
        <v>2.0000000000000005E-3</v>
      </c>
      <c r="L77" s="230">
        <f t="shared" si="22"/>
        <v>2.0000000000000005E-3</v>
      </c>
      <c r="M77" s="230">
        <f t="shared" si="22"/>
        <v>2.0000000000000005E-3</v>
      </c>
      <c r="N77" s="230">
        <f t="shared" si="22"/>
        <v>2.0000000000000005E-3</v>
      </c>
      <c r="O77" s="230">
        <f t="shared" si="22"/>
        <v>1.0000000000000002E-3</v>
      </c>
      <c r="P77" s="231">
        <f t="shared" ref="P77:P78" si="23">SUM(D77:O77)</f>
        <v>2.0000000000000004E-2</v>
      </c>
      <c r="Q77" s="108"/>
      <c r="R77" s="232"/>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13"/>
      <c r="AR77" s="213"/>
      <c r="AS77" s="213"/>
      <c r="AT77" s="213"/>
      <c r="AU77" s="213"/>
      <c r="AV77" s="213"/>
      <c r="AW77" s="213"/>
      <c r="AX77" s="213"/>
      <c r="AY77" s="213"/>
    </row>
    <row r="78" spans="1:51" s="274" customFormat="1" ht="12.75" customHeight="1" x14ac:dyDescent="0.25">
      <c r="A78" s="493"/>
      <c r="B78" s="530"/>
      <c r="C78" s="204" t="s">
        <v>67</v>
      </c>
      <c r="D78" s="234">
        <f>D53*$B$52/$P$52</f>
        <v>0</v>
      </c>
      <c r="E78" s="234">
        <f t="shared" si="22"/>
        <v>1.0000000000000002E-3</v>
      </c>
      <c r="F78" s="234">
        <f t="shared" si="22"/>
        <v>2.0000000000000005E-3</v>
      </c>
      <c r="G78" s="234">
        <f t="shared" si="22"/>
        <v>2.0000000000000005E-3</v>
      </c>
      <c r="H78" s="234">
        <f t="shared" si="22"/>
        <v>2.0000000000000005E-3</v>
      </c>
      <c r="I78" s="234">
        <f t="shared" si="22"/>
        <v>2.0000000000000005E-3</v>
      </c>
      <c r="J78" s="234">
        <f t="shared" si="22"/>
        <v>2.0000000000000005E-3</v>
      </c>
      <c r="K78" s="234">
        <f t="shared" si="22"/>
        <v>0</v>
      </c>
      <c r="L78" s="234">
        <f t="shared" si="22"/>
        <v>0</v>
      </c>
      <c r="M78" s="234">
        <f t="shared" si="22"/>
        <v>0</v>
      </c>
      <c r="N78" s="234">
        <f t="shared" si="22"/>
        <v>0</v>
      </c>
      <c r="O78" s="234">
        <f t="shared" si="22"/>
        <v>0</v>
      </c>
      <c r="P78" s="235">
        <f t="shared" si="23"/>
        <v>1.1000000000000001E-2</v>
      </c>
      <c r="Q78" s="236"/>
      <c r="R78" s="232"/>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13"/>
      <c r="AR78" s="213"/>
      <c r="AS78" s="213"/>
      <c r="AT78" s="213"/>
      <c r="AU78" s="213"/>
      <c r="AV78" s="213"/>
      <c r="AW78" s="213"/>
      <c r="AX78" s="213"/>
      <c r="AY78" s="213"/>
    </row>
    <row r="79" spans="1:51" s="274" customFormat="1" ht="12.75" customHeight="1" x14ac:dyDescent="0.25">
      <c r="A79" s="484" t="str">
        <f t="shared" ref="A79:B79" si="24">A54</f>
        <v xml:space="preserve">16. Definir e implementar acciones de las fases III y IV de la Estrategia de Cuidado Menstrual dirigidas a mujeres y personas con experiencias menstruales en sus diferencias y diversidad, según priorización y pertinencia. </v>
      </c>
      <c r="B79" s="529">
        <f t="shared" si="24"/>
        <v>0.02</v>
      </c>
      <c r="C79" s="199" t="s">
        <v>63</v>
      </c>
      <c r="D79" s="230">
        <f>D54*$B$54/$P$54</f>
        <v>0</v>
      </c>
      <c r="E79" s="230">
        <f t="shared" ref="E79:O80" si="25">E54*$B$54/$P$54</f>
        <v>0</v>
      </c>
      <c r="F79" s="230">
        <f t="shared" si="25"/>
        <v>0</v>
      </c>
      <c r="G79" s="230">
        <f t="shared" si="25"/>
        <v>2E-3</v>
      </c>
      <c r="H79" s="230">
        <f t="shared" si="25"/>
        <v>2E-3</v>
      </c>
      <c r="I79" s="230">
        <f t="shared" si="25"/>
        <v>4.0000000000000001E-3</v>
      </c>
      <c r="J79" s="230">
        <f t="shared" si="25"/>
        <v>4.0000000000000001E-3</v>
      </c>
      <c r="K79" s="230">
        <f t="shared" si="25"/>
        <v>2E-3</v>
      </c>
      <c r="L79" s="230">
        <f t="shared" si="25"/>
        <v>2E-3</v>
      </c>
      <c r="M79" s="230">
        <f t="shared" si="25"/>
        <v>4.0000000000000001E-3</v>
      </c>
      <c r="N79" s="230">
        <f t="shared" si="25"/>
        <v>0</v>
      </c>
      <c r="O79" s="230">
        <f t="shared" si="25"/>
        <v>0</v>
      </c>
      <c r="P79" s="231">
        <f t="shared" ref="P79:P82" si="26">SUM(D79:O79)</f>
        <v>0.02</v>
      </c>
      <c r="Q79" s="108"/>
      <c r="R79" s="232"/>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13"/>
      <c r="AR79" s="213"/>
      <c r="AS79" s="213"/>
      <c r="AT79" s="213"/>
      <c r="AU79" s="213"/>
      <c r="AV79" s="213"/>
      <c r="AW79" s="213"/>
      <c r="AX79" s="213"/>
      <c r="AY79" s="213"/>
    </row>
    <row r="80" spans="1:51" s="274" customFormat="1" ht="12.75" customHeight="1" x14ac:dyDescent="0.25">
      <c r="A80" s="493"/>
      <c r="B80" s="530"/>
      <c r="C80" s="204" t="s">
        <v>67</v>
      </c>
      <c r="D80" s="234">
        <f>D55*$B$54/$P$54</f>
        <v>0</v>
      </c>
      <c r="E80" s="234">
        <f t="shared" si="25"/>
        <v>1E-3</v>
      </c>
      <c r="F80" s="234">
        <f t="shared" si="25"/>
        <v>1E-3</v>
      </c>
      <c r="G80" s="234">
        <f t="shared" si="25"/>
        <v>2E-3</v>
      </c>
      <c r="H80" s="234">
        <f t="shared" si="25"/>
        <v>2E-3</v>
      </c>
      <c r="I80" s="234">
        <f t="shared" si="25"/>
        <v>2E-3</v>
      </c>
      <c r="J80" s="234">
        <f t="shared" si="25"/>
        <v>4.0000000000000001E-3</v>
      </c>
      <c r="K80" s="234">
        <f t="shared" si="25"/>
        <v>0</v>
      </c>
      <c r="L80" s="234">
        <f t="shared" si="25"/>
        <v>0</v>
      </c>
      <c r="M80" s="234">
        <f t="shared" si="25"/>
        <v>0</v>
      </c>
      <c r="N80" s="234">
        <f t="shared" si="25"/>
        <v>0</v>
      </c>
      <c r="O80" s="234">
        <f t="shared" si="25"/>
        <v>0</v>
      </c>
      <c r="P80" s="235">
        <f t="shared" si="26"/>
        <v>1.2E-2</v>
      </c>
      <c r="Q80" s="236"/>
      <c r="R80" s="232"/>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13"/>
      <c r="AR80" s="213"/>
      <c r="AS80" s="213"/>
      <c r="AT80" s="213"/>
      <c r="AU80" s="213"/>
      <c r="AV80" s="213"/>
      <c r="AW80" s="213"/>
      <c r="AX80" s="213"/>
      <c r="AY80" s="213"/>
    </row>
    <row r="81" spans="1:51" s="274" customFormat="1" ht="12.75" customHeight="1" x14ac:dyDescent="0.25">
      <c r="A81" s="484" t="str">
        <f>A56</f>
        <v>17. Diseñar y poner en acción el Plan Estratégico de Comunicaciones de la EDCM</v>
      </c>
      <c r="B81" s="529">
        <f t="shared" ref="B81" si="27">B56</f>
        <v>0.02</v>
      </c>
      <c r="C81" s="199" t="s">
        <v>63</v>
      </c>
      <c r="D81" s="230">
        <f>D56*$B$56/$P$56</f>
        <v>0</v>
      </c>
      <c r="E81" s="230">
        <f t="shared" ref="E81:O82" si="28">E56*$B$56/$P$56</f>
        <v>1E-3</v>
      </c>
      <c r="F81" s="230">
        <f t="shared" si="28"/>
        <v>0</v>
      </c>
      <c r="G81" s="230">
        <f t="shared" si="28"/>
        <v>1E-3</v>
      </c>
      <c r="H81" s="230">
        <f t="shared" si="28"/>
        <v>0</v>
      </c>
      <c r="I81" s="230">
        <f t="shared" si="28"/>
        <v>4.0000000000000001E-3</v>
      </c>
      <c r="J81" s="230">
        <f t="shared" si="28"/>
        <v>4.0000000000000001E-3</v>
      </c>
      <c r="K81" s="230">
        <f t="shared" si="28"/>
        <v>3.0000000000000001E-3</v>
      </c>
      <c r="L81" s="230">
        <f t="shared" si="28"/>
        <v>4.0000000000000001E-3</v>
      </c>
      <c r="M81" s="230">
        <f t="shared" si="28"/>
        <v>3.0000000000000001E-3</v>
      </c>
      <c r="N81" s="230">
        <f t="shared" si="28"/>
        <v>0</v>
      </c>
      <c r="O81" s="230">
        <f t="shared" si="28"/>
        <v>0</v>
      </c>
      <c r="P81" s="231">
        <f t="shared" si="26"/>
        <v>0.02</v>
      </c>
      <c r="Q81" s="108"/>
      <c r="R81" s="232"/>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13"/>
      <c r="AR81" s="213"/>
      <c r="AS81" s="213"/>
      <c r="AT81" s="213"/>
      <c r="AU81" s="213"/>
      <c r="AV81" s="213"/>
      <c r="AW81" s="213"/>
      <c r="AX81" s="213"/>
      <c r="AY81" s="213"/>
    </row>
    <row r="82" spans="1:51" s="274" customFormat="1" ht="12.75" customHeight="1" x14ac:dyDescent="0.25">
      <c r="A82" s="493"/>
      <c r="B82" s="530"/>
      <c r="C82" s="204" t="s">
        <v>67</v>
      </c>
      <c r="D82" s="234">
        <f>D57*$B$56/$P$56</f>
        <v>0</v>
      </c>
      <c r="E82" s="234">
        <f t="shared" si="28"/>
        <v>1E-3</v>
      </c>
      <c r="F82" s="234">
        <f t="shared" si="28"/>
        <v>1E-3</v>
      </c>
      <c r="G82" s="234">
        <f t="shared" si="28"/>
        <v>1E-3</v>
      </c>
      <c r="H82" s="234">
        <f t="shared" si="28"/>
        <v>1E-3</v>
      </c>
      <c r="I82" s="234">
        <f t="shared" si="28"/>
        <v>4.0000000000000001E-3</v>
      </c>
      <c r="J82" s="234">
        <f t="shared" si="28"/>
        <v>2E-3</v>
      </c>
      <c r="K82" s="234">
        <f t="shared" si="28"/>
        <v>0</v>
      </c>
      <c r="L82" s="234">
        <f t="shared" si="28"/>
        <v>0</v>
      </c>
      <c r="M82" s="234">
        <f t="shared" si="28"/>
        <v>0</v>
      </c>
      <c r="N82" s="234">
        <f t="shared" si="28"/>
        <v>0</v>
      </c>
      <c r="O82" s="234">
        <f t="shared" si="28"/>
        <v>0</v>
      </c>
      <c r="P82" s="235">
        <f t="shared" si="26"/>
        <v>0.01</v>
      </c>
      <c r="Q82" s="236"/>
      <c r="R82" s="232"/>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13"/>
      <c r="AR82" s="213"/>
      <c r="AS82" s="213"/>
      <c r="AT82" s="213"/>
      <c r="AU82" s="213"/>
      <c r="AV82" s="213"/>
      <c r="AW82" s="213"/>
      <c r="AX82" s="213"/>
      <c r="AY82" s="213"/>
    </row>
    <row r="83" spans="1:51" s="274" customFormat="1" ht="15.75" customHeight="1" x14ac:dyDescent="0.25">
      <c r="A83" s="233"/>
      <c r="B83" s="233"/>
      <c r="C83" s="237"/>
      <c r="D83" s="238">
        <f>D64+D66+D68+D70+D72+D74+D76+D78+D80+D82</f>
        <v>0</v>
      </c>
      <c r="E83" s="238">
        <f t="shared" ref="E83:N83" si="29">E64+E66+E68+E70+E72+E74+E76+E78+E80+E82</f>
        <v>6.8000000000000005E-3</v>
      </c>
      <c r="F83" s="238">
        <f t="shared" si="29"/>
        <v>1.2E-2</v>
      </c>
      <c r="G83" s="238">
        <f t="shared" si="29"/>
        <v>1.4800000000000001E-2</v>
      </c>
      <c r="H83" s="238">
        <f t="shared" si="29"/>
        <v>1.54E-2</v>
      </c>
      <c r="I83" s="238">
        <f t="shared" si="29"/>
        <v>2.1600000000000001E-2</v>
      </c>
      <c r="J83" s="238">
        <f t="shared" si="29"/>
        <v>1.9000000000000003E-2</v>
      </c>
      <c r="K83" s="238">
        <f t="shared" si="29"/>
        <v>0</v>
      </c>
      <c r="L83" s="238">
        <f t="shared" si="29"/>
        <v>0</v>
      </c>
      <c r="M83" s="238">
        <f t="shared" si="29"/>
        <v>0</v>
      </c>
      <c r="N83" s="238">
        <f t="shared" si="29"/>
        <v>0</v>
      </c>
      <c r="O83" s="238">
        <f>O64+O66+O68+O70+O72+O74+O76+O78+O80+O82</f>
        <v>0</v>
      </c>
      <c r="P83" s="238">
        <f>P64+P66+P68+P70+P72+P74+P76+P78+P80+P82</f>
        <v>8.9599999999999999E-2</v>
      </c>
      <c r="Q83" s="233"/>
      <c r="R83" s="232"/>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13"/>
      <c r="AR83" s="213"/>
      <c r="AS83" s="213"/>
      <c r="AT83" s="213"/>
      <c r="AU83" s="213"/>
      <c r="AV83" s="213"/>
      <c r="AW83" s="213"/>
      <c r="AX83" s="213"/>
      <c r="AY83" s="213"/>
    </row>
    <row r="84" spans="1:51" s="274" customFormat="1" ht="15.75" customHeight="1" x14ac:dyDescent="0.25">
      <c r="A84" s="213"/>
      <c r="B84" s="213"/>
      <c r="C84" s="217" t="s">
        <v>67</v>
      </c>
      <c r="D84" s="239">
        <f>D83*$W$17/$B$34</f>
        <v>0</v>
      </c>
      <c r="E84" s="239">
        <f t="shared" ref="E84:O84" si="30">E83*$W$17/$B$34</f>
        <v>3.0600000000000006E-2</v>
      </c>
      <c r="F84" s="239">
        <f t="shared" si="30"/>
        <v>5.4000000000000006E-2</v>
      </c>
      <c r="G84" s="239">
        <f t="shared" si="30"/>
        <v>6.6600000000000006E-2</v>
      </c>
      <c r="H84" s="239">
        <f t="shared" si="30"/>
        <v>6.9300000000000014E-2</v>
      </c>
      <c r="I84" s="239">
        <f t="shared" si="30"/>
        <v>9.7200000000000022E-2</v>
      </c>
      <c r="J84" s="239">
        <f t="shared" si="30"/>
        <v>8.5500000000000034E-2</v>
      </c>
      <c r="K84" s="239">
        <f t="shared" si="30"/>
        <v>0</v>
      </c>
      <c r="L84" s="239">
        <f t="shared" si="30"/>
        <v>0</v>
      </c>
      <c r="M84" s="239">
        <f t="shared" si="30"/>
        <v>0</v>
      </c>
      <c r="N84" s="239">
        <f t="shared" si="30"/>
        <v>0</v>
      </c>
      <c r="O84" s="239">
        <f t="shared" si="30"/>
        <v>0</v>
      </c>
      <c r="P84" s="240">
        <f>SUM(D84:O84)</f>
        <v>0.40320000000000006</v>
      </c>
      <c r="Q84" s="212"/>
      <c r="R84" s="213"/>
      <c r="S84" s="213"/>
      <c r="T84" s="213"/>
      <c r="U84" s="213"/>
      <c r="V84" s="213"/>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row>
    <row r="85" spans="1:51" s="274" customFormat="1" ht="13.5" customHeight="1" x14ac:dyDescent="0.2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row>
    <row r="86" spans="1:51" x14ac:dyDescent="0.25">
      <c r="D86" s="238">
        <f>D63+D65+D67+D69+D71+D73+D75+D77+D79+D81</f>
        <v>0</v>
      </c>
      <c r="E86" s="238">
        <f t="shared" ref="E86:O86" si="31">E63+E65+E67+E69+E71+E73+E75+E77+E79+E81</f>
        <v>6.8000000000000005E-3</v>
      </c>
      <c r="F86" s="238">
        <f t="shared" si="31"/>
        <v>1.06E-2</v>
      </c>
      <c r="G86" s="238">
        <f t="shared" si="31"/>
        <v>1.4800000000000001E-2</v>
      </c>
      <c r="H86" s="238">
        <f t="shared" si="31"/>
        <v>1.34E-2</v>
      </c>
      <c r="I86" s="238">
        <f t="shared" si="31"/>
        <v>2.2000000000000002E-2</v>
      </c>
      <c r="J86" s="238">
        <f t="shared" si="31"/>
        <v>2.3000000000000003E-2</v>
      </c>
      <c r="K86" s="238">
        <f t="shared" si="31"/>
        <v>2.5000000000000005E-2</v>
      </c>
      <c r="L86" s="238">
        <f t="shared" si="31"/>
        <v>2.4000000000000004E-2</v>
      </c>
      <c r="M86" s="238">
        <f t="shared" si="31"/>
        <v>2.7000000000000003E-2</v>
      </c>
      <c r="N86" s="238">
        <f t="shared" si="31"/>
        <v>2.1000000000000005E-2</v>
      </c>
      <c r="O86" s="238">
        <f t="shared" si="31"/>
        <v>1.2400000000000001E-2</v>
      </c>
      <c r="P86" s="238">
        <f>SUM(D86:O86)</f>
        <v>0.20000000000000004</v>
      </c>
    </row>
    <row r="87" spans="1:51" x14ac:dyDescent="0.25">
      <c r="C87" s="217" t="s">
        <v>63</v>
      </c>
      <c r="D87" s="239">
        <f>D86*$W$17/$B$34</f>
        <v>0</v>
      </c>
      <c r="E87" s="239">
        <f t="shared" ref="E87:O87" si="32">E86*$W$17/$B$34</f>
        <v>3.0600000000000006E-2</v>
      </c>
      <c r="F87" s="239">
        <f t="shared" si="32"/>
        <v>4.7700000000000006E-2</v>
      </c>
      <c r="G87" s="239">
        <f t="shared" si="32"/>
        <v>6.6600000000000006E-2</v>
      </c>
      <c r="H87" s="239">
        <f t="shared" si="32"/>
        <v>6.0300000000000013E-2</v>
      </c>
      <c r="I87" s="239">
        <f t="shared" si="32"/>
        <v>9.9000000000000019E-2</v>
      </c>
      <c r="J87" s="239">
        <f t="shared" si="32"/>
        <v>0.10350000000000002</v>
      </c>
      <c r="K87" s="239">
        <f t="shared" si="32"/>
        <v>0.11250000000000004</v>
      </c>
      <c r="L87" s="239">
        <f t="shared" si="32"/>
        <v>0.10800000000000003</v>
      </c>
      <c r="M87" s="239">
        <f t="shared" si="32"/>
        <v>0.12150000000000002</v>
      </c>
      <c r="N87" s="239">
        <f t="shared" si="32"/>
        <v>9.4500000000000028E-2</v>
      </c>
      <c r="O87" s="239">
        <f t="shared" si="32"/>
        <v>5.5800000000000009E-2</v>
      </c>
      <c r="P87" s="240">
        <f>SUM(D87:O87)</f>
        <v>0.90000000000000024</v>
      </c>
    </row>
  </sheetData>
  <mergeCells count="117">
    <mergeCell ref="A79:A80"/>
    <mergeCell ref="B79:B80"/>
    <mergeCell ref="A81:A82"/>
    <mergeCell ref="B81:B82"/>
    <mergeCell ref="A71:A72"/>
    <mergeCell ref="B71:B72"/>
    <mergeCell ref="A73:A74"/>
    <mergeCell ref="B73:B74"/>
    <mergeCell ref="A75:A76"/>
    <mergeCell ref="B75:B76"/>
    <mergeCell ref="A69:A70"/>
    <mergeCell ref="B69:B70"/>
    <mergeCell ref="A61:A62"/>
    <mergeCell ref="B61:B62"/>
    <mergeCell ref="C61:P61"/>
    <mergeCell ref="A63:A64"/>
    <mergeCell ref="B63:B64"/>
    <mergeCell ref="A77:A78"/>
    <mergeCell ref="B77:B78"/>
    <mergeCell ref="Q52:AD53"/>
    <mergeCell ref="Q54:AD55"/>
    <mergeCell ref="B56:B57"/>
    <mergeCell ref="B50:B51"/>
    <mergeCell ref="B52:B53"/>
    <mergeCell ref="B54:B55"/>
    <mergeCell ref="A65:A66"/>
    <mergeCell ref="B65:B66"/>
    <mergeCell ref="A67:A68"/>
    <mergeCell ref="B67:B68"/>
    <mergeCell ref="A50:A51"/>
    <mergeCell ref="A52:A53"/>
    <mergeCell ref="A54:A55"/>
    <mergeCell ref="A56:A57"/>
    <mergeCell ref="Q56:AD57"/>
    <mergeCell ref="Q50:AD51"/>
    <mergeCell ref="A38:A39"/>
    <mergeCell ref="B38:B39"/>
    <mergeCell ref="Q38:AD39"/>
    <mergeCell ref="A48:A49"/>
    <mergeCell ref="B48:B49"/>
    <mergeCell ref="Q48:AD49"/>
    <mergeCell ref="A40:A41"/>
    <mergeCell ref="B40:B41"/>
    <mergeCell ref="Q40:AD41"/>
    <mergeCell ref="A42:A43"/>
    <mergeCell ref="B42:B43"/>
    <mergeCell ref="Q42:AD43"/>
    <mergeCell ref="B44:B45"/>
    <mergeCell ref="A44:A45"/>
    <mergeCell ref="B46:B47"/>
    <mergeCell ref="A46:A47"/>
    <mergeCell ref="Q44:AD45"/>
    <mergeCell ref="Q46:AD47"/>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7:AD27"/>
    <mergeCell ref="A28:A29"/>
    <mergeCell ref="B28:C29"/>
    <mergeCell ref="D28:O28"/>
    <mergeCell ref="P28:P29"/>
    <mergeCell ref="Q28:AD29"/>
    <mergeCell ref="A19:AD19"/>
    <mergeCell ref="C20:P20"/>
    <mergeCell ref="Q20:AD20"/>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phoneticPr fontId="50" type="noConversion"/>
  <dataValidations count="3">
    <dataValidation type="list" allowBlank="1" showInputMessage="1" showErrorMessage="1" sqref="C7:C9" xr:uid="{00000000-0002-0000-01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R38:AD55 Q38:Q56" xr:uid="{00000000-0002-0000-0100-000002000000}">
      <formula1>2000</formula1>
    </dataValidation>
  </dataValidations>
  <printOptions horizontalCentered="1"/>
  <pageMargins left="0.19685039370078741" right="0.19685039370078741" top="0.19685039370078741" bottom="0.19685039370078741" header="0" footer="0"/>
  <pageSetup scale="27" orientation="landscape" r:id="rId1"/>
  <colBreaks count="1" manualBreakCount="1">
    <brk id="30"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Y69"/>
  <sheetViews>
    <sheetView view="pageBreakPreview" topLeftCell="B21" zoomScale="78" zoomScaleNormal="75" zoomScaleSheetLayoutView="78" workbookViewId="0">
      <selection activeCell="I26" sqref="I26"/>
    </sheetView>
  </sheetViews>
  <sheetFormatPr baseColWidth="10" defaultColWidth="10.85546875" defaultRowHeight="15" x14ac:dyDescent="0.25"/>
  <cols>
    <col min="1" max="1" width="38.42578125" style="108" customWidth="1"/>
    <col min="2" max="2" width="15.42578125" style="108" customWidth="1"/>
    <col min="3" max="3" width="17.42578125" style="108" customWidth="1"/>
    <col min="4" max="16" width="15.42578125" style="108" customWidth="1"/>
    <col min="17" max="17" width="17.42578125" style="108" bestFit="1" customWidth="1"/>
    <col min="18" max="18" width="14.85546875" style="108" bestFit="1" customWidth="1"/>
    <col min="19" max="28" width="16" style="108" bestFit="1" customWidth="1"/>
    <col min="29" max="29" width="17.42578125" style="108" bestFit="1" customWidth="1"/>
    <col min="30" max="30" width="19.42578125" style="108" customWidth="1"/>
    <col min="31" max="31" width="6.42578125" style="108" bestFit="1" customWidth="1"/>
    <col min="32" max="32" width="22.85546875" style="108" customWidth="1"/>
    <col min="33" max="33" width="18.42578125" style="108" bestFit="1" customWidth="1"/>
    <col min="34" max="34" width="8.42578125" style="108" customWidth="1"/>
    <col min="35" max="35" width="18.42578125" style="108" bestFit="1" customWidth="1"/>
    <col min="36" max="36" width="5.42578125" style="108" customWidth="1"/>
    <col min="37" max="37" width="18.42578125" style="108" bestFit="1" customWidth="1"/>
    <col min="38" max="38" width="4.42578125" style="108" customWidth="1"/>
    <col min="39" max="39" width="23" style="108" bestFit="1" customWidth="1"/>
    <col min="40" max="40" width="10.85546875" style="108"/>
    <col min="41" max="41" width="18.42578125" style="108" bestFit="1" customWidth="1"/>
    <col min="42" max="42" width="16.140625" style="108" customWidth="1"/>
    <col min="43" max="16384" width="10.85546875" style="108"/>
  </cols>
  <sheetData>
    <row r="1" spans="1:30"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ht="15" customHeight="1" x14ac:dyDescent="0.25">
      <c r="A11" s="358" t="s">
        <v>15</v>
      </c>
      <c r="B11" s="359"/>
      <c r="C11" s="496" t="s">
        <v>16</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1:30" ht="15" customHeight="1" x14ac:dyDescent="0.25">
      <c r="A12" s="360"/>
      <c r="B12" s="36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1"/>
    </row>
    <row r="13" spans="1:30" ht="15" customHeight="1" thickBot="1" x14ac:dyDescent="0.3">
      <c r="A13" s="362"/>
      <c r="B13" s="363"/>
      <c r="C13" s="502"/>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9" t="s">
        <v>18</v>
      </c>
      <c r="D15" s="510"/>
      <c r="E15" s="510"/>
      <c r="F15" s="510"/>
      <c r="G15" s="510"/>
      <c r="H15" s="510"/>
      <c r="I15" s="510"/>
      <c r="J15" s="510"/>
      <c r="K15" s="511"/>
      <c r="L15" s="420" t="s">
        <v>19</v>
      </c>
      <c r="M15" s="424"/>
      <c r="N15" s="424"/>
      <c r="O15" s="424"/>
      <c r="P15" s="424"/>
      <c r="Q15" s="421"/>
      <c r="R15" s="544" t="s">
        <v>20</v>
      </c>
      <c r="S15" s="545"/>
      <c r="T15" s="545"/>
      <c r="U15" s="545"/>
      <c r="V15" s="545"/>
      <c r="W15" s="545"/>
      <c r="X15" s="546"/>
      <c r="Y15" s="420" t="s">
        <v>21</v>
      </c>
      <c r="Z15" s="421"/>
      <c r="AA15" s="539" t="s">
        <v>127</v>
      </c>
      <c r="AB15" s="540"/>
      <c r="AC15" s="540"/>
      <c r="AD15" s="541"/>
    </row>
    <row r="16" spans="1:30" ht="9" customHeight="1"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41" s="222" customFormat="1" ht="37.5" customHeight="1" thickBot="1" x14ac:dyDescent="0.3">
      <c r="A17" s="407" t="s">
        <v>23</v>
      </c>
      <c r="B17" s="408"/>
      <c r="C17" s="506" t="s">
        <v>128</v>
      </c>
      <c r="D17" s="507"/>
      <c r="E17" s="507"/>
      <c r="F17" s="507"/>
      <c r="G17" s="507"/>
      <c r="H17" s="507"/>
      <c r="I17" s="507"/>
      <c r="J17" s="507"/>
      <c r="K17" s="507"/>
      <c r="L17" s="507"/>
      <c r="M17" s="507"/>
      <c r="N17" s="507"/>
      <c r="O17" s="507"/>
      <c r="P17" s="507"/>
      <c r="Q17" s="508"/>
      <c r="R17" s="420" t="s">
        <v>25</v>
      </c>
      <c r="S17" s="424"/>
      <c r="T17" s="424"/>
      <c r="U17" s="424"/>
      <c r="V17" s="421"/>
      <c r="W17" s="542">
        <v>1</v>
      </c>
      <c r="X17" s="543"/>
      <c r="Y17" s="424" t="s">
        <v>26</v>
      </c>
      <c r="Z17" s="424"/>
      <c r="AA17" s="424"/>
      <c r="AB17" s="421"/>
      <c r="AC17" s="412">
        <v>0.32</v>
      </c>
      <c r="AD17" s="413"/>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41"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41" ht="32.25" customHeight="1" thickBot="1" x14ac:dyDescent="0.3">
      <c r="A21" s="59"/>
      <c r="B21" s="271"/>
      <c r="C21" s="194"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194"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41" ht="32.25" customHeight="1" x14ac:dyDescent="0.25">
      <c r="A22" s="187" t="s">
        <v>43</v>
      </c>
      <c r="B22" s="272"/>
      <c r="C22" s="263" t="s">
        <v>44</v>
      </c>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77">
        <f>957554700+667107.25+59650319+236900000+126150132</f>
        <v>1380922258.25</v>
      </c>
      <c r="R22" s="263">
        <f>664107.25+5000000</f>
        <v>5664107.25</v>
      </c>
      <c r="S22" s="263">
        <f>667108.25+66194448</f>
        <v>66861556.25</v>
      </c>
      <c r="T22" s="263">
        <f>10745152.4+667107.25+56000000+33941759</f>
        <v>101354018.65000001</v>
      </c>
      <c r="U22" s="263">
        <f>667111.25+40463381</f>
        <v>41130492.25</v>
      </c>
      <c r="V22" s="263">
        <v>667107.25</v>
      </c>
      <c r="W22" s="263">
        <v>667107.25</v>
      </c>
      <c r="X22" s="263">
        <v>667107.25</v>
      </c>
      <c r="Y22" s="263">
        <v>667107.25</v>
      </c>
      <c r="Z22" s="263">
        <f>667107.25+291180</f>
        <v>958287.25</v>
      </c>
      <c r="AA22" s="263">
        <v>667107.25</v>
      </c>
      <c r="AB22" s="263">
        <v>670102</v>
      </c>
      <c r="AC22" s="263">
        <f>SUM(Q22:AB22)</f>
        <v>1600896358.1500001</v>
      </c>
      <c r="AD22" s="259"/>
      <c r="AE22" s="224"/>
      <c r="AF22" s="224"/>
    </row>
    <row r="23" spans="1:41"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77">
        <v>1380262728</v>
      </c>
      <c r="R23" s="263">
        <f>1380498168-Q23</f>
        <v>235440</v>
      </c>
      <c r="S23" s="263">
        <f>1400439631-Q23-R23</f>
        <v>19941463</v>
      </c>
      <c r="T23" s="263">
        <v>52241207</v>
      </c>
      <c r="U23" s="263">
        <f>1473984181-Q23-R23-S23-T23</f>
        <v>21303343</v>
      </c>
      <c r="V23" s="263">
        <f>1566033518-Q23-R23-S23-T23-U23</f>
        <v>92049337</v>
      </c>
      <c r="W23" s="263">
        <f>1566728488-Q23-R23-S23-T23-U23-V23</f>
        <v>694970</v>
      </c>
      <c r="X23" s="263" t="s">
        <v>44</v>
      </c>
      <c r="Y23" s="263" t="s">
        <v>44</v>
      </c>
      <c r="Z23" s="263" t="s">
        <v>44</v>
      </c>
      <c r="AA23" s="263" t="s">
        <v>44</v>
      </c>
      <c r="AB23" s="263" t="s">
        <v>44</v>
      </c>
      <c r="AC23" s="263">
        <f t="shared" ref="AC23:AC25" si="0">SUM(Q23:AB23)</f>
        <v>1566728488</v>
      </c>
      <c r="AD23" s="312">
        <f>(SUM(Q23:W23)/SUM(Q22:W22))</f>
        <v>0.98088098865365447</v>
      </c>
      <c r="AE23" s="224"/>
      <c r="AF23" s="224"/>
    </row>
    <row r="24" spans="1:41" ht="32.25" customHeight="1" x14ac:dyDescent="0.25">
      <c r="A24" s="188" t="s">
        <v>47</v>
      </c>
      <c r="B24" s="189"/>
      <c r="C24" s="277" t="s">
        <v>44</v>
      </c>
      <c r="D24" s="265">
        <f>6500000+11749467+2086812+3833333+1500000</f>
        <v>25669612</v>
      </c>
      <c r="E24" s="265">
        <f>6500000+607175+2086812+42647+399000</f>
        <v>9635634</v>
      </c>
      <c r="F24" s="265">
        <f>6500000+2086812+5417183+400000+18271001</f>
        <v>32674996</v>
      </c>
      <c r="G24" s="265">
        <v>7606265</v>
      </c>
      <c r="H24" s="263" t="s">
        <v>44</v>
      </c>
      <c r="I24" s="263">
        <v>2682664</v>
      </c>
      <c r="J24" s="263" t="s">
        <v>44</v>
      </c>
      <c r="K24" s="263" t="s">
        <v>44</v>
      </c>
      <c r="L24" s="263" t="s">
        <v>44</v>
      </c>
      <c r="M24" s="263" t="s">
        <v>44</v>
      </c>
      <c r="N24" s="263" t="s">
        <v>44</v>
      </c>
      <c r="O24" s="300">
        <f t="shared" ref="O24:O25" si="1">SUM(C24:N24)</f>
        <v>78269171</v>
      </c>
      <c r="P24" s="306"/>
      <c r="Q24" s="307" t="s">
        <v>44</v>
      </c>
      <c r="R24" s="299">
        <v>83811561.5</v>
      </c>
      <c r="S24" s="300">
        <v>142387531.966667</v>
      </c>
      <c r="T24" s="300">
        <v>139532033.616667</v>
      </c>
      <c r="U24" s="300">
        <v>131653057.366667</v>
      </c>
      <c r="V24" s="300">
        <v>139532032.366667</v>
      </c>
      <c r="W24" s="299">
        <v>142482865.366667</v>
      </c>
      <c r="X24" s="299">
        <v>142032032.366667</v>
      </c>
      <c r="Y24" s="299">
        <v>140116455.366667</v>
      </c>
      <c r="Z24" s="299">
        <v>139532032.366667</v>
      </c>
      <c r="AA24" s="299">
        <v>139970865.366667</v>
      </c>
      <c r="AB24" s="299">
        <v>259845889.94666699</v>
      </c>
      <c r="AC24" s="263">
        <f t="shared" si="0"/>
        <v>1600896357.5966702</v>
      </c>
      <c r="AD24" s="312"/>
      <c r="AE24" s="224"/>
      <c r="AF24" s="224"/>
      <c r="AG24" s="225"/>
    </row>
    <row r="25" spans="1:41" ht="32.25" customHeight="1" thickBot="1" x14ac:dyDescent="0.3">
      <c r="A25" s="190" t="s">
        <v>48</v>
      </c>
      <c r="B25" s="273"/>
      <c r="C25" s="278">
        <v>5753477</v>
      </c>
      <c r="D25" s="279">
        <f>10395702-C25</f>
        <v>4642225</v>
      </c>
      <c r="E25" s="279">
        <v>46449742</v>
      </c>
      <c r="F25" s="279">
        <v>9335758</v>
      </c>
      <c r="G25" s="279">
        <f>72733992-C25-D25-E25-F25</f>
        <v>6552790</v>
      </c>
      <c r="H25" s="305">
        <f>5042577+1</f>
        <v>5042578</v>
      </c>
      <c r="I25" s="279"/>
      <c r="J25" s="279" t="s">
        <v>44</v>
      </c>
      <c r="K25" s="279" t="s">
        <v>44</v>
      </c>
      <c r="L25" s="279" t="s">
        <v>44</v>
      </c>
      <c r="M25" s="279" t="s">
        <v>44</v>
      </c>
      <c r="N25" s="279" t="s">
        <v>44</v>
      </c>
      <c r="O25" s="279">
        <f t="shared" si="1"/>
        <v>77776570</v>
      </c>
      <c r="P25" s="311">
        <f>(SUM(C25:I25)/SUM(C24:I24))</f>
        <v>0.99370632148384452</v>
      </c>
      <c r="Q25" s="278">
        <v>320152</v>
      </c>
      <c r="R25" s="279">
        <f>50674251-Q25</f>
        <v>50354099</v>
      </c>
      <c r="S25" s="279">
        <v>137896661</v>
      </c>
      <c r="T25" s="279">
        <v>140772296</v>
      </c>
      <c r="U25" s="279">
        <f>442387201-Q25-R25-S25-T25</f>
        <v>113043993</v>
      </c>
      <c r="V25" s="279">
        <f>587105423-Q25-R25-S25-T25-U25</f>
        <v>144718222</v>
      </c>
      <c r="W25" s="279">
        <f>732361027-Q25-R25-S25-T25-U25-V25</f>
        <v>145255604</v>
      </c>
      <c r="X25" s="279" t="s">
        <v>44</v>
      </c>
      <c r="Y25" s="279" t="s">
        <v>44</v>
      </c>
      <c r="Z25" s="279" t="s">
        <v>44</v>
      </c>
      <c r="AA25" s="279" t="s">
        <v>44</v>
      </c>
      <c r="AB25" s="279" t="s">
        <v>44</v>
      </c>
      <c r="AC25" s="279">
        <f t="shared" si="0"/>
        <v>732361027</v>
      </c>
      <c r="AD25" s="311">
        <f>(SUM(Q25:W25)/SUM(Q24:W24))</f>
        <v>0.93964830565162194</v>
      </c>
      <c r="AE25" s="224"/>
      <c r="AF25" s="224"/>
      <c r="AG25" s="225"/>
    </row>
    <row r="26" spans="1:41" ht="32.25" customHeight="1" thickBot="1" x14ac:dyDescent="0.3">
      <c r="A26" s="59"/>
      <c r="B26" s="54"/>
      <c r="C26" s="80"/>
      <c r="D26" s="80"/>
      <c r="E26" s="80"/>
      <c r="F26" s="80"/>
      <c r="G26" s="80"/>
      <c r="H26" s="80"/>
      <c r="I26" s="80"/>
      <c r="J26" s="294"/>
      <c r="K26" s="294"/>
      <c r="L26" s="294"/>
      <c r="M26" s="80"/>
      <c r="N26" s="80"/>
      <c r="O26" s="80"/>
      <c r="P26" s="294"/>
      <c r="Q26" s="80"/>
      <c r="R26" s="80"/>
      <c r="S26" s="80"/>
      <c r="T26" s="80"/>
      <c r="U26" s="80"/>
      <c r="V26" s="80"/>
      <c r="W26" s="80"/>
      <c r="X26" s="80"/>
      <c r="Y26" s="80"/>
      <c r="Z26" s="80"/>
      <c r="AA26" s="80"/>
      <c r="AB26" s="80"/>
      <c r="AC26" s="60"/>
      <c r="AD26" s="161"/>
    </row>
    <row r="27" spans="1:41" ht="33.950000000000003" customHeight="1"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c r="AF27" s="225"/>
    </row>
    <row r="28" spans="1:41" ht="15" customHeight="1"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41" ht="27" customHeight="1"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41" ht="42" customHeight="1" thickBot="1" x14ac:dyDescent="0.3">
      <c r="A30" s="85" t="s">
        <v>129</v>
      </c>
      <c r="B30" s="512"/>
      <c r="C30" s="513"/>
      <c r="D30" s="89"/>
      <c r="E30" s="89"/>
      <c r="F30" s="89"/>
      <c r="G30" s="89"/>
      <c r="H30" s="89"/>
      <c r="I30" s="89"/>
      <c r="J30" s="89"/>
      <c r="K30" s="89"/>
      <c r="L30" s="89"/>
      <c r="M30" s="89"/>
      <c r="N30" s="89"/>
      <c r="O30" s="89"/>
      <c r="P30" s="86">
        <f>SUM(D30:O30)</f>
        <v>0</v>
      </c>
      <c r="Q30" s="427" t="s">
        <v>130</v>
      </c>
      <c r="R30" s="427"/>
      <c r="S30" s="427"/>
      <c r="T30" s="427"/>
      <c r="U30" s="427"/>
      <c r="V30" s="427"/>
      <c r="W30" s="427"/>
      <c r="X30" s="427"/>
      <c r="Y30" s="427"/>
      <c r="Z30" s="427"/>
      <c r="AA30" s="427"/>
      <c r="AB30" s="427"/>
      <c r="AC30" s="427"/>
      <c r="AD30" s="428"/>
    </row>
    <row r="31" spans="1:41" ht="45" customHeight="1"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41" ht="23.25" customHeight="1"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c r="AG32" s="226"/>
      <c r="AH32" s="226"/>
      <c r="AI32" s="226"/>
      <c r="AJ32" s="226"/>
      <c r="AK32" s="226"/>
      <c r="AL32" s="226"/>
      <c r="AM32" s="226"/>
      <c r="AN32" s="226"/>
      <c r="AO32" s="226"/>
    </row>
    <row r="33" spans="1:41" ht="23.25" customHeight="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c r="AG33" s="226"/>
      <c r="AH33" s="226"/>
      <c r="AI33" s="226"/>
      <c r="AJ33" s="226"/>
      <c r="AK33" s="226"/>
      <c r="AL33" s="226"/>
      <c r="AM33" s="226"/>
      <c r="AN33" s="226"/>
      <c r="AO33" s="226"/>
    </row>
    <row r="34" spans="1:41" ht="72.75" customHeight="1" x14ac:dyDescent="0.25">
      <c r="A34" s="444" t="s">
        <v>129</v>
      </c>
      <c r="B34" s="446">
        <f>SUM(B38+B40+B42+B44)</f>
        <v>0.32000000000000006</v>
      </c>
      <c r="C34" s="90" t="s">
        <v>63</v>
      </c>
      <c r="D34" s="214">
        <f>D69</f>
        <v>7.6250000000000026E-2</v>
      </c>
      <c r="E34" s="214">
        <f t="shared" ref="E34:O34" si="2">E69</f>
        <v>9.0625000000000025E-2</v>
      </c>
      <c r="F34" s="214">
        <f t="shared" si="2"/>
        <v>9.0625000000000025E-2</v>
      </c>
      <c r="G34" s="214">
        <f t="shared" si="2"/>
        <v>9.0625000000000025E-2</v>
      </c>
      <c r="H34" s="214">
        <f t="shared" si="2"/>
        <v>9.0625000000000025E-2</v>
      </c>
      <c r="I34" s="214">
        <f t="shared" si="2"/>
        <v>8.0625000000000016E-2</v>
      </c>
      <c r="J34" s="214">
        <f t="shared" si="2"/>
        <v>8.0625000000000016E-2</v>
      </c>
      <c r="K34" s="214">
        <f t="shared" si="2"/>
        <v>8.0625000000000016E-2</v>
      </c>
      <c r="L34" s="214">
        <f t="shared" si="2"/>
        <v>8.0625000000000016E-2</v>
      </c>
      <c r="M34" s="214">
        <f t="shared" si="2"/>
        <v>8.0625000000000016E-2</v>
      </c>
      <c r="N34" s="214">
        <f t="shared" si="2"/>
        <v>8.0625000000000016E-2</v>
      </c>
      <c r="O34" s="214">
        <f t="shared" si="2"/>
        <v>7.7500000000000013E-2</v>
      </c>
      <c r="P34" s="215">
        <f>SUM(D34:O34)</f>
        <v>1.0000000000000004</v>
      </c>
      <c r="Q34" s="547" t="s">
        <v>131</v>
      </c>
      <c r="R34" s="548"/>
      <c r="S34" s="548"/>
      <c r="T34" s="548"/>
      <c r="U34" s="548"/>
      <c r="V34" s="549"/>
      <c r="W34" s="547" t="s">
        <v>132</v>
      </c>
      <c r="X34" s="548"/>
      <c r="Y34" s="548"/>
      <c r="Z34" s="549"/>
      <c r="AA34" s="547" t="s">
        <v>133</v>
      </c>
      <c r="AB34" s="548"/>
      <c r="AC34" s="548"/>
      <c r="AD34" s="548"/>
      <c r="AG34" s="226"/>
      <c r="AH34" s="226"/>
      <c r="AI34" s="226"/>
      <c r="AJ34" s="226"/>
      <c r="AK34" s="226"/>
      <c r="AL34" s="226"/>
      <c r="AM34" s="226"/>
      <c r="AN34" s="226"/>
      <c r="AO34" s="226"/>
    </row>
    <row r="35" spans="1:41" ht="93" customHeight="1" thickBot="1" x14ac:dyDescent="0.3">
      <c r="A35" s="445"/>
      <c r="B35" s="447"/>
      <c r="C35" s="91" t="s">
        <v>67</v>
      </c>
      <c r="D35" s="218">
        <f>D66</f>
        <v>7.6250000000000026E-2</v>
      </c>
      <c r="E35" s="292">
        <f>E66</f>
        <v>9.0625000000000025E-2</v>
      </c>
      <c r="F35" s="218">
        <f t="shared" ref="F35:O35" si="3">F66</f>
        <v>9.0625000000000025E-2</v>
      </c>
      <c r="G35" s="218">
        <f t="shared" si="3"/>
        <v>9.0625000000000025E-2</v>
      </c>
      <c r="H35" s="218">
        <v>0.09</v>
      </c>
      <c r="I35" s="218">
        <v>0.08</v>
      </c>
      <c r="J35" s="218">
        <f>J66</f>
        <v>8.0625000000000016E-2</v>
      </c>
      <c r="K35" s="218">
        <f t="shared" si="3"/>
        <v>0</v>
      </c>
      <c r="L35" s="218">
        <f t="shared" si="3"/>
        <v>0</v>
      </c>
      <c r="M35" s="218">
        <f t="shared" si="3"/>
        <v>0</v>
      </c>
      <c r="N35" s="218">
        <f t="shared" si="3"/>
        <v>0</v>
      </c>
      <c r="O35" s="218">
        <f t="shared" si="3"/>
        <v>0</v>
      </c>
      <c r="P35" s="216">
        <f>SUM(D35:O35)</f>
        <v>0.59875000000000012</v>
      </c>
      <c r="Q35" s="550"/>
      <c r="R35" s="551"/>
      <c r="S35" s="551"/>
      <c r="T35" s="551"/>
      <c r="U35" s="551"/>
      <c r="V35" s="552"/>
      <c r="W35" s="550"/>
      <c r="X35" s="551"/>
      <c r="Y35" s="551"/>
      <c r="Z35" s="552"/>
      <c r="AA35" s="550"/>
      <c r="AB35" s="551"/>
      <c r="AC35" s="551"/>
      <c r="AD35" s="551"/>
      <c r="AE35" s="227"/>
      <c r="AG35" s="226"/>
      <c r="AH35" s="226"/>
      <c r="AI35" s="226"/>
      <c r="AJ35" s="226"/>
      <c r="AK35" s="226"/>
      <c r="AL35" s="226"/>
      <c r="AM35" s="226"/>
      <c r="AN35" s="226"/>
      <c r="AO35" s="226"/>
    </row>
    <row r="36" spans="1:41" ht="26.25" customHeight="1" x14ac:dyDescent="0.25">
      <c r="A36" s="429" t="s">
        <v>68</v>
      </c>
      <c r="B36" s="437" t="s">
        <v>69</v>
      </c>
      <c r="C36" s="439" t="s">
        <v>70</v>
      </c>
      <c r="D36" s="439"/>
      <c r="E36" s="439"/>
      <c r="F36" s="439"/>
      <c r="G36" s="439"/>
      <c r="H36" s="439"/>
      <c r="I36" s="439"/>
      <c r="J36" s="439"/>
      <c r="K36" s="439"/>
      <c r="L36" s="439"/>
      <c r="M36" s="439"/>
      <c r="N36" s="439"/>
      <c r="O36" s="439"/>
      <c r="P36" s="439"/>
      <c r="Q36" s="440" t="s">
        <v>71</v>
      </c>
      <c r="R36" s="441"/>
      <c r="S36" s="441"/>
      <c r="T36" s="441"/>
      <c r="U36" s="441"/>
      <c r="V36" s="441"/>
      <c r="W36" s="441"/>
      <c r="X36" s="441"/>
      <c r="Y36" s="441"/>
      <c r="Z36" s="441"/>
      <c r="AA36" s="441"/>
      <c r="AB36" s="441"/>
      <c r="AC36" s="441"/>
      <c r="AD36" s="442"/>
      <c r="AG36" s="226"/>
      <c r="AH36" s="226"/>
      <c r="AI36" s="226"/>
      <c r="AJ36" s="226"/>
      <c r="AK36" s="226"/>
      <c r="AL36" s="226"/>
      <c r="AM36" s="226"/>
      <c r="AN36" s="226"/>
      <c r="AO36" s="226"/>
    </row>
    <row r="37" spans="1:41" ht="26.25" customHeight="1" thickBot="1" x14ac:dyDescent="0.3">
      <c r="A37" s="514"/>
      <c r="B37" s="553"/>
      <c r="C37" s="179" t="s">
        <v>72</v>
      </c>
      <c r="D37" s="179" t="s">
        <v>73</v>
      </c>
      <c r="E37" s="179" t="s">
        <v>74</v>
      </c>
      <c r="F37" s="179" t="s">
        <v>75</v>
      </c>
      <c r="G37" s="179" t="s">
        <v>76</v>
      </c>
      <c r="H37" s="179" t="s">
        <v>77</v>
      </c>
      <c r="I37" s="179" t="s">
        <v>78</v>
      </c>
      <c r="J37" s="179" t="s">
        <v>79</v>
      </c>
      <c r="K37" s="179" t="s">
        <v>80</v>
      </c>
      <c r="L37" s="179" t="s">
        <v>81</v>
      </c>
      <c r="M37" s="179" t="s">
        <v>82</v>
      </c>
      <c r="N37" s="179" t="s">
        <v>83</v>
      </c>
      <c r="O37" s="179" t="s">
        <v>84</v>
      </c>
      <c r="P37" s="179" t="s">
        <v>85</v>
      </c>
      <c r="Q37" s="390" t="s">
        <v>86</v>
      </c>
      <c r="R37" s="554"/>
      <c r="S37" s="554"/>
      <c r="T37" s="554"/>
      <c r="U37" s="554"/>
      <c r="V37" s="554"/>
      <c r="W37" s="554"/>
      <c r="X37" s="554"/>
      <c r="Y37" s="554"/>
      <c r="Z37" s="554"/>
      <c r="AA37" s="554"/>
      <c r="AB37" s="554"/>
      <c r="AC37" s="554"/>
      <c r="AD37" s="555"/>
      <c r="AG37" s="228"/>
      <c r="AH37" s="228"/>
      <c r="AI37" s="228"/>
      <c r="AJ37" s="228"/>
      <c r="AK37" s="228"/>
      <c r="AL37" s="228"/>
      <c r="AM37" s="228"/>
      <c r="AN37" s="228"/>
      <c r="AO37" s="228"/>
    </row>
    <row r="38" spans="1:41" ht="108" customHeight="1" x14ac:dyDescent="0.25">
      <c r="A38" s="556" t="s">
        <v>134</v>
      </c>
      <c r="B38" s="558">
        <v>0.1</v>
      </c>
      <c r="C38" s="180" t="s">
        <v>63</v>
      </c>
      <c r="D38" s="304">
        <v>0.08</v>
      </c>
      <c r="E38" s="304">
        <v>0.09</v>
      </c>
      <c r="F38" s="304">
        <v>0.09</v>
      </c>
      <c r="G38" s="304">
        <v>0.09</v>
      </c>
      <c r="H38" s="304">
        <v>0.09</v>
      </c>
      <c r="I38" s="304">
        <v>0.08</v>
      </c>
      <c r="J38" s="304">
        <v>0.08</v>
      </c>
      <c r="K38" s="304">
        <v>0.08</v>
      </c>
      <c r="L38" s="304">
        <v>0.08</v>
      </c>
      <c r="M38" s="304">
        <v>0.08</v>
      </c>
      <c r="N38" s="304">
        <v>0.08</v>
      </c>
      <c r="O38" s="304">
        <v>0.08</v>
      </c>
      <c r="P38" s="181">
        <f t="shared" ref="P38:P45" si="4">SUM(D38:O38)</f>
        <v>0.99999999999999967</v>
      </c>
      <c r="Q38" s="566" t="s">
        <v>135</v>
      </c>
      <c r="R38" s="567"/>
      <c r="S38" s="567"/>
      <c r="T38" s="567"/>
      <c r="U38" s="567"/>
      <c r="V38" s="567"/>
      <c r="W38" s="567"/>
      <c r="X38" s="567"/>
      <c r="Y38" s="567"/>
      <c r="Z38" s="567"/>
      <c r="AA38" s="567"/>
      <c r="AB38" s="567"/>
      <c r="AC38" s="567"/>
      <c r="AD38" s="567"/>
      <c r="AE38" s="97"/>
      <c r="AG38" s="229"/>
      <c r="AH38" s="229"/>
      <c r="AI38" s="229"/>
      <c r="AJ38" s="229"/>
      <c r="AK38" s="229"/>
      <c r="AL38" s="229"/>
      <c r="AM38" s="229"/>
      <c r="AN38" s="229"/>
      <c r="AO38" s="229"/>
    </row>
    <row r="39" spans="1:41" ht="101.25" customHeight="1" x14ac:dyDescent="0.25">
      <c r="A39" s="557"/>
      <c r="B39" s="524"/>
      <c r="C39" s="302" t="s">
        <v>67</v>
      </c>
      <c r="D39" s="100">
        <v>0.08</v>
      </c>
      <c r="E39" s="100">
        <v>0.09</v>
      </c>
      <c r="F39" s="100">
        <v>0.09</v>
      </c>
      <c r="G39" s="100">
        <v>0.09</v>
      </c>
      <c r="H39" s="100">
        <v>0.09</v>
      </c>
      <c r="I39" s="100">
        <v>0.08</v>
      </c>
      <c r="J39" s="100">
        <v>0.08</v>
      </c>
      <c r="K39" s="100"/>
      <c r="L39" s="100"/>
      <c r="M39" s="100"/>
      <c r="N39" s="100"/>
      <c r="O39" s="100"/>
      <c r="P39" s="101">
        <f t="shared" si="4"/>
        <v>0.59999999999999987</v>
      </c>
      <c r="Q39" s="568"/>
      <c r="R39" s="569"/>
      <c r="S39" s="569"/>
      <c r="T39" s="569"/>
      <c r="U39" s="569"/>
      <c r="V39" s="569"/>
      <c r="W39" s="569"/>
      <c r="X39" s="569"/>
      <c r="Y39" s="569"/>
      <c r="Z39" s="569"/>
      <c r="AA39" s="569"/>
      <c r="AB39" s="569"/>
      <c r="AC39" s="569"/>
      <c r="AD39" s="569"/>
      <c r="AE39" s="97"/>
    </row>
    <row r="40" spans="1:41" ht="38.25" customHeight="1" x14ac:dyDescent="0.25">
      <c r="A40" s="557" t="s">
        <v>136</v>
      </c>
      <c r="B40" s="561">
        <v>0.1</v>
      </c>
      <c r="C40" s="303" t="s">
        <v>63</v>
      </c>
      <c r="D40" s="301">
        <v>0.08</v>
      </c>
      <c r="E40" s="301">
        <v>0.09</v>
      </c>
      <c r="F40" s="301">
        <v>0.09</v>
      </c>
      <c r="G40" s="301">
        <v>0.09</v>
      </c>
      <c r="H40" s="301">
        <v>0.09</v>
      </c>
      <c r="I40" s="301">
        <v>0.08</v>
      </c>
      <c r="J40" s="301">
        <v>0.08</v>
      </c>
      <c r="K40" s="301">
        <v>0.08</v>
      </c>
      <c r="L40" s="301">
        <v>0.08</v>
      </c>
      <c r="M40" s="301">
        <v>0.08</v>
      </c>
      <c r="N40" s="301">
        <v>0.08</v>
      </c>
      <c r="O40" s="301">
        <v>0.08</v>
      </c>
      <c r="P40" s="101">
        <f t="shared" si="4"/>
        <v>0.99999999999999967</v>
      </c>
      <c r="Q40" s="474" t="s">
        <v>137</v>
      </c>
      <c r="R40" s="475"/>
      <c r="S40" s="475"/>
      <c r="T40" s="475"/>
      <c r="U40" s="475"/>
      <c r="V40" s="475"/>
      <c r="W40" s="475"/>
      <c r="X40" s="475"/>
      <c r="Y40" s="475"/>
      <c r="Z40" s="475"/>
      <c r="AA40" s="475"/>
      <c r="AB40" s="475"/>
      <c r="AC40" s="475"/>
      <c r="AD40" s="476"/>
      <c r="AE40" s="97"/>
    </row>
    <row r="41" spans="1:41" ht="38.25" customHeight="1" x14ac:dyDescent="0.25">
      <c r="A41" s="557"/>
      <c r="B41" s="524"/>
      <c r="C41" s="302" t="s">
        <v>67</v>
      </c>
      <c r="D41" s="100">
        <v>0.08</v>
      </c>
      <c r="E41" s="100">
        <v>0.09</v>
      </c>
      <c r="F41" s="100">
        <v>0.09</v>
      </c>
      <c r="G41" s="100">
        <v>0.09</v>
      </c>
      <c r="H41" s="100">
        <v>0.09</v>
      </c>
      <c r="I41" s="100">
        <v>0.08</v>
      </c>
      <c r="J41" s="100">
        <v>0.08</v>
      </c>
      <c r="K41" s="100"/>
      <c r="L41" s="104"/>
      <c r="M41" s="104"/>
      <c r="N41" s="104"/>
      <c r="O41" s="104"/>
      <c r="P41" s="101">
        <f t="shared" si="4"/>
        <v>0.59999999999999987</v>
      </c>
      <c r="Q41" s="481"/>
      <c r="R41" s="482"/>
      <c r="S41" s="482"/>
      <c r="T41" s="482"/>
      <c r="U41" s="482"/>
      <c r="V41" s="482"/>
      <c r="W41" s="482"/>
      <c r="X41" s="482"/>
      <c r="Y41" s="482"/>
      <c r="Z41" s="482"/>
      <c r="AA41" s="482"/>
      <c r="AB41" s="482"/>
      <c r="AC41" s="482"/>
      <c r="AD41" s="483"/>
      <c r="AE41" s="97"/>
    </row>
    <row r="42" spans="1:41" ht="52.5" customHeight="1" x14ac:dyDescent="0.25">
      <c r="A42" s="557" t="s">
        <v>138</v>
      </c>
      <c r="B42" s="561">
        <v>0.1</v>
      </c>
      <c r="C42" s="303" t="s">
        <v>63</v>
      </c>
      <c r="D42" s="301">
        <v>0.08</v>
      </c>
      <c r="E42" s="301">
        <v>0.09</v>
      </c>
      <c r="F42" s="301">
        <v>0.09</v>
      </c>
      <c r="G42" s="301">
        <v>0.09</v>
      </c>
      <c r="H42" s="301">
        <v>0.09</v>
      </c>
      <c r="I42" s="301">
        <v>0.08</v>
      </c>
      <c r="J42" s="301">
        <v>0.08</v>
      </c>
      <c r="K42" s="301">
        <v>0.08</v>
      </c>
      <c r="L42" s="301">
        <v>0.08</v>
      </c>
      <c r="M42" s="301">
        <v>0.08</v>
      </c>
      <c r="N42" s="301">
        <v>0.08</v>
      </c>
      <c r="O42" s="301">
        <v>0.08</v>
      </c>
      <c r="P42" s="101">
        <f t="shared" si="4"/>
        <v>0.99999999999999967</v>
      </c>
      <c r="Q42" s="474" t="s">
        <v>139</v>
      </c>
      <c r="R42" s="475"/>
      <c r="S42" s="475"/>
      <c r="T42" s="475"/>
      <c r="U42" s="475"/>
      <c r="V42" s="475"/>
      <c r="W42" s="475"/>
      <c r="X42" s="475"/>
      <c r="Y42" s="475"/>
      <c r="Z42" s="475"/>
      <c r="AA42" s="475"/>
      <c r="AB42" s="475"/>
      <c r="AC42" s="475"/>
      <c r="AD42" s="476"/>
      <c r="AE42" s="97"/>
    </row>
    <row r="43" spans="1:41" ht="63.75" customHeight="1" x14ac:dyDescent="0.25">
      <c r="A43" s="557"/>
      <c r="B43" s="524"/>
      <c r="C43" s="302" t="s">
        <v>67</v>
      </c>
      <c r="D43" s="100">
        <v>0.08</v>
      </c>
      <c r="E43" s="100">
        <v>0.09</v>
      </c>
      <c r="F43" s="100">
        <v>0.09</v>
      </c>
      <c r="G43" s="100">
        <v>0.09</v>
      </c>
      <c r="H43" s="100">
        <v>0.09</v>
      </c>
      <c r="I43" s="100">
        <v>0.08</v>
      </c>
      <c r="J43" s="100">
        <v>0.08</v>
      </c>
      <c r="K43" s="100"/>
      <c r="L43" s="104"/>
      <c r="M43" s="104"/>
      <c r="N43" s="104"/>
      <c r="O43" s="104"/>
      <c r="P43" s="101">
        <f t="shared" si="4"/>
        <v>0.59999999999999987</v>
      </c>
      <c r="Q43" s="481"/>
      <c r="R43" s="482"/>
      <c r="S43" s="482"/>
      <c r="T43" s="482"/>
      <c r="U43" s="482"/>
      <c r="V43" s="482"/>
      <c r="W43" s="482"/>
      <c r="X43" s="482"/>
      <c r="Y43" s="482"/>
      <c r="Z43" s="482"/>
      <c r="AA43" s="482"/>
      <c r="AB43" s="482"/>
      <c r="AC43" s="482"/>
      <c r="AD43" s="483"/>
      <c r="AE43" s="97"/>
    </row>
    <row r="44" spans="1:41" ht="38.25" customHeight="1" x14ac:dyDescent="0.25">
      <c r="A44" s="559" t="s">
        <v>140</v>
      </c>
      <c r="B44" s="561">
        <v>0.02</v>
      </c>
      <c r="C44" s="303" t="s">
        <v>63</v>
      </c>
      <c r="D44" s="301">
        <v>0.02</v>
      </c>
      <c r="E44" s="301">
        <v>0.1</v>
      </c>
      <c r="F44" s="301">
        <v>0.1</v>
      </c>
      <c r="G44" s="301">
        <v>0.1</v>
      </c>
      <c r="H44" s="301">
        <v>0.1</v>
      </c>
      <c r="I44" s="301">
        <v>0.09</v>
      </c>
      <c r="J44" s="301">
        <v>0.09</v>
      </c>
      <c r="K44" s="301">
        <v>0.09</v>
      </c>
      <c r="L44" s="301">
        <v>0.09</v>
      </c>
      <c r="M44" s="301">
        <v>0.09</v>
      </c>
      <c r="N44" s="301">
        <v>0.09</v>
      </c>
      <c r="O44" s="301">
        <v>0.04</v>
      </c>
      <c r="P44" s="101">
        <f t="shared" si="4"/>
        <v>0.99999999999999989</v>
      </c>
      <c r="Q44" s="474" t="s">
        <v>141</v>
      </c>
      <c r="R44" s="475"/>
      <c r="S44" s="475"/>
      <c r="T44" s="475"/>
      <c r="U44" s="475"/>
      <c r="V44" s="475"/>
      <c r="W44" s="475"/>
      <c r="X44" s="475"/>
      <c r="Y44" s="475"/>
      <c r="Z44" s="475"/>
      <c r="AA44" s="475"/>
      <c r="AB44" s="475"/>
      <c r="AC44" s="475"/>
      <c r="AD44" s="476"/>
      <c r="AE44" s="97"/>
    </row>
    <row r="45" spans="1:41" ht="38.25" customHeight="1" thickBot="1" x14ac:dyDescent="0.3">
      <c r="A45" s="560"/>
      <c r="B45" s="562"/>
      <c r="C45" s="91" t="s">
        <v>67</v>
      </c>
      <c r="D45" s="105">
        <v>0.02</v>
      </c>
      <c r="E45" s="100">
        <v>0.1</v>
      </c>
      <c r="F45" s="105">
        <v>0.1</v>
      </c>
      <c r="G45" s="105">
        <v>0.1</v>
      </c>
      <c r="H45" s="105">
        <v>0.1</v>
      </c>
      <c r="I45" s="105">
        <v>0.09</v>
      </c>
      <c r="J45" s="105">
        <v>0.09</v>
      </c>
      <c r="K45" s="105"/>
      <c r="L45" s="106"/>
      <c r="M45" s="106"/>
      <c r="N45" s="106"/>
      <c r="O45" s="106"/>
      <c r="P45" s="107">
        <f t="shared" si="4"/>
        <v>0.6</v>
      </c>
      <c r="Q45" s="563"/>
      <c r="R45" s="564"/>
      <c r="S45" s="564"/>
      <c r="T45" s="564"/>
      <c r="U45" s="564"/>
      <c r="V45" s="564"/>
      <c r="W45" s="564"/>
      <c r="X45" s="564"/>
      <c r="Y45" s="564"/>
      <c r="Z45" s="564"/>
      <c r="AA45" s="564"/>
      <c r="AB45" s="564"/>
      <c r="AC45" s="564"/>
      <c r="AD45" s="565"/>
      <c r="AE45" s="97"/>
    </row>
    <row r="46" spans="1:41" x14ac:dyDescent="0.25">
      <c r="Q46" s="78"/>
      <c r="R46" s="78"/>
      <c r="S46" s="78"/>
      <c r="T46" s="78"/>
      <c r="U46" s="78"/>
      <c r="V46" s="78"/>
      <c r="W46" s="78"/>
      <c r="X46" s="78"/>
      <c r="Y46" s="78"/>
      <c r="Z46" s="78"/>
      <c r="AA46" s="78"/>
      <c r="AB46" s="78"/>
      <c r="AC46" s="78"/>
      <c r="AD46" s="78"/>
    </row>
    <row r="55" spans="1:51" s="274" customFormat="1" ht="21.75" customHeight="1" x14ac:dyDescent="0.25">
      <c r="A55" s="488" t="s">
        <v>102</v>
      </c>
      <c r="B55" s="488" t="s">
        <v>69</v>
      </c>
      <c r="C55" s="490" t="s">
        <v>70</v>
      </c>
      <c r="D55" s="491"/>
      <c r="E55" s="491"/>
      <c r="F55" s="491"/>
      <c r="G55" s="491"/>
      <c r="H55" s="491"/>
      <c r="I55" s="491"/>
      <c r="J55" s="491"/>
      <c r="K55" s="491"/>
      <c r="L55" s="491"/>
      <c r="M55" s="491"/>
      <c r="N55" s="491"/>
      <c r="O55" s="491"/>
      <c r="P55" s="492"/>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row>
    <row r="56" spans="1:51" s="274" customFormat="1" ht="21.75" customHeight="1" x14ac:dyDescent="0.25">
      <c r="A56" s="489"/>
      <c r="B56" s="489"/>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row>
    <row r="57" spans="1:51" s="274" customFormat="1" ht="12.75" customHeight="1" x14ac:dyDescent="0.25">
      <c r="A57" s="484" t="str">
        <f>A38</f>
        <v>18. Realizar atenciones en intervención social que comprenden plan de intervención, asesoría, acompañamiento, enrutamiento y seguimiento a mujeres que realizan actividades sexuales pagadas</v>
      </c>
      <c r="B57" s="494">
        <f>B38</f>
        <v>0.1</v>
      </c>
      <c r="C57" s="199" t="s">
        <v>63</v>
      </c>
      <c r="D57" s="230">
        <f>D38*$B$38/$P$38</f>
        <v>8.0000000000000036E-3</v>
      </c>
      <c r="E57" s="230">
        <f t="shared" ref="E57:O58" si="5">E38*$B$38/$P$38</f>
        <v>9.0000000000000028E-3</v>
      </c>
      <c r="F57" s="230">
        <f t="shared" si="5"/>
        <v>9.0000000000000028E-3</v>
      </c>
      <c r="G57" s="230">
        <f t="shared" si="5"/>
        <v>9.0000000000000028E-3</v>
      </c>
      <c r="H57" s="230">
        <f t="shared" si="5"/>
        <v>9.0000000000000028E-3</v>
      </c>
      <c r="I57" s="230">
        <f t="shared" si="5"/>
        <v>8.0000000000000036E-3</v>
      </c>
      <c r="J57" s="230">
        <f t="shared" si="5"/>
        <v>8.0000000000000036E-3</v>
      </c>
      <c r="K57" s="230">
        <f t="shared" si="5"/>
        <v>8.0000000000000036E-3</v>
      </c>
      <c r="L57" s="230">
        <f t="shared" si="5"/>
        <v>8.0000000000000036E-3</v>
      </c>
      <c r="M57" s="230">
        <f t="shared" si="5"/>
        <v>8.0000000000000036E-3</v>
      </c>
      <c r="N57" s="230">
        <f t="shared" si="5"/>
        <v>8.0000000000000036E-3</v>
      </c>
      <c r="O57" s="230">
        <f t="shared" si="5"/>
        <v>8.0000000000000036E-3</v>
      </c>
      <c r="P57" s="231">
        <f t="shared" ref="P57:P60" si="6">SUM(D57:O57)</f>
        <v>0.10000000000000006</v>
      </c>
      <c r="Q57" s="108"/>
      <c r="R57" s="232"/>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13"/>
      <c r="AR57" s="213"/>
      <c r="AS57" s="213"/>
      <c r="AT57" s="213"/>
      <c r="AU57" s="213"/>
      <c r="AV57" s="213"/>
      <c r="AW57" s="213"/>
      <c r="AX57" s="213"/>
      <c r="AY57" s="213"/>
    </row>
    <row r="58" spans="1:51" s="274" customFormat="1" ht="12.75" customHeight="1" x14ac:dyDescent="0.25">
      <c r="A58" s="493"/>
      <c r="B58" s="495"/>
      <c r="C58" s="204" t="s">
        <v>67</v>
      </c>
      <c r="D58" s="234">
        <f>D39*$B$38/$P$38</f>
        <v>8.0000000000000036E-3</v>
      </c>
      <c r="E58" s="234">
        <f t="shared" si="5"/>
        <v>9.0000000000000028E-3</v>
      </c>
      <c r="F58" s="234">
        <f t="shared" si="5"/>
        <v>9.0000000000000028E-3</v>
      </c>
      <c r="G58" s="234">
        <f t="shared" si="5"/>
        <v>9.0000000000000028E-3</v>
      </c>
      <c r="H58" s="234">
        <f t="shared" si="5"/>
        <v>9.0000000000000028E-3</v>
      </c>
      <c r="I58" s="234">
        <f t="shared" si="5"/>
        <v>8.0000000000000036E-3</v>
      </c>
      <c r="J58" s="234">
        <f t="shared" si="5"/>
        <v>8.0000000000000036E-3</v>
      </c>
      <c r="K58" s="234">
        <f t="shared" si="5"/>
        <v>0</v>
      </c>
      <c r="L58" s="234">
        <f t="shared" si="5"/>
        <v>0</v>
      </c>
      <c r="M58" s="234">
        <f t="shared" si="5"/>
        <v>0</v>
      </c>
      <c r="N58" s="234">
        <f t="shared" si="5"/>
        <v>0</v>
      </c>
      <c r="O58" s="234">
        <f t="shared" si="5"/>
        <v>0</v>
      </c>
      <c r="P58" s="235">
        <f t="shared" si="6"/>
        <v>6.0000000000000026E-2</v>
      </c>
      <c r="Q58" s="236"/>
      <c r="R58" s="232"/>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13"/>
      <c r="AR58" s="213"/>
      <c r="AS58" s="213"/>
      <c r="AT58" s="213"/>
      <c r="AU58" s="213"/>
      <c r="AV58" s="213"/>
      <c r="AW58" s="213"/>
      <c r="AX58" s="213"/>
      <c r="AY58" s="213"/>
    </row>
    <row r="59" spans="1:51" s="274" customFormat="1" ht="12.75" customHeight="1" x14ac:dyDescent="0.25">
      <c r="A59" s="484" t="str">
        <f>A40</f>
        <v>19. Realizar atenciones psicosociales  (valoración, asesoría y seguimiento) a mujeres que realizan actividades sexuales pagadas y sus familias</v>
      </c>
      <c r="B59" s="486">
        <f>B40</f>
        <v>0.1</v>
      </c>
      <c r="C59" s="199" t="s">
        <v>63</v>
      </c>
      <c r="D59" s="230">
        <f>D40*$B$40/$P$40</f>
        <v>8.0000000000000036E-3</v>
      </c>
      <c r="E59" s="230">
        <f t="shared" ref="E59:O60" si="7">E40*$B$40/$P$40</f>
        <v>9.0000000000000028E-3</v>
      </c>
      <c r="F59" s="230">
        <f t="shared" si="7"/>
        <v>9.0000000000000028E-3</v>
      </c>
      <c r="G59" s="230">
        <f t="shared" si="7"/>
        <v>9.0000000000000028E-3</v>
      </c>
      <c r="H59" s="230">
        <f t="shared" si="7"/>
        <v>9.0000000000000028E-3</v>
      </c>
      <c r="I59" s="230">
        <f t="shared" si="7"/>
        <v>8.0000000000000036E-3</v>
      </c>
      <c r="J59" s="230">
        <f t="shared" si="7"/>
        <v>8.0000000000000036E-3</v>
      </c>
      <c r="K59" s="230">
        <f t="shared" si="7"/>
        <v>8.0000000000000036E-3</v>
      </c>
      <c r="L59" s="230">
        <f t="shared" si="7"/>
        <v>8.0000000000000036E-3</v>
      </c>
      <c r="M59" s="230">
        <f t="shared" si="7"/>
        <v>8.0000000000000036E-3</v>
      </c>
      <c r="N59" s="230">
        <f t="shared" si="7"/>
        <v>8.0000000000000036E-3</v>
      </c>
      <c r="O59" s="230">
        <f t="shared" si="7"/>
        <v>8.0000000000000036E-3</v>
      </c>
      <c r="P59" s="231">
        <f t="shared" si="6"/>
        <v>0.10000000000000006</v>
      </c>
      <c r="Q59" s="108"/>
      <c r="R59" s="232"/>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13"/>
      <c r="AR59" s="213"/>
      <c r="AS59" s="213"/>
      <c r="AT59" s="213"/>
      <c r="AU59" s="213"/>
      <c r="AV59" s="213"/>
      <c r="AW59" s="213"/>
      <c r="AX59" s="213"/>
      <c r="AY59" s="213"/>
    </row>
    <row r="60" spans="1:51" s="274" customFormat="1" ht="12.75" customHeight="1" x14ac:dyDescent="0.25">
      <c r="A60" s="485"/>
      <c r="B60" s="487"/>
      <c r="C60" s="204" t="s">
        <v>67</v>
      </c>
      <c r="D60" s="234">
        <f>D41*$B$40/$P$40</f>
        <v>8.0000000000000036E-3</v>
      </c>
      <c r="E60" s="234">
        <f t="shared" si="7"/>
        <v>9.0000000000000028E-3</v>
      </c>
      <c r="F60" s="234">
        <f t="shared" si="7"/>
        <v>9.0000000000000028E-3</v>
      </c>
      <c r="G60" s="234">
        <f t="shared" si="7"/>
        <v>9.0000000000000028E-3</v>
      </c>
      <c r="H60" s="234">
        <f t="shared" si="7"/>
        <v>9.0000000000000028E-3</v>
      </c>
      <c r="I60" s="234">
        <f t="shared" si="7"/>
        <v>8.0000000000000036E-3</v>
      </c>
      <c r="J60" s="234">
        <f t="shared" si="7"/>
        <v>8.0000000000000036E-3</v>
      </c>
      <c r="K60" s="234">
        <f t="shared" si="7"/>
        <v>0</v>
      </c>
      <c r="L60" s="234">
        <f t="shared" si="7"/>
        <v>0</v>
      </c>
      <c r="M60" s="234">
        <f t="shared" si="7"/>
        <v>0</v>
      </c>
      <c r="N60" s="234">
        <f t="shared" si="7"/>
        <v>0</v>
      </c>
      <c r="O60" s="234">
        <f t="shared" si="7"/>
        <v>0</v>
      </c>
      <c r="P60" s="235">
        <f t="shared" si="6"/>
        <v>6.0000000000000026E-2</v>
      </c>
      <c r="Q60" s="236"/>
      <c r="R60" s="232"/>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13"/>
      <c r="AR60" s="213"/>
      <c r="AS60" s="213"/>
      <c r="AT60" s="213"/>
      <c r="AU60" s="213"/>
      <c r="AV60" s="213"/>
      <c r="AW60" s="213"/>
      <c r="AX60" s="213"/>
      <c r="AY60" s="213"/>
    </row>
    <row r="61" spans="1:51" s="274" customFormat="1" ht="12.75" customHeight="1" x14ac:dyDescent="0.25">
      <c r="A61" s="484" t="str">
        <f>A42</f>
        <v>20. 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v>
      </c>
      <c r="B61" s="486">
        <f>B42</f>
        <v>0.1</v>
      </c>
      <c r="C61" s="199" t="s">
        <v>63</v>
      </c>
      <c r="D61" s="230">
        <f>D42*$B$42/$P$42</f>
        <v>8.0000000000000036E-3</v>
      </c>
      <c r="E61" s="230">
        <f t="shared" ref="E61:O62" si="8">E42*$B$42/$P$42</f>
        <v>9.0000000000000028E-3</v>
      </c>
      <c r="F61" s="230">
        <f t="shared" si="8"/>
        <v>9.0000000000000028E-3</v>
      </c>
      <c r="G61" s="230">
        <f t="shared" si="8"/>
        <v>9.0000000000000028E-3</v>
      </c>
      <c r="H61" s="230">
        <f t="shared" si="8"/>
        <v>9.0000000000000028E-3</v>
      </c>
      <c r="I61" s="230">
        <f t="shared" si="8"/>
        <v>8.0000000000000036E-3</v>
      </c>
      <c r="J61" s="230">
        <f t="shared" si="8"/>
        <v>8.0000000000000036E-3</v>
      </c>
      <c r="K61" s="230">
        <f t="shared" si="8"/>
        <v>8.0000000000000036E-3</v>
      </c>
      <c r="L61" s="230">
        <f t="shared" si="8"/>
        <v>8.0000000000000036E-3</v>
      </c>
      <c r="M61" s="230">
        <f t="shared" si="8"/>
        <v>8.0000000000000036E-3</v>
      </c>
      <c r="N61" s="230">
        <f t="shared" si="8"/>
        <v>8.0000000000000036E-3</v>
      </c>
      <c r="O61" s="230">
        <f t="shared" si="8"/>
        <v>8.0000000000000036E-3</v>
      </c>
      <c r="P61" s="231">
        <f t="shared" ref="P61:P64" si="9">SUM(D61:O61)</f>
        <v>0.10000000000000006</v>
      </c>
      <c r="Q61" s="108"/>
      <c r="R61" s="232"/>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13"/>
      <c r="AR61" s="213"/>
      <c r="AS61" s="213"/>
      <c r="AT61" s="213"/>
      <c r="AU61" s="213"/>
      <c r="AV61" s="213"/>
      <c r="AW61" s="213"/>
      <c r="AX61" s="213"/>
      <c r="AY61" s="213"/>
    </row>
    <row r="62" spans="1:51" s="274" customFormat="1" ht="12.75" customHeight="1" x14ac:dyDescent="0.25">
      <c r="A62" s="485"/>
      <c r="B62" s="487"/>
      <c r="C62" s="204" t="s">
        <v>67</v>
      </c>
      <c r="D62" s="234">
        <f>D43*$B$42/$P$42</f>
        <v>8.0000000000000036E-3</v>
      </c>
      <c r="E62" s="234">
        <f t="shared" si="8"/>
        <v>9.0000000000000028E-3</v>
      </c>
      <c r="F62" s="234">
        <f t="shared" si="8"/>
        <v>9.0000000000000028E-3</v>
      </c>
      <c r="G62" s="234">
        <f t="shared" si="8"/>
        <v>9.0000000000000028E-3</v>
      </c>
      <c r="H62" s="234">
        <f t="shared" si="8"/>
        <v>9.0000000000000028E-3</v>
      </c>
      <c r="I62" s="234">
        <f t="shared" si="8"/>
        <v>8.0000000000000036E-3</v>
      </c>
      <c r="J62" s="234">
        <f t="shared" si="8"/>
        <v>8.0000000000000036E-3</v>
      </c>
      <c r="K62" s="234">
        <f t="shared" si="8"/>
        <v>0</v>
      </c>
      <c r="L62" s="234">
        <f t="shared" si="8"/>
        <v>0</v>
      </c>
      <c r="M62" s="234">
        <f t="shared" si="8"/>
        <v>0</v>
      </c>
      <c r="N62" s="234">
        <f t="shared" si="8"/>
        <v>0</v>
      </c>
      <c r="O62" s="234">
        <f t="shared" si="8"/>
        <v>0</v>
      </c>
      <c r="P62" s="235">
        <f t="shared" si="9"/>
        <v>6.0000000000000026E-2</v>
      </c>
      <c r="Q62" s="236"/>
      <c r="R62" s="232"/>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13"/>
      <c r="AR62" s="213"/>
      <c r="AS62" s="213"/>
      <c r="AT62" s="213"/>
      <c r="AU62" s="213"/>
      <c r="AV62" s="213"/>
      <c r="AW62" s="213"/>
      <c r="AX62" s="213"/>
      <c r="AY62" s="213"/>
    </row>
    <row r="63" spans="1:51" s="274" customFormat="1" ht="12.75" customHeight="1" x14ac:dyDescent="0.25">
      <c r="A63" s="484" t="str">
        <f>A44</f>
        <v>21. Generar y divulgar información de los sitios, dinámicas y contextos de las actividades sexuales pagadas en Bogotá</v>
      </c>
      <c r="B63" s="486">
        <f>B44</f>
        <v>0.02</v>
      </c>
      <c r="C63" s="199" t="s">
        <v>63</v>
      </c>
      <c r="D63" s="230">
        <f>D44*$B$44/$P$44</f>
        <v>4.0000000000000007E-4</v>
      </c>
      <c r="E63" s="230">
        <f t="shared" ref="E63:O64" si="10">E44*$B$44/$P$44</f>
        <v>2.0000000000000005E-3</v>
      </c>
      <c r="F63" s="230">
        <f t="shared" si="10"/>
        <v>2.0000000000000005E-3</v>
      </c>
      <c r="G63" s="230">
        <f t="shared" si="10"/>
        <v>2.0000000000000005E-3</v>
      </c>
      <c r="H63" s="230">
        <f t="shared" si="10"/>
        <v>2.0000000000000005E-3</v>
      </c>
      <c r="I63" s="230">
        <f t="shared" si="10"/>
        <v>1.8000000000000002E-3</v>
      </c>
      <c r="J63" s="230">
        <f t="shared" si="10"/>
        <v>1.8000000000000002E-3</v>
      </c>
      <c r="K63" s="230">
        <f t="shared" si="10"/>
        <v>1.8000000000000002E-3</v>
      </c>
      <c r="L63" s="230">
        <f t="shared" si="10"/>
        <v>1.8000000000000002E-3</v>
      </c>
      <c r="M63" s="230">
        <f t="shared" si="10"/>
        <v>1.8000000000000002E-3</v>
      </c>
      <c r="N63" s="230">
        <f t="shared" si="10"/>
        <v>1.8000000000000002E-3</v>
      </c>
      <c r="O63" s="230">
        <f t="shared" si="10"/>
        <v>8.0000000000000015E-4</v>
      </c>
      <c r="P63" s="231">
        <f t="shared" si="9"/>
        <v>1.9999999999999997E-2</v>
      </c>
      <c r="Q63" s="108"/>
      <c r="R63" s="232"/>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51" s="274" customFormat="1" ht="12.75" customHeight="1" x14ac:dyDescent="0.25">
      <c r="A64" s="485"/>
      <c r="B64" s="487"/>
      <c r="C64" s="204" t="s">
        <v>67</v>
      </c>
      <c r="D64" s="234">
        <f>D45*$B$44/$P$44</f>
        <v>4.0000000000000007E-4</v>
      </c>
      <c r="E64" s="234">
        <f t="shared" si="10"/>
        <v>2.0000000000000005E-3</v>
      </c>
      <c r="F64" s="234">
        <f t="shared" si="10"/>
        <v>2.0000000000000005E-3</v>
      </c>
      <c r="G64" s="234">
        <f t="shared" si="10"/>
        <v>2.0000000000000005E-3</v>
      </c>
      <c r="H64" s="234">
        <f t="shared" si="10"/>
        <v>2.0000000000000005E-3</v>
      </c>
      <c r="I64" s="234">
        <f t="shared" si="10"/>
        <v>1.8000000000000002E-3</v>
      </c>
      <c r="J64" s="234">
        <f t="shared" si="10"/>
        <v>1.8000000000000002E-3</v>
      </c>
      <c r="K64" s="234">
        <f t="shared" si="10"/>
        <v>0</v>
      </c>
      <c r="L64" s="234">
        <f t="shared" si="10"/>
        <v>0</v>
      </c>
      <c r="M64" s="234">
        <f t="shared" si="10"/>
        <v>0</v>
      </c>
      <c r="N64" s="234">
        <f t="shared" si="10"/>
        <v>0</v>
      </c>
      <c r="O64" s="234">
        <f t="shared" si="10"/>
        <v>0</v>
      </c>
      <c r="P64" s="235">
        <f t="shared" si="9"/>
        <v>1.2E-2</v>
      </c>
      <c r="Q64" s="236"/>
      <c r="R64" s="232"/>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13"/>
      <c r="AR64" s="213"/>
      <c r="AS64" s="213"/>
      <c r="AT64" s="213"/>
      <c r="AU64" s="213"/>
      <c r="AV64" s="213"/>
      <c r="AW64" s="213"/>
      <c r="AX64" s="213"/>
      <c r="AY64" s="213"/>
    </row>
    <row r="65" spans="1:51" s="274" customFormat="1" ht="15.75" customHeight="1" x14ac:dyDescent="0.25">
      <c r="A65" s="233"/>
      <c r="B65" s="233"/>
      <c r="C65" s="237"/>
      <c r="D65" s="238">
        <f>D58+D60+D62+D64</f>
        <v>2.4400000000000012E-2</v>
      </c>
      <c r="E65" s="238">
        <f t="shared" ref="E65:P65" si="11">E58+E60+E62+E64</f>
        <v>2.9000000000000012E-2</v>
      </c>
      <c r="F65" s="238">
        <f t="shared" si="11"/>
        <v>2.9000000000000012E-2</v>
      </c>
      <c r="G65" s="238">
        <f t="shared" si="11"/>
        <v>2.9000000000000012E-2</v>
      </c>
      <c r="H65" s="238">
        <f t="shared" si="11"/>
        <v>2.9000000000000012E-2</v>
      </c>
      <c r="I65" s="238">
        <f t="shared" si="11"/>
        <v>2.580000000000001E-2</v>
      </c>
      <c r="J65" s="238">
        <f t="shared" si="11"/>
        <v>2.580000000000001E-2</v>
      </c>
      <c r="K65" s="238">
        <f t="shared" si="11"/>
        <v>0</v>
      </c>
      <c r="L65" s="238">
        <f t="shared" si="11"/>
        <v>0</v>
      </c>
      <c r="M65" s="238">
        <f t="shared" si="11"/>
        <v>0</v>
      </c>
      <c r="N65" s="238">
        <f t="shared" si="11"/>
        <v>0</v>
      </c>
      <c r="O65" s="238">
        <f t="shared" si="11"/>
        <v>0</v>
      </c>
      <c r="P65" s="238">
        <f t="shared" si="11"/>
        <v>0.19200000000000009</v>
      </c>
      <c r="Q65" s="233"/>
      <c r="R65" s="232"/>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13"/>
      <c r="AR65" s="213"/>
      <c r="AS65" s="213"/>
      <c r="AT65" s="213"/>
      <c r="AU65" s="213"/>
      <c r="AV65" s="213"/>
      <c r="AW65" s="213"/>
      <c r="AX65" s="213"/>
      <c r="AY65" s="213"/>
    </row>
    <row r="66" spans="1:51" s="274" customFormat="1" ht="15.75" customHeight="1" x14ac:dyDescent="0.25">
      <c r="A66" s="213"/>
      <c r="B66" s="213"/>
      <c r="C66" s="217" t="s">
        <v>67</v>
      </c>
      <c r="D66" s="239">
        <f>D65*$W$17/$B$34</f>
        <v>7.6250000000000026E-2</v>
      </c>
      <c r="E66" s="239">
        <f t="shared" ref="E66:O66" si="12">E65*$W$17/$B$34</f>
        <v>9.0625000000000025E-2</v>
      </c>
      <c r="F66" s="239">
        <f t="shared" si="12"/>
        <v>9.0625000000000025E-2</v>
      </c>
      <c r="G66" s="239">
        <f t="shared" si="12"/>
        <v>9.0625000000000025E-2</v>
      </c>
      <c r="H66" s="239">
        <f t="shared" si="12"/>
        <v>9.0625000000000025E-2</v>
      </c>
      <c r="I66" s="239">
        <f t="shared" si="12"/>
        <v>8.0625000000000016E-2</v>
      </c>
      <c r="J66" s="239">
        <f t="shared" si="12"/>
        <v>8.0625000000000016E-2</v>
      </c>
      <c r="K66" s="239">
        <f t="shared" si="12"/>
        <v>0</v>
      </c>
      <c r="L66" s="239">
        <f t="shared" si="12"/>
        <v>0</v>
      </c>
      <c r="M66" s="239">
        <f t="shared" si="12"/>
        <v>0</v>
      </c>
      <c r="N66" s="239">
        <f t="shared" si="12"/>
        <v>0</v>
      </c>
      <c r="O66" s="239">
        <f t="shared" si="12"/>
        <v>0</v>
      </c>
      <c r="P66" s="240">
        <f>SUM(D66:O66)</f>
        <v>0.6000000000000002</v>
      </c>
      <c r="Q66" s="212"/>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row>
    <row r="67" spans="1:51" s="274" customFormat="1" ht="13.5" customHeight="1" x14ac:dyDescent="0.25">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row>
    <row r="68" spans="1:51" x14ac:dyDescent="0.25">
      <c r="D68" s="238">
        <f>D57+D59+D61+D63</f>
        <v>2.4400000000000012E-2</v>
      </c>
      <c r="E68" s="238">
        <f t="shared" ref="E68:O68" si="13">E57+E59+E61+E63</f>
        <v>2.9000000000000012E-2</v>
      </c>
      <c r="F68" s="238">
        <f t="shared" si="13"/>
        <v>2.9000000000000012E-2</v>
      </c>
      <c r="G68" s="238">
        <f t="shared" si="13"/>
        <v>2.9000000000000012E-2</v>
      </c>
      <c r="H68" s="238">
        <f t="shared" si="13"/>
        <v>2.9000000000000012E-2</v>
      </c>
      <c r="I68" s="238">
        <f t="shared" si="13"/>
        <v>2.580000000000001E-2</v>
      </c>
      <c r="J68" s="238">
        <f t="shared" si="13"/>
        <v>2.580000000000001E-2</v>
      </c>
      <c r="K68" s="238">
        <f t="shared" si="13"/>
        <v>2.580000000000001E-2</v>
      </c>
      <c r="L68" s="238">
        <f t="shared" si="13"/>
        <v>2.580000000000001E-2</v>
      </c>
      <c r="M68" s="238">
        <f t="shared" si="13"/>
        <v>2.580000000000001E-2</v>
      </c>
      <c r="N68" s="238">
        <f t="shared" si="13"/>
        <v>2.580000000000001E-2</v>
      </c>
      <c r="O68" s="238">
        <f t="shared" si="13"/>
        <v>2.480000000000001E-2</v>
      </c>
      <c r="P68" s="238">
        <f>SUM(D68:O68)</f>
        <v>0.32000000000000012</v>
      </c>
    </row>
    <row r="69" spans="1:51" s="274" customFormat="1" ht="15.75" customHeight="1" x14ac:dyDescent="0.25">
      <c r="A69" s="213"/>
      <c r="B69" s="213"/>
      <c r="C69" s="217" t="s">
        <v>63</v>
      </c>
      <c r="D69" s="239">
        <f>D68*$W$17/$B$34</f>
        <v>7.6250000000000026E-2</v>
      </c>
      <c r="E69" s="239">
        <f t="shared" ref="E69:O69" si="14">E68*$W$17/$B$34</f>
        <v>9.0625000000000025E-2</v>
      </c>
      <c r="F69" s="239">
        <f t="shared" si="14"/>
        <v>9.0625000000000025E-2</v>
      </c>
      <c r="G69" s="239">
        <f t="shared" si="14"/>
        <v>9.0625000000000025E-2</v>
      </c>
      <c r="H69" s="239">
        <f t="shared" si="14"/>
        <v>9.0625000000000025E-2</v>
      </c>
      <c r="I69" s="239">
        <f t="shared" si="14"/>
        <v>8.0625000000000016E-2</v>
      </c>
      <c r="J69" s="239">
        <f t="shared" si="14"/>
        <v>8.0625000000000016E-2</v>
      </c>
      <c r="K69" s="239">
        <f t="shared" si="14"/>
        <v>8.0625000000000016E-2</v>
      </c>
      <c r="L69" s="239">
        <f t="shared" si="14"/>
        <v>8.0625000000000016E-2</v>
      </c>
      <c r="M69" s="239">
        <f t="shared" si="14"/>
        <v>8.0625000000000016E-2</v>
      </c>
      <c r="N69" s="239">
        <f t="shared" si="14"/>
        <v>8.0625000000000016E-2</v>
      </c>
      <c r="O69" s="239">
        <f t="shared" si="14"/>
        <v>7.7500000000000013E-2</v>
      </c>
      <c r="P69" s="240">
        <f>SUM(D69:O69)</f>
        <v>1.0000000000000004</v>
      </c>
      <c r="Q69" s="212"/>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row>
  </sheetData>
  <mergeCells count="87">
    <mergeCell ref="A63:A64"/>
    <mergeCell ref="B63:B64"/>
    <mergeCell ref="A55:A56"/>
    <mergeCell ref="B55:B56"/>
    <mergeCell ref="C55:P55"/>
    <mergeCell ref="A57:A58"/>
    <mergeCell ref="B57:B58"/>
    <mergeCell ref="A59:A60"/>
    <mergeCell ref="B59:B60"/>
    <mergeCell ref="A61:A62"/>
    <mergeCell ref="B61:B62"/>
    <mergeCell ref="A38:A39"/>
    <mergeCell ref="B38:B39"/>
    <mergeCell ref="A44:A45"/>
    <mergeCell ref="B44:B45"/>
    <mergeCell ref="Q44:AD45"/>
    <mergeCell ref="A40:A41"/>
    <mergeCell ref="B40:B41"/>
    <mergeCell ref="Q40:AD41"/>
    <mergeCell ref="A42:A43"/>
    <mergeCell ref="B42:B43"/>
    <mergeCell ref="Q42:AD43"/>
    <mergeCell ref="Q38:AD39"/>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7:AD27"/>
    <mergeCell ref="A28:A29"/>
    <mergeCell ref="B28:C29"/>
    <mergeCell ref="D28:O28"/>
    <mergeCell ref="P28:P29"/>
    <mergeCell ref="Q28:AD29"/>
    <mergeCell ref="A19:AD19"/>
    <mergeCell ref="C20:P20"/>
    <mergeCell ref="Q20:AD20"/>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phoneticPr fontId="50" type="noConversion"/>
  <dataValidations count="3">
    <dataValidation type="textLength" operator="lessThanOrEqual" allowBlank="1" showInputMessage="1" showErrorMessage="1" errorTitle="Máximo 2.000 caracteres" error="Máximo 2.000 caracteres" sqref="Q40:AD45"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xr:uid="{00000000-0002-0000-0200-000002000000}">
      <formula1>$C$21:$N$21</formula1>
    </dataValidation>
  </dataValidations>
  <printOptions horizontalCentered="1"/>
  <pageMargins left="0.19685039370078741" right="0.19685039370078741" top="0.19685039370078741" bottom="0.19685039370078741" header="0" footer="0"/>
  <pageSetup scale="26" orientation="landscape" r:id="rId1"/>
  <colBreaks count="1" manualBreakCount="1">
    <brk id="3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Y69"/>
  <sheetViews>
    <sheetView view="pageBreakPreview" topLeftCell="A15" zoomScale="70" zoomScaleNormal="75" zoomScaleSheetLayoutView="70" workbookViewId="0">
      <selection activeCell="J25" sqref="J25"/>
    </sheetView>
  </sheetViews>
  <sheetFormatPr baseColWidth="10" defaultColWidth="10.85546875" defaultRowHeight="15" x14ac:dyDescent="0.25"/>
  <cols>
    <col min="1" max="1" width="38.42578125" style="108" customWidth="1"/>
    <col min="2" max="2" width="15.42578125" style="108" customWidth="1"/>
    <col min="3" max="3" width="20.42578125" style="108" customWidth="1"/>
    <col min="4" max="6" width="15.42578125" style="108" customWidth="1"/>
    <col min="7" max="7" width="21.42578125" style="108" customWidth="1"/>
    <col min="8" max="16" width="15.42578125" style="108" customWidth="1"/>
    <col min="17" max="17" width="16" style="108" bestFit="1" customWidth="1"/>
    <col min="18" max="28" width="14.85546875" style="108" bestFit="1" customWidth="1"/>
    <col min="29" max="29" width="16" style="108" bestFit="1" customWidth="1"/>
    <col min="30" max="30" width="19.42578125" style="108" customWidth="1"/>
    <col min="31" max="31" width="6.42578125" style="108" bestFit="1" customWidth="1"/>
    <col min="32" max="32" width="22.85546875" style="108" customWidth="1"/>
    <col min="33" max="33" width="18.42578125" style="108" bestFit="1" customWidth="1"/>
    <col min="34" max="34" width="8.42578125" style="108" customWidth="1"/>
    <col min="35" max="35" width="18.42578125" style="108" bestFit="1" customWidth="1"/>
    <col min="36" max="36" width="5.42578125" style="108" customWidth="1"/>
    <col min="37" max="37" width="18.42578125" style="108" bestFit="1" customWidth="1"/>
    <col min="38" max="38" width="4.42578125" style="108" customWidth="1"/>
    <col min="39" max="39" width="23" style="108" bestFit="1" customWidth="1"/>
    <col min="40" max="40" width="10.85546875" style="108"/>
    <col min="41" max="41" width="18.42578125" style="108" bestFit="1" customWidth="1"/>
    <col min="42" max="42" width="16.140625" style="108" customWidth="1"/>
    <col min="43" max="16384" width="10.85546875" style="108"/>
  </cols>
  <sheetData>
    <row r="1" spans="1:30"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ht="15" customHeight="1" x14ac:dyDescent="0.25">
      <c r="A11" s="358" t="s">
        <v>15</v>
      </c>
      <c r="B11" s="359"/>
      <c r="C11" s="496" t="s">
        <v>142</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1:30" ht="15" customHeight="1" x14ac:dyDescent="0.25">
      <c r="A12" s="360"/>
      <c r="B12" s="36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1"/>
    </row>
    <row r="13" spans="1:30" ht="15" customHeight="1" thickBot="1" x14ac:dyDescent="0.3">
      <c r="A13" s="362"/>
      <c r="B13" s="363"/>
      <c r="C13" s="502"/>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9" t="s">
        <v>143</v>
      </c>
      <c r="D15" s="510"/>
      <c r="E15" s="510"/>
      <c r="F15" s="510"/>
      <c r="G15" s="510"/>
      <c r="H15" s="510"/>
      <c r="I15" s="510"/>
      <c r="J15" s="510"/>
      <c r="K15" s="511"/>
      <c r="L15" s="420" t="s">
        <v>19</v>
      </c>
      <c r="M15" s="424"/>
      <c r="N15" s="424"/>
      <c r="O15" s="424"/>
      <c r="P15" s="424"/>
      <c r="Q15" s="421"/>
      <c r="R15" s="417" t="s">
        <v>144</v>
      </c>
      <c r="S15" s="418"/>
      <c r="T15" s="418"/>
      <c r="U15" s="418"/>
      <c r="V15" s="418"/>
      <c r="W15" s="418"/>
      <c r="X15" s="419"/>
      <c r="Y15" s="420" t="s">
        <v>21</v>
      </c>
      <c r="Z15" s="421"/>
      <c r="AA15" s="403" t="s">
        <v>145</v>
      </c>
      <c r="AB15" s="404"/>
      <c r="AC15" s="404"/>
      <c r="AD15" s="405"/>
    </row>
    <row r="16" spans="1:30" ht="9" customHeight="1"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41" s="222" customFormat="1" ht="37.5" customHeight="1" thickBot="1" x14ac:dyDescent="0.3">
      <c r="A17" s="407" t="s">
        <v>23</v>
      </c>
      <c r="B17" s="408"/>
      <c r="C17" s="506" t="s">
        <v>146</v>
      </c>
      <c r="D17" s="507"/>
      <c r="E17" s="507"/>
      <c r="F17" s="507"/>
      <c r="G17" s="507"/>
      <c r="H17" s="507"/>
      <c r="I17" s="507"/>
      <c r="J17" s="507"/>
      <c r="K17" s="507"/>
      <c r="L17" s="507"/>
      <c r="M17" s="507"/>
      <c r="N17" s="507"/>
      <c r="O17" s="507"/>
      <c r="P17" s="507"/>
      <c r="Q17" s="508"/>
      <c r="R17" s="420" t="s">
        <v>25</v>
      </c>
      <c r="S17" s="424"/>
      <c r="T17" s="424"/>
      <c r="U17" s="424"/>
      <c r="V17" s="421"/>
      <c r="W17" s="422">
        <v>0.3</v>
      </c>
      <c r="X17" s="423"/>
      <c r="Y17" s="424" t="s">
        <v>26</v>
      </c>
      <c r="Z17" s="424"/>
      <c r="AA17" s="424"/>
      <c r="AB17" s="421"/>
      <c r="AC17" s="412">
        <v>0.09</v>
      </c>
      <c r="AD17" s="413"/>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41"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41" ht="32.25" customHeight="1" thickBot="1" x14ac:dyDescent="0.3">
      <c r="A21" s="59"/>
      <c r="B21" s="271"/>
      <c r="C21" s="194"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194"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41" ht="32.25" customHeight="1" x14ac:dyDescent="0.25">
      <c r="A22" s="187" t="s">
        <v>43</v>
      </c>
      <c r="B22" s="272"/>
      <c r="C22" s="263" t="s">
        <v>44</v>
      </c>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77">
        <v>387711574.85000002</v>
      </c>
      <c r="R22" s="263" t="s">
        <v>44</v>
      </c>
      <c r="S22" s="263" t="s">
        <v>44</v>
      </c>
      <c r="T22" s="263">
        <v>8596121.9199999999</v>
      </c>
      <c r="U22" s="263">
        <v>51522000</v>
      </c>
      <c r="V22" s="263" t="s">
        <v>44</v>
      </c>
      <c r="W22" s="263" t="s">
        <v>44</v>
      </c>
      <c r="X22" s="263" t="s">
        <v>44</v>
      </c>
      <c r="Y22" s="263" t="s">
        <v>44</v>
      </c>
      <c r="Z22" s="263" t="s">
        <v>44</v>
      </c>
      <c r="AA22" s="263" t="s">
        <v>44</v>
      </c>
      <c r="AB22" s="263" t="s">
        <v>44</v>
      </c>
      <c r="AC22" s="263">
        <f>SUM(Q22:AB22)</f>
        <v>447829696.77000004</v>
      </c>
      <c r="AD22" s="313"/>
      <c r="AE22" s="224"/>
      <c r="AF22" s="224"/>
    </row>
    <row r="23" spans="1:41"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77">
        <v>319526075</v>
      </c>
      <c r="R23" s="263">
        <v>0</v>
      </c>
      <c r="S23" s="263">
        <f>316541000-Q23</f>
        <v>-2985075</v>
      </c>
      <c r="T23" s="263">
        <f>-339933</f>
        <v>-339933</v>
      </c>
      <c r="U23" s="263">
        <f>323930461-Q23-R23-S23-T23</f>
        <v>7729394</v>
      </c>
      <c r="V23" s="263">
        <f>375451614-Q23-R23-S23-T23-U23</f>
        <v>51521153</v>
      </c>
      <c r="W23" s="263">
        <f>418166514-Q23-R23-S23-T23-U23-V23</f>
        <v>42714900</v>
      </c>
      <c r="X23" s="263" t="s">
        <v>44</v>
      </c>
      <c r="Y23" s="263" t="s">
        <v>44</v>
      </c>
      <c r="Z23" s="263" t="s">
        <v>44</v>
      </c>
      <c r="AA23" s="263" t="s">
        <v>44</v>
      </c>
      <c r="AB23" s="263" t="s">
        <v>44</v>
      </c>
      <c r="AC23" s="263">
        <f t="shared" ref="AC23:AC25" si="0">SUM(Q23:AB23)</f>
        <v>418166514</v>
      </c>
      <c r="AD23" s="312">
        <f>(SUM(Q23:W23)/SUM(Q22:W22))</f>
        <v>0.93376235880749392</v>
      </c>
      <c r="AE23" s="224"/>
      <c r="AF23" s="224"/>
    </row>
    <row r="24" spans="1:41" ht="32.25" customHeight="1" x14ac:dyDescent="0.25">
      <c r="A24" s="188" t="s">
        <v>47</v>
      </c>
      <c r="B24" s="189"/>
      <c r="C24" s="277" t="s">
        <v>44</v>
      </c>
      <c r="D24" s="265">
        <f>71083807+608000</f>
        <v>71691807</v>
      </c>
      <c r="E24" s="265"/>
      <c r="F24" s="265">
        <v>333333</v>
      </c>
      <c r="G24" s="265">
        <f>22750+79750-189999.9-356083.05</f>
        <v>-443582.94999999995</v>
      </c>
      <c r="H24" s="263" t="s">
        <v>44</v>
      </c>
      <c r="I24" s="263" t="s">
        <v>44</v>
      </c>
      <c r="J24" s="263" t="s">
        <v>44</v>
      </c>
      <c r="K24" s="263" t="s">
        <v>44</v>
      </c>
      <c r="L24" s="263" t="s">
        <v>44</v>
      </c>
      <c r="M24" s="263" t="s">
        <v>44</v>
      </c>
      <c r="N24" s="263" t="s">
        <v>44</v>
      </c>
      <c r="O24" s="299">
        <f>SUM(C24:N24)</f>
        <v>71581557.049999997</v>
      </c>
      <c r="P24" s="261"/>
      <c r="Q24" s="277" t="s">
        <v>44</v>
      </c>
      <c r="R24" s="265">
        <v>15347586.16</v>
      </c>
      <c r="S24" s="263">
        <v>29005022.493333299</v>
      </c>
      <c r="T24" s="263">
        <v>28754222.493333299</v>
      </c>
      <c r="U24" s="263">
        <v>28754222.493333299</v>
      </c>
      <c r="V24" s="263">
        <v>28754222.493333299</v>
      </c>
      <c r="W24" s="265">
        <v>41953972.493333302</v>
      </c>
      <c r="X24" s="265">
        <v>54007972.493333302</v>
      </c>
      <c r="Y24" s="265">
        <v>57007972.493333302</v>
      </c>
      <c r="Z24" s="265">
        <v>57007972.493333302</v>
      </c>
      <c r="AA24" s="265">
        <v>41127472.493333302</v>
      </c>
      <c r="AB24" s="265">
        <v>66109058.406666696</v>
      </c>
      <c r="AC24" s="263">
        <f t="shared" si="0"/>
        <v>447829697.00666636</v>
      </c>
      <c r="AD24" s="312"/>
      <c r="AE24" s="224"/>
      <c r="AF24" s="224"/>
      <c r="AG24" s="225"/>
    </row>
    <row r="25" spans="1:41" ht="32.25" customHeight="1" thickBot="1" x14ac:dyDescent="0.3">
      <c r="A25" s="190" t="s">
        <v>48</v>
      </c>
      <c r="B25" s="273"/>
      <c r="C25" s="278">
        <v>57285046</v>
      </c>
      <c r="D25" s="279">
        <f>57285046-C25</f>
        <v>0</v>
      </c>
      <c r="E25" s="279">
        <v>14216761</v>
      </c>
      <c r="F25" s="279">
        <v>0</v>
      </c>
      <c r="G25" s="279">
        <f>71501807-C25-D25-E25-F25</f>
        <v>0</v>
      </c>
      <c r="H25" s="279">
        <v>0</v>
      </c>
      <c r="I25" s="279" t="s">
        <v>44</v>
      </c>
      <c r="J25" s="279" t="s">
        <v>44</v>
      </c>
      <c r="K25" s="279" t="s">
        <v>44</v>
      </c>
      <c r="L25" s="279" t="s">
        <v>44</v>
      </c>
      <c r="M25" s="279" t="s">
        <v>44</v>
      </c>
      <c r="N25" s="279" t="s">
        <v>44</v>
      </c>
      <c r="O25" s="268">
        <f>SUM(C25:N25)</f>
        <v>71501807</v>
      </c>
      <c r="P25" s="311">
        <f>(SUM(C25:G25)/SUM(C24:G24))</f>
        <v>0.99888588550896862</v>
      </c>
      <c r="Q25" s="278" t="s">
        <v>44</v>
      </c>
      <c r="R25" s="279">
        <v>13035937</v>
      </c>
      <c r="S25" s="279">
        <v>28442341</v>
      </c>
      <c r="T25" s="279">
        <v>27635000</v>
      </c>
      <c r="U25" s="279">
        <f>96748278-R25-S25-T25</f>
        <v>27635000</v>
      </c>
      <c r="V25" s="279">
        <f>132112672-R25-S25-T25-U25</f>
        <v>35364394</v>
      </c>
      <c r="W25" s="279">
        <f>159747672-R25-S25-T25-U25-V25</f>
        <v>27635000</v>
      </c>
      <c r="X25" s="279" t="s">
        <v>44</v>
      </c>
      <c r="Y25" s="279" t="s">
        <v>44</v>
      </c>
      <c r="Z25" s="279" t="s">
        <v>44</v>
      </c>
      <c r="AA25" s="279" t="s">
        <v>44</v>
      </c>
      <c r="AB25" s="279" t="s">
        <v>44</v>
      </c>
      <c r="AC25" s="279">
        <f t="shared" si="0"/>
        <v>159747672</v>
      </c>
      <c r="AD25" s="311">
        <f>(SUM(Q25:W25)/SUM(Q24:W24))</f>
        <v>0.92570184590416527</v>
      </c>
      <c r="AE25" s="224"/>
      <c r="AF25" s="224"/>
      <c r="AG25" s="225"/>
    </row>
    <row r="26" spans="1:41" ht="32.25" customHeight="1" thickBot="1" x14ac:dyDescent="0.3">
      <c r="A26" s="59"/>
      <c r="B26" s="54"/>
      <c r="C26" s="80"/>
      <c r="D26" s="80"/>
      <c r="E26" s="80"/>
      <c r="F26" s="80"/>
      <c r="G26" s="80"/>
      <c r="H26" s="80"/>
      <c r="I26" s="80"/>
      <c r="J26" s="80"/>
      <c r="K26" s="80"/>
      <c r="L26" s="80"/>
      <c r="M26" s="80"/>
      <c r="N26" s="80"/>
      <c r="O26" s="294"/>
      <c r="P26" s="294"/>
      <c r="Q26" s="80"/>
      <c r="R26" s="80"/>
      <c r="S26" s="80"/>
      <c r="T26" s="80"/>
      <c r="U26" s="80"/>
      <c r="V26" s="80"/>
      <c r="W26" s="80"/>
      <c r="X26" s="80"/>
      <c r="Y26" s="80"/>
      <c r="Z26" s="80"/>
      <c r="AA26" s="80"/>
      <c r="AB26" s="80"/>
      <c r="AC26" s="60"/>
      <c r="AD26" s="161"/>
    </row>
    <row r="27" spans="1:41" ht="33.950000000000003" customHeight="1"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41" ht="15" customHeight="1"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41" ht="27" customHeight="1"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41" ht="42" customHeight="1" thickBot="1" x14ac:dyDescent="0.3">
      <c r="A30" s="85"/>
      <c r="B30" s="512"/>
      <c r="C30" s="513"/>
      <c r="D30" s="89"/>
      <c r="E30" s="89"/>
      <c r="F30" s="89"/>
      <c r="G30" s="89"/>
      <c r="H30" s="89"/>
      <c r="I30" s="89"/>
      <c r="J30" s="89"/>
      <c r="K30" s="89"/>
      <c r="L30" s="89"/>
      <c r="M30" s="89"/>
      <c r="N30" s="89"/>
      <c r="O30" s="89"/>
      <c r="P30" s="86">
        <f>SUM(D30:O30)</f>
        <v>0</v>
      </c>
      <c r="Q30" s="427" t="s">
        <v>147</v>
      </c>
      <c r="R30" s="427"/>
      <c r="S30" s="427"/>
      <c r="T30" s="427"/>
      <c r="U30" s="427"/>
      <c r="V30" s="427"/>
      <c r="W30" s="427"/>
      <c r="X30" s="427"/>
      <c r="Y30" s="427"/>
      <c r="Z30" s="427"/>
      <c r="AA30" s="427"/>
      <c r="AB30" s="427"/>
      <c r="AC30" s="427"/>
      <c r="AD30" s="428"/>
    </row>
    <row r="31" spans="1:41" ht="45" customHeight="1"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41" ht="23.25" customHeight="1"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c r="AG32" s="226"/>
      <c r="AH32" s="226"/>
      <c r="AI32" s="226"/>
      <c r="AJ32" s="226"/>
      <c r="AK32" s="226"/>
      <c r="AL32" s="226"/>
      <c r="AM32" s="226"/>
      <c r="AN32" s="226"/>
      <c r="AO32" s="226"/>
    </row>
    <row r="33" spans="1:41" ht="40.5" customHeight="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c r="AG33" s="226"/>
      <c r="AH33" s="226"/>
      <c r="AI33" s="226"/>
      <c r="AJ33" s="226"/>
      <c r="AK33" s="226"/>
      <c r="AL33" s="226"/>
      <c r="AM33" s="226"/>
      <c r="AN33" s="226"/>
      <c r="AO33" s="226"/>
    </row>
    <row r="34" spans="1:41" ht="33" customHeight="1" x14ac:dyDescent="0.25">
      <c r="A34" s="444" t="s">
        <v>148</v>
      </c>
      <c r="B34" s="446">
        <f>SUM(B38+B40+B42+B44)</f>
        <v>9.0000000000000011E-2</v>
      </c>
      <c r="C34" s="90" t="s">
        <v>63</v>
      </c>
      <c r="D34" s="214">
        <f>D69</f>
        <v>0</v>
      </c>
      <c r="E34" s="214">
        <f t="shared" ref="E34:O34" si="1">E69</f>
        <v>1.3333333333333336E-2</v>
      </c>
      <c r="F34" s="214">
        <f t="shared" si="1"/>
        <v>2.1666666666666664E-2</v>
      </c>
      <c r="G34" s="214">
        <f t="shared" si="1"/>
        <v>0.03</v>
      </c>
      <c r="H34" s="214">
        <f t="shared" si="1"/>
        <v>0.03</v>
      </c>
      <c r="I34" s="214">
        <f t="shared" si="1"/>
        <v>3.833333333333333E-2</v>
      </c>
      <c r="J34" s="214">
        <f t="shared" si="1"/>
        <v>3.3333333333333333E-2</v>
      </c>
      <c r="K34" s="214">
        <f t="shared" si="1"/>
        <v>0.03</v>
      </c>
      <c r="L34" s="214">
        <f t="shared" si="1"/>
        <v>0.03</v>
      </c>
      <c r="M34" s="214">
        <f t="shared" si="1"/>
        <v>0.03</v>
      </c>
      <c r="N34" s="214">
        <f t="shared" si="1"/>
        <v>0.03</v>
      </c>
      <c r="O34" s="214">
        <f t="shared" si="1"/>
        <v>1.3333333333333336E-2</v>
      </c>
      <c r="P34" s="215">
        <f>SUM(D34:O34)</f>
        <v>0.29999999999999993</v>
      </c>
      <c r="Q34" s="570" t="s">
        <v>149</v>
      </c>
      <c r="R34" s="571"/>
      <c r="S34" s="571"/>
      <c r="T34" s="571"/>
      <c r="U34" s="571"/>
      <c r="V34" s="572"/>
      <c r="W34" s="454" t="s">
        <v>150</v>
      </c>
      <c r="X34" s="455"/>
      <c r="Y34" s="455"/>
      <c r="Z34" s="456"/>
      <c r="AA34" s="576" t="s">
        <v>151</v>
      </c>
      <c r="AB34" s="516"/>
      <c r="AC34" s="516"/>
      <c r="AD34" s="522"/>
      <c r="AG34" s="226"/>
      <c r="AH34" s="226"/>
      <c r="AI34" s="226"/>
      <c r="AJ34" s="226"/>
      <c r="AK34" s="226"/>
      <c r="AL34" s="226"/>
      <c r="AM34" s="226"/>
      <c r="AN34" s="226"/>
      <c r="AO34" s="226"/>
    </row>
    <row r="35" spans="1:41" ht="76.5" customHeight="1" thickBot="1" x14ac:dyDescent="0.3">
      <c r="A35" s="445"/>
      <c r="B35" s="447"/>
      <c r="C35" s="91" t="s">
        <v>67</v>
      </c>
      <c r="D35" s="292">
        <f>D66</f>
        <v>4.0000000000000001E-3</v>
      </c>
      <c r="E35" s="218">
        <f t="shared" ref="E35:O35" si="2">E66</f>
        <v>1.3333333333333336E-2</v>
      </c>
      <c r="F35" s="218">
        <f t="shared" si="2"/>
        <v>2.1666666666666664E-2</v>
      </c>
      <c r="G35" s="218">
        <v>0.03</v>
      </c>
      <c r="H35" s="218">
        <f t="shared" si="2"/>
        <v>0.03</v>
      </c>
      <c r="I35" s="218">
        <v>0.04</v>
      </c>
      <c r="J35" s="218">
        <f>J66</f>
        <v>3.3333333333333333E-2</v>
      </c>
      <c r="K35" s="218">
        <f t="shared" si="2"/>
        <v>0</v>
      </c>
      <c r="L35" s="218">
        <f t="shared" si="2"/>
        <v>0</v>
      </c>
      <c r="M35" s="218">
        <f t="shared" si="2"/>
        <v>0</v>
      </c>
      <c r="N35" s="218">
        <f t="shared" si="2"/>
        <v>0</v>
      </c>
      <c r="O35" s="218">
        <f t="shared" si="2"/>
        <v>0</v>
      </c>
      <c r="P35" s="216">
        <f>SUM(D35:O35)</f>
        <v>0.17233333333333334</v>
      </c>
      <c r="Q35" s="573"/>
      <c r="R35" s="574"/>
      <c r="S35" s="574"/>
      <c r="T35" s="574"/>
      <c r="U35" s="574"/>
      <c r="V35" s="575"/>
      <c r="W35" s="457"/>
      <c r="X35" s="458"/>
      <c r="Y35" s="458"/>
      <c r="Z35" s="459"/>
      <c r="AA35" s="518"/>
      <c r="AB35" s="519"/>
      <c r="AC35" s="519"/>
      <c r="AD35" s="523"/>
      <c r="AE35" s="227"/>
      <c r="AG35" s="226"/>
      <c r="AH35" s="226"/>
      <c r="AI35" s="226"/>
      <c r="AJ35" s="226"/>
      <c r="AK35" s="226"/>
      <c r="AL35" s="226"/>
      <c r="AM35" s="226"/>
      <c r="AN35" s="226"/>
      <c r="AO35" s="226"/>
    </row>
    <row r="36" spans="1:41" ht="26.25" customHeight="1" x14ac:dyDescent="0.25">
      <c r="A36" s="429" t="s">
        <v>68</v>
      </c>
      <c r="B36" s="437" t="s">
        <v>69</v>
      </c>
      <c r="C36" s="439" t="s">
        <v>70</v>
      </c>
      <c r="D36" s="439"/>
      <c r="E36" s="439"/>
      <c r="F36" s="439"/>
      <c r="G36" s="439"/>
      <c r="H36" s="439"/>
      <c r="I36" s="439"/>
      <c r="J36" s="439"/>
      <c r="K36" s="439"/>
      <c r="L36" s="439"/>
      <c r="M36" s="439"/>
      <c r="N36" s="439"/>
      <c r="O36" s="439"/>
      <c r="P36" s="439"/>
      <c r="Q36" s="440" t="s">
        <v>71</v>
      </c>
      <c r="R36" s="441"/>
      <c r="S36" s="441"/>
      <c r="T36" s="441"/>
      <c r="U36" s="441"/>
      <c r="V36" s="441"/>
      <c r="W36" s="441"/>
      <c r="X36" s="441"/>
      <c r="Y36" s="441"/>
      <c r="Z36" s="441"/>
      <c r="AA36" s="441"/>
      <c r="AB36" s="441"/>
      <c r="AC36" s="441"/>
      <c r="AD36" s="442"/>
      <c r="AG36" s="226"/>
      <c r="AH36" s="226"/>
      <c r="AI36" s="226"/>
      <c r="AJ36" s="226"/>
      <c r="AK36" s="226"/>
      <c r="AL36" s="226"/>
      <c r="AM36" s="226"/>
      <c r="AN36" s="226"/>
      <c r="AO36" s="226"/>
    </row>
    <row r="37" spans="1:41" ht="26.25" customHeight="1" x14ac:dyDescent="0.25">
      <c r="A37" s="514"/>
      <c r="B37" s="438"/>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94" t="s">
        <v>86</v>
      </c>
      <c r="R37" s="395"/>
      <c r="S37" s="395"/>
      <c r="T37" s="395"/>
      <c r="U37" s="395"/>
      <c r="V37" s="395"/>
      <c r="W37" s="395"/>
      <c r="X37" s="395"/>
      <c r="Y37" s="395"/>
      <c r="Z37" s="395"/>
      <c r="AA37" s="395"/>
      <c r="AB37" s="395"/>
      <c r="AC37" s="395"/>
      <c r="AD37" s="443"/>
      <c r="AG37" s="228"/>
      <c r="AH37" s="228"/>
      <c r="AI37" s="228"/>
      <c r="AJ37" s="228"/>
      <c r="AK37" s="228"/>
      <c r="AL37" s="228"/>
      <c r="AM37" s="228"/>
      <c r="AN37" s="228"/>
      <c r="AO37" s="228"/>
    </row>
    <row r="38" spans="1:41" ht="30" customHeight="1" x14ac:dyDescent="0.25">
      <c r="A38" s="471" t="s">
        <v>152</v>
      </c>
      <c r="B38" s="473">
        <v>0.02</v>
      </c>
      <c r="C38" s="90" t="s">
        <v>63</v>
      </c>
      <c r="D38" s="95">
        <v>0</v>
      </c>
      <c r="E38" s="95">
        <v>0.05</v>
      </c>
      <c r="F38" s="95">
        <v>0.05</v>
      </c>
      <c r="G38" s="95">
        <v>0.1</v>
      </c>
      <c r="H38" s="95">
        <v>0.1</v>
      </c>
      <c r="I38" s="95">
        <v>0.15</v>
      </c>
      <c r="J38" s="95">
        <v>0.15</v>
      </c>
      <c r="K38" s="95">
        <v>0.1</v>
      </c>
      <c r="L38" s="95">
        <v>0.1</v>
      </c>
      <c r="M38" s="95">
        <v>0.1</v>
      </c>
      <c r="N38" s="95">
        <v>0.1</v>
      </c>
      <c r="O38" s="95">
        <v>0</v>
      </c>
      <c r="P38" s="96">
        <f t="shared" ref="P38:P45" si="3">SUM(D38:O38)</f>
        <v>1</v>
      </c>
      <c r="Q38" s="577" t="s">
        <v>153</v>
      </c>
      <c r="R38" s="578"/>
      <c r="S38" s="578"/>
      <c r="T38" s="578"/>
      <c r="U38" s="578"/>
      <c r="V38" s="578"/>
      <c r="W38" s="578"/>
      <c r="X38" s="578"/>
      <c r="Y38" s="578"/>
      <c r="Z38" s="578"/>
      <c r="AA38" s="578"/>
      <c r="AB38" s="578"/>
      <c r="AC38" s="578"/>
      <c r="AD38" s="579"/>
      <c r="AE38" s="97"/>
      <c r="AG38" s="229"/>
      <c r="AH38" s="229"/>
      <c r="AI38" s="229"/>
      <c r="AJ38" s="229"/>
      <c r="AK38" s="229"/>
      <c r="AL38" s="229"/>
      <c r="AM38" s="229"/>
      <c r="AN38" s="229"/>
      <c r="AO38" s="229"/>
    </row>
    <row r="39" spans="1:41" ht="60.75" customHeight="1" x14ac:dyDescent="0.25">
      <c r="A39" s="468"/>
      <c r="B39" s="473"/>
      <c r="C39" s="99" t="s">
        <v>67</v>
      </c>
      <c r="D39" s="100">
        <v>0.02</v>
      </c>
      <c r="E39" s="100">
        <v>0.05</v>
      </c>
      <c r="F39" s="100">
        <v>0.05</v>
      </c>
      <c r="G39" s="100">
        <v>0.1</v>
      </c>
      <c r="H39" s="100">
        <v>0.1</v>
      </c>
      <c r="I39" s="100">
        <v>0.15</v>
      </c>
      <c r="J39" s="100">
        <v>0.15</v>
      </c>
      <c r="K39" s="100"/>
      <c r="L39" s="100"/>
      <c r="M39" s="100"/>
      <c r="N39" s="100"/>
      <c r="O39" s="100"/>
      <c r="P39" s="101">
        <f t="shared" si="3"/>
        <v>0.62000000000000011</v>
      </c>
      <c r="Q39" s="580"/>
      <c r="R39" s="581"/>
      <c r="S39" s="581"/>
      <c r="T39" s="581"/>
      <c r="U39" s="581"/>
      <c r="V39" s="581"/>
      <c r="W39" s="581"/>
      <c r="X39" s="581"/>
      <c r="Y39" s="581"/>
      <c r="Z39" s="581"/>
      <c r="AA39" s="581"/>
      <c r="AB39" s="581"/>
      <c r="AC39" s="581"/>
      <c r="AD39" s="582"/>
      <c r="AE39" s="97"/>
    </row>
    <row r="40" spans="1:41" ht="48.75" customHeight="1" x14ac:dyDescent="0.25">
      <c r="A40" s="468" t="s">
        <v>154</v>
      </c>
      <c r="B40" s="473">
        <v>0.03</v>
      </c>
      <c r="C40" s="102" t="s">
        <v>63</v>
      </c>
      <c r="D40" s="103">
        <v>0</v>
      </c>
      <c r="E40" s="103">
        <v>0</v>
      </c>
      <c r="F40" s="103">
        <v>0.05</v>
      </c>
      <c r="G40" s="103">
        <v>0.1</v>
      </c>
      <c r="H40" s="103">
        <v>0.1</v>
      </c>
      <c r="I40" s="103">
        <v>0.15</v>
      </c>
      <c r="J40" s="103">
        <v>0.1</v>
      </c>
      <c r="K40" s="103">
        <v>0.1</v>
      </c>
      <c r="L40" s="103">
        <v>0.1</v>
      </c>
      <c r="M40" s="103">
        <v>0.1</v>
      </c>
      <c r="N40" s="103">
        <v>0.1</v>
      </c>
      <c r="O40" s="103">
        <v>0.1</v>
      </c>
      <c r="P40" s="101">
        <f t="shared" si="3"/>
        <v>0.99999999999999989</v>
      </c>
      <c r="Q40" s="589" t="s">
        <v>155</v>
      </c>
      <c r="R40" s="578"/>
      <c r="S40" s="578"/>
      <c r="T40" s="578"/>
      <c r="U40" s="578"/>
      <c r="V40" s="578"/>
      <c r="W40" s="578"/>
      <c r="X40" s="578"/>
      <c r="Y40" s="578"/>
      <c r="Z40" s="578"/>
      <c r="AA40" s="578"/>
      <c r="AB40" s="578"/>
      <c r="AC40" s="578"/>
      <c r="AD40" s="579"/>
      <c r="AE40" s="97"/>
    </row>
    <row r="41" spans="1:41" ht="68.25" customHeight="1" x14ac:dyDescent="0.25">
      <c r="A41" s="468"/>
      <c r="B41" s="473"/>
      <c r="C41" s="99" t="s">
        <v>67</v>
      </c>
      <c r="D41" s="100">
        <v>0</v>
      </c>
      <c r="E41" s="100">
        <v>0</v>
      </c>
      <c r="F41" s="100">
        <v>0.05</v>
      </c>
      <c r="G41" s="100">
        <v>0.1</v>
      </c>
      <c r="H41" s="100">
        <v>0.1</v>
      </c>
      <c r="I41" s="100">
        <v>0.15</v>
      </c>
      <c r="J41" s="100">
        <v>0.1</v>
      </c>
      <c r="K41" s="100"/>
      <c r="L41" s="104"/>
      <c r="M41" s="104"/>
      <c r="N41" s="104"/>
      <c r="O41" s="104"/>
      <c r="P41" s="101">
        <f t="shared" si="3"/>
        <v>0.5</v>
      </c>
      <c r="Q41" s="580"/>
      <c r="R41" s="581"/>
      <c r="S41" s="581"/>
      <c r="T41" s="581"/>
      <c r="U41" s="581"/>
      <c r="V41" s="581"/>
      <c r="W41" s="581"/>
      <c r="X41" s="581"/>
      <c r="Y41" s="581"/>
      <c r="Z41" s="581"/>
      <c r="AA41" s="581"/>
      <c r="AB41" s="581"/>
      <c r="AC41" s="581"/>
      <c r="AD41" s="582"/>
      <c r="AE41" s="97"/>
    </row>
    <row r="42" spans="1:41" ht="35.25" customHeight="1" x14ac:dyDescent="0.25">
      <c r="A42" s="590" t="s">
        <v>156</v>
      </c>
      <c r="B42" s="473">
        <v>0.02</v>
      </c>
      <c r="C42" s="102" t="s">
        <v>63</v>
      </c>
      <c r="D42" s="103">
        <v>0</v>
      </c>
      <c r="E42" s="103">
        <v>0.1</v>
      </c>
      <c r="F42" s="103">
        <v>0.1</v>
      </c>
      <c r="G42" s="103">
        <v>0.1</v>
      </c>
      <c r="H42" s="103">
        <v>0.1</v>
      </c>
      <c r="I42" s="103">
        <v>0.1</v>
      </c>
      <c r="J42" s="103">
        <v>0.1</v>
      </c>
      <c r="K42" s="103">
        <v>0.1</v>
      </c>
      <c r="L42" s="103">
        <v>0.1</v>
      </c>
      <c r="M42" s="103">
        <v>0.1</v>
      </c>
      <c r="N42" s="103">
        <v>0.1</v>
      </c>
      <c r="O42" s="103">
        <v>0</v>
      </c>
      <c r="P42" s="101">
        <f t="shared" si="3"/>
        <v>0.99999999999999989</v>
      </c>
      <c r="Q42" s="589" t="s">
        <v>157</v>
      </c>
      <c r="R42" s="578"/>
      <c r="S42" s="578"/>
      <c r="T42" s="578"/>
      <c r="U42" s="578"/>
      <c r="V42" s="578"/>
      <c r="W42" s="578"/>
      <c r="X42" s="578"/>
      <c r="Y42" s="578"/>
      <c r="Z42" s="578"/>
      <c r="AA42" s="578"/>
      <c r="AB42" s="578"/>
      <c r="AC42" s="578"/>
      <c r="AD42" s="579"/>
      <c r="AE42" s="97"/>
    </row>
    <row r="43" spans="1:41" ht="67.5" customHeight="1" x14ac:dyDescent="0.25">
      <c r="A43" s="591"/>
      <c r="B43" s="473"/>
      <c r="C43" s="99" t="s">
        <v>67</v>
      </c>
      <c r="D43" s="100">
        <v>0.02</v>
      </c>
      <c r="E43" s="100">
        <v>0.1</v>
      </c>
      <c r="F43" s="100">
        <v>0.1</v>
      </c>
      <c r="G43" s="100">
        <v>0.1</v>
      </c>
      <c r="H43" s="100">
        <v>0.1</v>
      </c>
      <c r="I43" s="100">
        <v>0.1</v>
      </c>
      <c r="J43" s="100">
        <v>0.1</v>
      </c>
      <c r="K43" s="100"/>
      <c r="L43" s="104"/>
      <c r="M43" s="104"/>
      <c r="N43" s="104"/>
      <c r="O43" s="104"/>
      <c r="P43" s="101">
        <f t="shared" si="3"/>
        <v>0.62</v>
      </c>
      <c r="Q43" s="580"/>
      <c r="R43" s="581"/>
      <c r="S43" s="581"/>
      <c r="T43" s="581"/>
      <c r="U43" s="581"/>
      <c r="V43" s="581"/>
      <c r="W43" s="581"/>
      <c r="X43" s="581"/>
      <c r="Y43" s="581"/>
      <c r="Z43" s="581"/>
      <c r="AA43" s="581"/>
      <c r="AB43" s="581"/>
      <c r="AC43" s="581"/>
      <c r="AD43" s="582"/>
      <c r="AE43" s="97"/>
    </row>
    <row r="44" spans="1:41" ht="45" customHeight="1" x14ac:dyDescent="0.25">
      <c r="A44" s="525" t="s">
        <v>158</v>
      </c>
      <c r="B44" s="473">
        <v>0.02</v>
      </c>
      <c r="C44" s="102" t="s">
        <v>63</v>
      </c>
      <c r="D44" s="103">
        <v>0</v>
      </c>
      <c r="E44" s="103">
        <v>0.05</v>
      </c>
      <c r="F44" s="103">
        <v>0.1</v>
      </c>
      <c r="G44" s="103">
        <v>0.1</v>
      </c>
      <c r="H44" s="103">
        <v>0.1</v>
      </c>
      <c r="I44" s="103">
        <v>0.1</v>
      </c>
      <c r="J44" s="103">
        <v>0.1</v>
      </c>
      <c r="K44" s="103">
        <v>0.1</v>
      </c>
      <c r="L44" s="103">
        <v>0.1</v>
      </c>
      <c r="M44" s="103">
        <v>0.1</v>
      </c>
      <c r="N44" s="103">
        <v>0.1</v>
      </c>
      <c r="O44" s="103">
        <v>0.05</v>
      </c>
      <c r="P44" s="101">
        <f t="shared" si="3"/>
        <v>0.99999999999999989</v>
      </c>
      <c r="Q44" s="585" t="s">
        <v>159</v>
      </c>
      <c r="R44" s="578"/>
      <c r="S44" s="578"/>
      <c r="T44" s="578"/>
      <c r="U44" s="578"/>
      <c r="V44" s="578"/>
      <c r="W44" s="578"/>
      <c r="X44" s="578"/>
      <c r="Y44" s="578"/>
      <c r="Z44" s="578"/>
      <c r="AA44" s="578"/>
      <c r="AB44" s="578"/>
      <c r="AC44" s="578"/>
      <c r="AD44" s="579"/>
      <c r="AE44" s="97"/>
    </row>
    <row r="45" spans="1:41" ht="72.75" customHeight="1" thickBot="1" x14ac:dyDescent="0.3">
      <c r="A45" s="583"/>
      <c r="B45" s="584"/>
      <c r="C45" s="91" t="s">
        <v>67</v>
      </c>
      <c r="D45" s="105">
        <v>0.02</v>
      </c>
      <c r="E45" s="105">
        <v>0.05</v>
      </c>
      <c r="F45" s="105">
        <v>0.1</v>
      </c>
      <c r="G45" s="105">
        <v>0.1</v>
      </c>
      <c r="H45" s="105">
        <v>0.1</v>
      </c>
      <c r="I45" s="105">
        <v>0.1</v>
      </c>
      <c r="J45" s="105">
        <v>0.1</v>
      </c>
      <c r="K45" s="105"/>
      <c r="L45" s="106"/>
      <c r="M45" s="106"/>
      <c r="N45" s="106"/>
      <c r="O45" s="106"/>
      <c r="P45" s="107">
        <f t="shared" si="3"/>
        <v>0.56999999999999995</v>
      </c>
      <c r="Q45" s="586"/>
      <c r="R45" s="587"/>
      <c r="S45" s="587"/>
      <c r="T45" s="587"/>
      <c r="U45" s="587"/>
      <c r="V45" s="587"/>
      <c r="W45" s="587"/>
      <c r="X45" s="587"/>
      <c r="Y45" s="587"/>
      <c r="Z45" s="587"/>
      <c r="AA45" s="587"/>
      <c r="AB45" s="587"/>
      <c r="AC45" s="587"/>
      <c r="AD45" s="588"/>
      <c r="AE45" s="97"/>
    </row>
    <row r="55" spans="1:51" s="274" customFormat="1" ht="21.75" customHeight="1" x14ac:dyDescent="0.25">
      <c r="A55" s="488" t="s">
        <v>102</v>
      </c>
      <c r="B55" s="488" t="s">
        <v>69</v>
      </c>
      <c r="C55" s="490" t="s">
        <v>70</v>
      </c>
      <c r="D55" s="491"/>
      <c r="E55" s="491"/>
      <c r="F55" s="491"/>
      <c r="G55" s="491"/>
      <c r="H55" s="491"/>
      <c r="I55" s="491"/>
      <c r="J55" s="491"/>
      <c r="K55" s="491"/>
      <c r="L55" s="491"/>
      <c r="M55" s="491"/>
      <c r="N55" s="491"/>
      <c r="O55" s="491"/>
      <c r="P55" s="492"/>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row>
    <row r="56" spans="1:51" s="274" customFormat="1" ht="21.75" customHeight="1" x14ac:dyDescent="0.25">
      <c r="A56" s="489"/>
      <c r="B56" s="489"/>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row>
    <row r="57" spans="1:51" s="274" customFormat="1" ht="12.75" customHeight="1" x14ac:dyDescent="0.25">
      <c r="A57" s="484" t="str">
        <f>A38</f>
        <v xml:space="preserve">22. Generar alianzas interinstitucionales, convenios y articulaciones con entidades nacionales y distritales, públicas y privadas para la implementación de estrategias educativas flexibles con enfoque diferencial. </v>
      </c>
      <c r="B57" s="494">
        <f>B38</f>
        <v>0.02</v>
      </c>
      <c r="C57" s="199" t="s">
        <v>63</v>
      </c>
      <c r="D57" s="230">
        <f>D38*$B$38/$P$38</f>
        <v>0</v>
      </c>
      <c r="E57" s="230">
        <f t="shared" ref="E57:O58" si="4">E38*$B$38/$P$38</f>
        <v>1E-3</v>
      </c>
      <c r="F57" s="230">
        <f t="shared" si="4"/>
        <v>1E-3</v>
      </c>
      <c r="G57" s="230">
        <f t="shared" si="4"/>
        <v>2E-3</v>
      </c>
      <c r="H57" s="230">
        <f t="shared" si="4"/>
        <v>2E-3</v>
      </c>
      <c r="I57" s="230">
        <f t="shared" si="4"/>
        <v>3.0000000000000001E-3</v>
      </c>
      <c r="J57" s="230">
        <f t="shared" si="4"/>
        <v>3.0000000000000001E-3</v>
      </c>
      <c r="K57" s="230">
        <f t="shared" si="4"/>
        <v>2E-3</v>
      </c>
      <c r="L57" s="230">
        <f t="shared" si="4"/>
        <v>2E-3</v>
      </c>
      <c r="M57" s="230">
        <f t="shared" si="4"/>
        <v>2E-3</v>
      </c>
      <c r="N57" s="230">
        <f t="shared" si="4"/>
        <v>2E-3</v>
      </c>
      <c r="O57" s="230">
        <f t="shared" si="4"/>
        <v>0</v>
      </c>
      <c r="P57" s="231">
        <f t="shared" ref="P57:P60" si="5">SUM(D57:O57)</f>
        <v>2.0000000000000004E-2</v>
      </c>
      <c r="Q57" s="108"/>
      <c r="R57" s="232"/>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13"/>
      <c r="AR57" s="213"/>
      <c r="AS57" s="213"/>
      <c r="AT57" s="213"/>
      <c r="AU57" s="213"/>
      <c r="AV57" s="213"/>
      <c r="AW57" s="213"/>
      <c r="AX57" s="213"/>
      <c r="AY57" s="213"/>
    </row>
    <row r="58" spans="1:51" s="274" customFormat="1" ht="12.75" customHeight="1" x14ac:dyDescent="0.25">
      <c r="A58" s="493"/>
      <c r="B58" s="495"/>
      <c r="C58" s="204" t="s">
        <v>67</v>
      </c>
      <c r="D58" s="234">
        <f>D39*$B$38/$P$38</f>
        <v>4.0000000000000002E-4</v>
      </c>
      <c r="E58" s="234">
        <f t="shared" si="4"/>
        <v>1E-3</v>
      </c>
      <c r="F58" s="234">
        <f t="shared" si="4"/>
        <v>1E-3</v>
      </c>
      <c r="G58" s="234">
        <f t="shared" si="4"/>
        <v>2E-3</v>
      </c>
      <c r="H58" s="234">
        <f t="shared" si="4"/>
        <v>2E-3</v>
      </c>
      <c r="I58" s="234">
        <f t="shared" si="4"/>
        <v>3.0000000000000001E-3</v>
      </c>
      <c r="J58" s="234">
        <f t="shared" si="4"/>
        <v>3.0000000000000001E-3</v>
      </c>
      <c r="K58" s="234">
        <f t="shared" si="4"/>
        <v>0</v>
      </c>
      <c r="L58" s="234">
        <f t="shared" si="4"/>
        <v>0</v>
      </c>
      <c r="M58" s="234">
        <f t="shared" si="4"/>
        <v>0</v>
      </c>
      <c r="N58" s="234">
        <f t="shared" si="4"/>
        <v>0</v>
      </c>
      <c r="O58" s="234">
        <f t="shared" si="4"/>
        <v>0</v>
      </c>
      <c r="P58" s="235">
        <f t="shared" si="5"/>
        <v>1.2400000000000001E-2</v>
      </c>
      <c r="Q58" s="236"/>
      <c r="R58" s="232"/>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13"/>
      <c r="AR58" s="213"/>
      <c r="AS58" s="213"/>
      <c r="AT58" s="213"/>
      <c r="AU58" s="213"/>
      <c r="AV58" s="213"/>
      <c r="AW58" s="213"/>
      <c r="AX58" s="213"/>
      <c r="AY58" s="213"/>
    </row>
    <row r="59" spans="1:51" s="274" customFormat="1" ht="12.75" customHeight="1" x14ac:dyDescent="0.25">
      <c r="A59" s="484" t="str">
        <f>A40</f>
        <v xml:space="preserve">23. Promover los apoyos de educación superior con las pruebas Saber (ICFES), Ferias Universitarias y Ruta de la educación superior.  </v>
      </c>
      <c r="B59" s="486">
        <f>B40</f>
        <v>0.03</v>
      </c>
      <c r="C59" s="199" t="s">
        <v>63</v>
      </c>
      <c r="D59" s="230">
        <f>D40*$B$40/$P$40</f>
        <v>0</v>
      </c>
      <c r="E59" s="230">
        <f t="shared" ref="E59:O60" si="6">E40*$B$40/$P$40</f>
        <v>0</v>
      </c>
      <c r="F59" s="230">
        <f t="shared" si="6"/>
        <v>1.5000000000000002E-3</v>
      </c>
      <c r="G59" s="230">
        <f t="shared" si="6"/>
        <v>3.0000000000000005E-3</v>
      </c>
      <c r="H59" s="230">
        <f t="shared" si="6"/>
        <v>3.0000000000000005E-3</v>
      </c>
      <c r="I59" s="230">
        <f t="shared" si="6"/>
        <v>4.5000000000000005E-3</v>
      </c>
      <c r="J59" s="230">
        <f t="shared" si="6"/>
        <v>3.0000000000000005E-3</v>
      </c>
      <c r="K59" s="230">
        <f t="shared" si="6"/>
        <v>3.0000000000000005E-3</v>
      </c>
      <c r="L59" s="230">
        <f t="shared" si="6"/>
        <v>3.0000000000000005E-3</v>
      </c>
      <c r="M59" s="230">
        <f t="shared" si="6"/>
        <v>3.0000000000000005E-3</v>
      </c>
      <c r="N59" s="230">
        <f t="shared" si="6"/>
        <v>3.0000000000000005E-3</v>
      </c>
      <c r="O59" s="230">
        <f t="shared" si="6"/>
        <v>3.0000000000000005E-3</v>
      </c>
      <c r="P59" s="231">
        <f t="shared" si="5"/>
        <v>0.03</v>
      </c>
      <c r="Q59" s="108"/>
      <c r="R59" s="232"/>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13"/>
      <c r="AR59" s="213"/>
      <c r="AS59" s="213"/>
      <c r="AT59" s="213"/>
      <c r="AU59" s="213"/>
      <c r="AV59" s="213"/>
      <c r="AW59" s="213"/>
      <c r="AX59" s="213"/>
      <c r="AY59" s="213"/>
    </row>
    <row r="60" spans="1:51" s="274" customFormat="1" ht="12.75" customHeight="1" x14ac:dyDescent="0.25">
      <c r="A60" s="485"/>
      <c r="B60" s="487"/>
      <c r="C60" s="204" t="s">
        <v>67</v>
      </c>
      <c r="D60" s="234">
        <f>D41*$B$40/$P$40</f>
        <v>0</v>
      </c>
      <c r="E60" s="234">
        <f t="shared" si="6"/>
        <v>0</v>
      </c>
      <c r="F60" s="234">
        <f t="shared" si="6"/>
        <v>1.5000000000000002E-3</v>
      </c>
      <c r="G60" s="234">
        <f t="shared" si="6"/>
        <v>3.0000000000000005E-3</v>
      </c>
      <c r="H60" s="234">
        <f t="shared" si="6"/>
        <v>3.0000000000000005E-3</v>
      </c>
      <c r="I60" s="234">
        <f t="shared" si="6"/>
        <v>4.5000000000000005E-3</v>
      </c>
      <c r="J60" s="234">
        <f t="shared" si="6"/>
        <v>3.0000000000000005E-3</v>
      </c>
      <c r="K60" s="234">
        <f t="shared" si="6"/>
        <v>0</v>
      </c>
      <c r="L60" s="234">
        <f t="shared" si="6"/>
        <v>0</v>
      </c>
      <c r="M60" s="234">
        <f t="shared" si="6"/>
        <v>0</v>
      </c>
      <c r="N60" s="234">
        <f t="shared" si="6"/>
        <v>0</v>
      </c>
      <c r="O60" s="234">
        <f t="shared" si="6"/>
        <v>0</v>
      </c>
      <c r="P60" s="235">
        <f t="shared" si="5"/>
        <v>1.5000000000000003E-2</v>
      </c>
      <c r="Q60" s="236"/>
      <c r="R60" s="232"/>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13"/>
      <c r="AR60" s="213"/>
      <c r="AS60" s="213"/>
      <c r="AT60" s="213"/>
      <c r="AU60" s="213"/>
      <c r="AV60" s="213"/>
      <c r="AW60" s="213"/>
      <c r="AX60" s="213"/>
      <c r="AY60" s="213"/>
    </row>
    <row r="61" spans="1:51" s="274" customFormat="1" ht="12.75" customHeight="1" x14ac:dyDescent="0.25">
      <c r="A61" s="484" t="str">
        <f>A42</f>
        <v xml:space="preserve">24. Acompañar a la SDMujer y promoción y vinculación de mujeres en toda su diversidad a la formación complementaria (SENA, Google y Escuela Indigena). </v>
      </c>
      <c r="B61" s="486">
        <f>B42</f>
        <v>0.02</v>
      </c>
      <c r="C61" s="199" t="s">
        <v>63</v>
      </c>
      <c r="D61" s="230">
        <f>D42*$B$42/$P$42</f>
        <v>0</v>
      </c>
      <c r="E61" s="230">
        <f t="shared" ref="E61:O62" si="7">E42*$B$42/$P$42</f>
        <v>2.0000000000000005E-3</v>
      </c>
      <c r="F61" s="230">
        <f t="shared" si="7"/>
        <v>2.0000000000000005E-3</v>
      </c>
      <c r="G61" s="230">
        <f t="shared" si="7"/>
        <v>2.0000000000000005E-3</v>
      </c>
      <c r="H61" s="230">
        <f t="shared" si="7"/>
        <v>2.0000000000000005E-3</v>
      </c>
      <c r="I61" s="230">
        <f t="shared" si="7"/>
        <v>2.0000000000000005E-3</v>
      </c>
      <c r="J61" s="230">
        <f t="shared" si="7"/>
        <v>2.0000000000000005E-3</v>
      </c>
      <c r="K61" s="230">
        <f t="shared" si="7"/>
        <v>2.0000000000000005E-3</v>
      </c>
      <c r="L61" s="230">
        <f t="shared" si="7"/>
        <v>2.0000000000000005E-3</v>
      </c>
      <c r="M61" s="230">
        <f t="shared" si="7"/>
        <v>2.0000000000000005E-3</v>
      </c>
      <c r="N61" s="230">
        <f t="shared" si="7"/>
        <v>2.0000000000000005E-3</v>
      </c>
      <c r="O61" s="230">
        <f t="shared" si="7"/>
        <v>0</v>
      </c>
      <c r="P61" s="231">
        <f t="shared" ref="P61:P64" si="8">SUM(D61:O61)</f>
        <v>2.0000000000000007E-2</v>
      </c>
      <c r="Q61" s="108"/>
      <c r="R61" s="232"/>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13"/>
      <c r="AR61" s="213"/>
      <c r="AS61" s="213"/>
      <c r="AT61" s="213"/>
      <c r="AU61" s="213"/>
      <c r="AV61" s="213"/>
      <c r="AW61" s="213"/>
      <c r="AX61" s="213"/>
      <c r="AY61" s="213"/>
    </row>
    <row r="62" spans="1:51" s="274" customFormat="1" ht="12.75" customHeight="1" x14ac:dyDescent="0.25">
      <c r="A62" s="485"/>
      <c r="B62" s="487"/>
      <c r="C62" s="204" t="s">
        <v>67</v>
      </c>
      <c r="D62" s="234">
        <f>D43*$B$42/$P$42</f>
        <v>4.0000000000000007E-4</v>
      </c>
      <c r="E62" s="234">
        <f t="shared" si="7"/>
        <v>2.0000000000000005E-3</v>
      </c>
      <c r="F62" s="234">
        <f t="shared" si="7"/>
        <v>2.0000000000000005E-3</v>
      </c>
      <c r="G62" s="234">
        <f t="shared" si="7"/>
        <v>2.0000000000000005E-3</v>
      </c>
      <c r="H62" s="234">
        <f t="shared" si="7"/>
        <v>2.0000000000000005E-3</v>
      </c>
      <c r="I62" s="234">
        <f t="shared" si="7"/>
        <v>2.0000000000000005E-3</v>
      </c>
      <c r="J62" s="234">
        <f t="shared" si="7"/>
        <v>2.0000000000000005E-3</v>
      </c>
      <c r="K62" s="234">
        <f t="shared" si="7"/>
        <v>0</v>
      </c>
      <c r="L62" s="234">
        <f t="shared" si="7"/>
        <v>0</v>
      </c>
      <c r="M62" s="234">
        <f t="shared" si="7"/>
        <v>0</v>
      </c>
      <c r="N62" s="234">
        <f t="shared" si="7"/>
        <v>0</v>
      </c>
      <c r="O62" s="234">
        <f t="shared" si="7"/>
        <v>0</v>
      </c>
      <c r="P62" s="235">
        <f t="shared" si="8"/>
        <v>1.2400000000000001E-2</v>
      </c>
      <c r="Q62" s="236"/>
      <c r="R62" s="232"/>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13"/>
      <c r="AR62" s="213"/>
      <c r="AS62" s="213"/>
      <c r="AT62" s="213"/>
      <c r="AU62" s="213"/>
      <c r="AV62" s="213"/>
      <c r="AW62" s="213"/>
      <c r="AX62" s="213"/>
      <c r="AY62" s="213"/>
    </row>
    <row r="63" spans="1:51" s="274" customFormat="1" ht="12.75" customHeight="1" x14ac:dyDescent="0.25">
      <c r="A63" s="484" t="str">
        <f>A44</f>
        <v xml:space="preserve">25. Realizar el seguimiento y acompañamiento a las mujeres registradas en las estrategias de Educación Flexible inscritas a través de la Dirección de Enfoque Diferencial. </v>
      </c>
      <c r="B63" s="486">
        <f>B44</f>
        <v>0.02</v>
      </c>
      <c r="C63" s="199" t="s">
        <v>63</v>
      </c>
      <c r="D63" s="230">
        <f>D44*$B$44/$P$44</f>
        <v>0</v>
      </c>
      <c r="E63" s="230">
        <f t="shared" ref="E63:O64" si="9">E44*$B$44/$P$44</f>
        <v>1.0000000000000002E-3</v>
      </c>
      <c r="F63" s="230">
        <f t="shared" si="9"/>
        <v>2.0000000000000005E-3</v>
      </c>
      <c r="G63" s="230">
        <f t="shared" si="9"/>
        <v>2.0000000000000005E-3</v>
      </c>
      <c r="H63" s="230">
        <f t="shared" si="9"/>
        <v>2.0000000000000005E-3</v>
      </c>
      <c r="I63" s="230">
        <f t="shared" si="9"/>
        <v>2.0000000000000005E-3</v>
      </c>
      <c r="J63" s="230">
        <f t="shared" si="9"/>
        <v>2.0000000000000005E-3</v>
      </c>
      <c r="K63" s="230">
        <f t="shared" si="9"/>
        <v>2.0000000000000005E-3</v>
      </c>
      <c r="L63" s="230">
        <f t="shared" si="9"/>
        <v>2.0000000000000005E-3</v>
      </c>
      <c r="M63" s="230">
        <f t="shared" si="9"/>
        <v>2.0000000000000005E-3</v>
      </c>
      <c r="N63" s="230">
        <f t="shared" si="9"/>
        <v>2.0000000000000005E-3</v>
      </c>
      <c r="O63" s="230">
        <f t="shared" si="9"/>
        <v>1.0000000000000002E-3</v>
      </c>
      <c r="P63" s="231">
        <f t="shared" si="8"/>
        <v>2.0000000000000004E-2</v>
      </c>
      <c r="Q63" s="108"/>
      <c r="R63" s="232"/>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51" s="274" customFormat="1" ht="12.75" customHeight="1" x14ac:dyDescent="0.25">
      <c r="A64" s="485"/>
      <c r="B64" s="487"/>
      <c r="C64" s="204" t="s">
        <v>67</v>
      </c>
      <c r="D64" s="234">
        <f>D45*$B$44/$P$44</f>
        <v>4.0000000000000007E-4</v>
      </c>
      <c r="E64" s="234">
        <f t="shared" si="9"/>
        <v>1.0000000000000002E-3</v>
      </c>
      <c r="F64" s="234">
        <f t="shared" si="9"/>
        <v>2.0000000000000005E-3</v>
      </c>
      <c r="G64" s="234">
        <f t="shared" si="9"/>
        <v>2.0000000000000005E-3</v>
      </c>
      <c r="H64" s="234">
        <f t="shared" si="9"/>
        <v>2.0000000000000005E-3</v>
      </c>
      <c r="I64" s="234">
        <f t="shared" si="9"/>
        <v>2.0000000000000005E-3</v>
      </c>
      <c r="J64" s="234">
        <f t="shared" si="9"/>
        <v>2.0000000000000005E-3</v>
      </c>
      <c r="K64" s="234">
        <f t="shared" si="9"/>
        <v>0</v>
      </c>
      <c r="L64" s="234">
        <f t="shared" si="9"/>
        <v>0</v>
      </c>
      <c r="M64" s="234">
        <f t="shared" si="9"/>
        <v>0</v>
      </c>
      <c r="N64" s="234">
        <f t="shared" si="9"/>
        <v>0</v>
      </c>
      <c r="O64" s="234">
        <f t="shared" si="9"/>
        <v>0</v>
      </c>
      <c r="P64" s="235">
        <f t="shared" si="8"/>
        <v>1.1400000000000002E-2</v>
      </c>
      <c r="Q64" s="236"/>
      <c r="R64" s="232"/>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13"/>
      <c r="AR64" s="213"/>
      <c r="AS64" s="213"/>
      <c r="AT64" s="213"/>
      <c r="AU64" s="213"/>
      <c r="AV64" s="213"/>
      <c r="AW64" s="213"/>
      <c r="AX64" s="213"/>
      <c r="AY64" s="213"/>
    </row>
    <row r="65" spans="1:51" s="274" customFormat="1" ht="15.75" customHeight="1" x14ac:dyDescent="0.25">
      <c r="A65" s="233"/>
      <c r="B65" s="233"/>
      <c r="C65" s="237"/>
      <c r="D65" s="238">
        <f>D58+D60+D62+D64</f>
        <v>1.2000000000000001E-3</v>
      </c>
      <c r="E65" s="238">
        <f t="shared" ref="E65:P65" si="10">E58+E60+E62+E64</f>
        <v>4.000000000000001E-3</v>
      </c>
      <c r="F65" s="238">
        <f t="shared" si="10"/>
        <v>6.5000000000000006E-3</v>
      </c>
      <c r="G65" s="238">
        <f t="shared" si="10"/>
        <v>9.0000000000000011E-3</v>
      </c>
      <c r="H65" s="238">
        <f t="shared" si="10"/>
        <v>9.0000000000000011E-3</v>
      </c>
      <c r="I65" s="238">
        <f t="shared" si="10"/>
        <v>1.1500000000000002E-2</v>
      </c>
      <c r="J65" s="238">
        <f t="shared" si="10"/>
        <v>0.01</v>
      </c>
      <c r="K65" s="238">
        <f t="shared" si="10"/>
        <v>0</v>
      </c>
      <c r="L65" s="238">
        <f t="shared" si="10"/>
        <v>0</v>
      </c>
      <c r="M65" s="238">
        <f t="shared" si="10"/>
        <v>0</v>
      </c>
      <c r="N65" s="238">
        <f t="shared" si="10"/>
        <v>0</v>
      </c>
      <c r="O65" s="238">
        <f t="shared" si="10"/>
        <v>0</v>
      </c>
      <c r="P65" s="238">
        <f t="shared" si="10"/>
        <v>5.1200000000000002E-2</v>
      </c>
      <c r="Q65" s="233"/>
      <c r="R65" s="232"/>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13"/>
      <c r="AR65" s="213"/>
      <c r="AS65" s="213"/>
      <c r="AT65" s="213"/>
      <c r="AU65" s="213"/>
      <c r="AV65" s="213"/>
      <c r="AW65" s="213"/>
      <c r="AX65" s="213"/>
      <c r="AY65" s="213"/>
    </row>
    <row r="66" spans="1:51" s="274" customFormat="1" ht="15.75" customHeight="1" x14ac:dyDescent="0.25">
      <c r="A66" s="213"/>
      <c r="B66" s="213"/>
      <c r="C66" s="217" t="s">
        <v>67</v>
      </c>
      <c r="D66" s="239">
        <f>D65*$W$17/$B$34</f>
        <v>4.0000000000000001E-3</v>
      </c>
      <c r="E66" s="239">
        <f t="shared" ref="E66:O66" si="11">E65*$W$17/$B$34</f>
        <v>1.3333333333333336E-2</v>
      </c>
      <c r="F66" s="239">
        <f t="shared" si="11"/>
        <v>2.1666666666666664E-2</v>
      </c>
      <c r="G66" s="239">
        <f t="shared" si="11"/>
        <v>0.03</v>
      </c>
      <c r="H66" s="239">
        <f t="shared" si="11"/>
        <v>0.03</v>
      </c>
      <c r="I66" s="239">
        <f t="shared" si="11"/>
        <v>3.833333333333333E-2</v>
      </c>
      <c r="J66" s="239">
        <f t="shared" si="11"/>
        <v>3.3333333333333333E-2</v>
      </c>
      <c r="K66" s="239">
        <f t="shared" si="11"/>
        <v>0</v>
      </c>
      <c r="L66" s="239">
        <f t="shared" si="11"/>
        <v>0</v>
      </c>
      <c r="M66" s="239">
        <f t="shared" si="11"/>
        <v>0</v>
      </c>
      <c r="N66" s="239">
        <f t="shared" si="11"/>
        <v>0</v>
      </c>
      <c r="O66" s="239">
        <f t="shared" si="11"/>
        <v>0</v>
      </c>
      <c r="P66" s="240">
        <f>SUM(D66:O66)</f>
        <v>0.17066666666666666</v>
      </c>
      <c r="Q66" s="212"/>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row>
    <row r="67" spans="1:51" s="274" customFormat="1" ht="13.5" customHeight="1" x14ac:dyDescent="0.25">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row>
    <row r="68" spans="1:51" x14ac:dyDescent="0.25">
      <c r="D68" s="238">
        <f>D57+D59+D61+D63</f>
        <v>0</v>
      </c>
      <c r="E68" s="238">
        <f t="shared" ref="E68:O68" si="12">E57+E59+E61+E63</f>
        <v>4.000000000000001E-3</v>
      </c>
      <c r="F68" s="238">
        <f t="shared" si="12"/>
        <v>6.5000000000000006E-3</v>
      </c>
      <c r="G68" s="238">
        <f t="shared" si="12"/>
        <v>9.0000000000000011E-3</v>
      </c>
      <c r="H68" s="238">
        <f t="shared" si="12"/>
        <v>9.0000000000000011E-3</v>
      </c>
      <c r="I68" s="238">
        <f t="shared" si="12"/>
        <v>1.1500000000000002E-2</v>
      </c>
      <c r="J68" s="238">
        <f t="shared" si="12"/>
        <v>0.01</v>
      </c>
      <c r="K68" s="238">
        <f t="shared" si="12"/>
        <v>9.0000000000000011E-3</v>
      </c>
      <c r="L68" s="238">
        <f t="shared" si="12"/>
        <v>9.0000000000000011E-3</v>
      </c>
      <c r="M68" s="238">
        <f t="shared" si="12"/>
        <v>9.0000000000000011E-3</v>
      </c>
      <c r="N68" s="238">
        <f t="shared" si="12"/>
        <v>9.0000000000000011E-3</v>
      </c>
      <c r="O68" s="238">
        <f t="shared" si="12"/>
        <v>4.000000000000001E-3</v>
      </c>
      <c r="P68" s="238">
        <f>SUM(D68:O68)</f>
        <v>9.0000000000000024E-2</v>
      </c>
    </row>
    <row r="69" spans="1:51" s="274" customFormat="1" ht="15.75" customHeight="1" x14ac:dyDescent="0.25">
      <c r="A69" s="213"/>
      <c r="B69" s="213"/>
      <c r="C69" s="217" t="s">
        <v>63</v>
      </c>
      <c r="D69" s="239">
        <f>D68*$W$17/$B$34</f>
        <v>0</v>
      </c>
      <c r="E69" s="239">
        <f t="shared" ref="E69:O69" si="13">E68*$W$17/$B$34</f>
        <v>1.3333333333333336E-2</v>
      </c>
      <c r="F69" s="239">
        <f t="shared" si="13"/>
        <v>2.1666666666666664E-2</v>
      </c>
      <c r="G69" s="239">
        <f t="shared" si="13"/>
        <v>0.03</v>
      </c>
      <c r="H69" s="239">
        <f t="shared" si="13"/>
        <v>0.03</v>
      </c>
      <c r="I69" s="239">
        <f t="shared" si="13"/>
        <v>3.833333333333333E-2</v>
      </c>
      <c r="J69" s="239">
        <f t="shared" si="13"/>
        <v>3.3333333333333333E-2</v>
      </c>
      <c r="K69" s="239">
        <f t="shared" si="13"/>
        <v>0.03</v>
      </c>
      <c r="L69" s="239">
        <f t="shared" si="13"/>
        <v>0.03</v>
      </c>
      <c r="M69" s="239">
        <f t="shared" si="13"/>
        <v>0.03</v>
      </c>
      <c r="N69" s="239">
        <f t="shared" si="13"/>
        <v>0.03</v>
      </c>
      <c r="O69" s="239">
        <f t="shared" si="13"/>
        <v>1.3333333333333336E-2</v>
      </c>
      <c r="P69" s="240">
        <f>SUM(D69:O69)</f>
        <v>0.29999999999999993</v>
      </c>
      <c r="Q69" s="212"/>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row>
  </sheetData>
  <mergeCells count="87">
    <mergeCell ref="A59:A60"/>
    <mergeCell ref="B59:B60"/>
    <mergeCell ref="A61:A62"/>
    <mergeCell ref="B61:B62"/>
    <mergeCell ref="A63:A64"/>
    <mergeCell ref="B63:B64"/>
    <mergeCell ref="A55:A56"/>
    <mergeCell ref="B55:B56"/>
    <mergeCell ref="C55:P55"/>
    <mergeCell ref="A57:A58"/>
    <mergeCell ref="B57:B58"/>
    <mergeCell ref="A38:A39"/>
    <mergeCell ref="B38:B39"/>
    <mergeCell ref="Q38:AD39"/>
    <mergeCell ref="A44:A45"/>
    <mergeCell ref="B44:B45"/>
    <mergeCell ref="Q44:AD45"/>
    <mergeCell ref="A40:A41"/>
    <mergeCell ref="B40:B41"/>
    <mergeCell ref="Q40:AD41"/>
    <mergeCell ref="A42:A43"/>
    <mergeCell ref="B42:B43"/>
    <mergeCell ref="Q42:AD43"/>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7:AD27"/>
    <mergeCell ref="A28:A29"/>
    <mergeCell ref="B28:C29"/>
    <mergeCell ref="D28:O28"/>
    <mergeCell ref="P28:P29"/>
    <mergeCell ref="Q28:AD29"/>
    <mergeCell ref="A19:AD19"/>
    <mergeCell ref="C20:P20"/>
    <mergeCell ref="Q20:AD20"/>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phoneticPr fontId="50" type="noConversion"/>
  <dataValidations disablePrompts="1"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4 W34 AA34 Q38:AD45" xr:uid="{00000000-0002-0000-0300-000002000000}">
      <formula1>2000</formula1>
    </dataValidation>
  </dataValidations>
  <printOptions horizontalCentered="1"/>
  <pageMargins left="0.19685039370078741" right="0.19685039370078741" top="0.19685039370078741" bottom="0.19685039370078741" header="0" footer="0"/>
  <pageSetup scale="2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7030A0"/>
  </sheetPr>
  <dimension ref="A1:AY67"/>
  <sheetViews>
    <sheetView view="pageBreakPreview" topLeftCell="B17" zoomScale="77" zoomScaleNormal="75" zoomScaleSheetLayoutView="77" workbookViewId="0">
      <selection activeCell="L30" sqref="L30"/>
    </sheetView>
  </sheetViews>
  <sheetFormatPr baseColWidth="10" defaultColWidth="11.42578125" defaultRowHeight="15" x14ac:dyDescent="0.25"/>
  <cols>
    <col min="1" max="1" width="42.140625" style="108" customWidth="1"/>
    <col min="2" max="2" width="13.42578125" style="108" customWidth="1"/>
    <col min="3" max="3" width="17.42578125" style="108" customWidth="1"/>
    <col min="4" max="16" width="15.42578125" style="108" customWidth="1"/>
    <col min="17" max="17" width="16" style="108" bestFit="1" customWidth="1"/>
    <col min="18" max="28" width="14.85546875" style="108" bestFit="1" customWidth="1"/>
    <col min="29" max="29" width="16" style="108" bestFit="1" customWidth="1"/>
    <col min="30" max="30" width="11.42578125" style="108"/>
    <col min="31" max="32" width="14.42578125" style="108" bestFit="1" customWidth="1"/>
    <col min="33" max="16384" width="11.42578125" style="108"/>
  </cols>
  <sheetData>
    <row r="1" spans="1:30" ht="1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15.75"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6.5"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15.75"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75"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x14ac:dyDescent="0.25">
      <c r="A11" s="358" t="s">
        <v>15</v>
      </c>
      <c r="B11" s="359"/>
      <c r="C11" s="496" t="s">
        <v>142</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1:30" x14ac:dyDescent="0.25">
      <c r="A12" s="360"/>
      <c r="B12" s="36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1"/>
    </row>
    <row r="13" spans="1:30" ht="15.75" thickBot="1" x14ac:dyDescent="0.3">
      <c r="A13" s="362"/>
      <c r="B13" s="363"/>
      <c r="C13" s="502"/>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9" t="s">
        <v>143</v>
      </c>
      <c r="D15" s="510"/>
      <c r="E15" s="510"/>
      <c r="F15" s="510"/>
      <c r="G15" s="510"/>
      <c r="H15" s="510"/>
      <c r="I15" s="510"/>
      <c r="J15" s="510"/>
      <c r="K15" s="511"/>
      <c r="L15" s="420" t="s">
        <v>19</v>
      </c>
      <c r="M15" s="424"/>
      <c r="N15" s="424"/>
      <c r="O15" s="424"/>
      <c r="P15" s="424"/>
      <c r="Q15" s="421"/>
      <c r="R15" s="417" t="s">
        <v>144</v>
      </c>
      <c r="S15" s="418"/>
      <c r="T15" s="418"/>
      <c r="U15" s="418"/>
      <c r="V15" s="418"/>
      <c r="W15" s="418"/>
      <c r="X15" s="419"/>
      <c r="Y15" s="420" t="s">
        <v>21</v>
      </c>
      <c r="Z15" s="421"/>
      <c r="AA15" s="403" t="s">
        <v>160</v>
      </c>
      <c r="AB15" s="404"/>
      <c r="AC15" s="404"/>
      <c r="AD15" s="405"/>
    </row>
    <row r="16" spans="1:30" ht="15.75"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33" ht="31.5" customHeight="1" thickBot="1" x14ac:dyDescent="0.3">
      <c r="A17" s="407" t="s">
        <v>23</v>
      </c>
      <c r="B17" s="408"/>
      <c r="C17" s="592" t="s">
        <v>161</v>
      </c>
      <c r="D17" s="593"/>
      <c r="E17" s="593"/>
      <c r="F17" s="593"/>
      <c r="G17" s="593"/>
      <c r="H17" s="593"/>
      <c r="I17" s="593"/>
      <c r="J17" s="593"/>
      <c r="K17" s="593"/>
      <c r="L17" s="593"/>
      <c r="M17" s="593"/>
      <c r="N17" s="593"/>
      <c r="O17" s="593"/>
      <c r="P17" s="593"/>
      <c r="Q17" s="594"/>
      <c r="R17" s="420" t="s">
        <v>25</v>
      </c>
      <c r="S17" s="424"/>
      <c r="T17" s="424"/>
      <c r="U17" s="424"/>
      <c r="V17" s="421"/>
      <c r="W17" s="422">
        <v>0.3</v>
      </c>
      <c r="X17" s="423"/>
      <c r="Y17" s="424" t="s">
        <v>26</v>
      </c>
      <c r="Z17" s="424"/>
      <c r="AA17" s="424"/>
      <c r="AB17" s="421"/>
      <c r="AC17" s="412">
        <v>0.06</v>
      </c>
      <c r="AD17" s="413"/>
    </row>
    <row r="18" spans="1:33"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33"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33"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33" ht="32.25" customHeight="1" thickBot="1" x14ac:dyDescent="0.3">
      <c r="A21" s="59"/>
      <c r="B21" s="271"/>
      <c r="C21" s="194"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194"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33" ht="32.25" customHeight="1" x14ac:dyDescent="0.25">
      <c r="A22" s="187" t="s">
        <v>43</v>
      </c>
      <c r="B22" s="272"/>
      <c r="C22" s="269" t="str">
        <f>'Meta 4 DED'!C22</f>
        <v>-</v>
      </c>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77">
        <v>226457920</v>
      </c>
      <c r="R22" s="263" t="s">
        <v>44</v>
      </c>
      <c r="S22" s="263" t="s">
        <v>44</v>
      </c>
      <c r="T22" s="263">
        <f>8596121.92+64726000</f>
        <v>73322121.920000002</v>
      </c>
      <c r="U22" s="263" t="s">
        <v>44</v>
      </c>
      <c r="V22" s="263" t="s">
        <v>44</v>
      </c>
      <c r="W22" s="263" t="s">
        <v>44</v>
      </c>
      <c r="X22" s="263" t="s">
        <v>44</v>
      </c>
      <c r="Y22" s="263" t="s">
        <v>44</v>
      </c>
      <c r="Z22" s="263" t="s">
        <v>44</v>
      </c>
      <c r="AA22" s="263" t="s">
        <v>44</v>
      </c>
      <c r="AB22" s="263" t="s">
        <v>44</v>
      </c>
      <c r="AC22" s="263">
        <f>SUM(Q22:AB22)</f>
        <v>299780041.92000002</v>
      </c>
      <c r="AD22" s="259"/>
      <c r="AE22" s="224"/>
      <c r="AF22" s="224"/>
    </row>
    <row r="23" spans="1:33"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306"/>
      <c r="Q23" s="307">
        <v>226457920</v>
      </c>
      <c r="R23" s="300">
        <f>249909700-Q23</f>
        <v>23451780</v>
      </c>
      <c r="S23" s="300">
        <f>225820030-Q23-R23</f>
        <v>-24089670</v>
      </c>
      <c r="T23" s="300">
        <v>0</v>
      </c>
      <c r="U23" s="300">
        <f>233549424-Q23-R23-S23-T23</f>
        <v>7729394</v>
      </c>
      <c r="V23" s="300">
        <f>233549424-Q23-R23-S23-T23-U23</f>
        <v>0</v>
      </c>
      <c r="W23" s="300">
        <f>233549424-Q23-R23-S23-T23-U23-V23</f>
        <v>0</v>
      </c>
      <c r="X23" s="300" t="s">
        <v>44</v>
      </c>
      <c r="Y23" s="300" t="s">
        <v>44</v>
      </c>
      <c r="Z23" s="300" t="s">
        <v>44</v>
      </c>
      <c r="AA23" s="300" t="s">
        <v>44</v>
      </c>
      <c r="AB23" s="300" t="s">
        <v>44</v>
      </c>
      <c r="AC23" s="299">
        <f>SUM(Q23:AB23)</f>
        <v>233549424</v>
      </c>
      <c r="AD23" s="312">
        <f>(SUM(Q23:W23)/SUM(Q22:W22))</f>
        <v>0.77906928861637004</v>
      </c>
      <c r="AE23" s="314"/>
      <c r="AF23" s="314"/>
    </row>
    <row r="24" spans="1:33" ht="32.25" customHeight="1" x14ac:dyDescent="0.25">
      <c r="A24" s="188" t="s">
        <v>47</v>
      </c>
      <c r="B24" s="189"/>
      <c r="C24" s="277" t="s">
        <v>44</v>
      </c>
      <c r="D24" s="263" t="s">
        <v>44</v>
      </c>
      <c r="E24" s="263" t="s">
        <v>44</v>
      </c>
      <c r="F24" s="265">
        <f>56000007+7830430</f>
        <v>63830437</v>
      </c>
      <c r="G24" s="265">
        <f>374000-374000</f>
        <v>0</v>
      </c>
      <c r="H24" s="263" t="s">
        <v>44</v>
      </c>
      <c r="I24" s="263" t="s">
        <v>44</v>
      </c>
      <c r="J24" s="263" t="s">
        <v>44</v>
      </c>
      <c r="K24" s="263" t="s">
        <v>44</v>
      </c>
      <c r="L24" s="263" t="s">
        <v>44</v>
      </c>
      <c r="M24" s="263" t="s">
        <v>44</v>
      </c>
      <c r="N24" s="263" t="s">
        <v>44</v>
      </c>
      <c r="O24" s="263">
        <f t="shared" ref="O24:O25" si="0">SUM(C24:N24)</f>
        <v>63830437</v>
      </c>
      <c r="P24" s="312"/>
      <c r="Q24" s="307" t="s">
        <v>44</v>
      </c>
      <c r="R24" s="299">
        <v>11116766.16</v>
      </c>
      <c r="S24" s="300">
        <v>20815535.493333299</v>
      </c>
      <c r="T24" s="300">
        <v>20815535.493333299</v>
      </c>
      <c r="U24" s="300">
        <v>20815535.493333299</v>
      </c>
      <c r="V24" s="300">
        <v>20815535.493333299</v>
      </c>
      <c r="W24" s="299">
        <v>20815535.493333299</v>
      </c>
      <c r="X24" s="299">
        <v>33760735.493333302</v>
      </c>
      <c r="Y24" s="299">
        <v>33760735.493333302</v>
      </c>
      <c r="Z24" s="299">
        <v>33760735.493333302</v>
      </c>
      <c r="AA24" s="299">
        <v>33760735.493333302</v>
      </c>
      <c r="AB24" s="299">
        <v>49542656.673333302</v>
      </c>
      <c r="AC24" s="299">
        <f>SUM(Q24:AB24)</f>
        <v>299780042.27333301</v>
      </c>
      <c r="AD24" s="312"/>
      <c r="AE24" s="314"/>
      <c r="AF24" s="314"/>
      <c r="AG24" s="225"/>
    </row>
    <row r="25" spans="1:33" ht="32.25" customHeight="1" thickBot="1" x14ac:dyDescent="0.3">
      <c r="A25" s="190" t="s">
        <v>48</v>
      </c>
      <c r="B25" s="273"/>
      <c r="C25" s="278">
        <v>0</v>
      </c>
      <c r="D25" s="279">
        <v>0</v>
      </c>
      <c r="E25" s="279">
        <v>7830430</v>
      </c>
      <c r="F25" s="279">
        <v>56000007</v>
      </c>
      <c r="G25" s="279">
        <f>63830437-C25-D25-E25-F25</f>
        <v>0</v>
      </c>
      <c r="H25" s="279" t="s">
        <v>44</v>
      </c>
      <c r="I25" s="279" t="s">
        <v>44</v>
      </c>
      <c r="J25" s="279" t="s">
        <v>44</v>
      </c>
      <c r="K25" s="279" t="s">
        <v>44</v>
      </c>
      <c r="L25" s="279" t="s">
        <v>44</v>
      </c>
      <c r="M25" s="279" t="s">
        <v>44</v>
      </c>
      <c r="N25" s="279" t="s">
        <v>44</v>
      </c>
      <c r="O25" s="305">
        <f t="shared" si="0"/>
        <v>63830437</v>
      </c>
      <c r="P25" s="311">
        <f>(SUM(C25:G25)/SUM(C24:G24))</f>
        <v>1</v>
      </c>
      <c r="Q25" s="308" t="s">
        <v>44</v>
      </c>
      <c r="R25" s="305">
        <v>10277309</v>
      </c>
      <c r="S25" s="305">
        <f>30253289-R25</f>
        <v>19975980</v>
      </c>
      <c r="T25" s="305">
        <v>19976180</v>
      </c>
      <c r="U25" s="305">
        <f>70205549-R25-S25-T25</f>
        <v>19976080</v>
      </c>
      <c r="V25" s="305">
        <f>97911023-R25-S25-T25-U25</f>
        <v>27705474</v>
      </c>
      <c r="W25" s="305">
        <f>117887103-R25-S25-T25-U25-V25</f>
        <v>19976080</v>
      </c>
      <c r="X25" s="305" t="s">
        <v>44</v>
      </c>
      <c r="Y25" s="305" t="s">
        <v>44</v>
      </c>
      <c r="Z25" s="305" t="s">
        <v>44</v>
      </c>
      <c r="AA25" s="305" t="s">
        <v>44</v>
      </c>
      <c r="AB25" s="305" t="s">
        <v>44</v>
      </c>
      <c r="AC25" s="309">
        <f t="shared" ref="AC25" si="1">SUM(Q25:AB25)</f>
        <v>117887103</v>
      </c>
      <c r="AD25" s="311">
        <f>(SUM(Q25:W25)/SUM(Q24:W24))</f>
        <v>1.0233749067104325</v>
      </c>
      <c r="AE25" s="314"/>
      <c r="AF25" s="314"/>
      <c r="AG25" s="225"/>
    </row>
    <row r="26" spans="1:33" ht="15.75"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33"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33"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33"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33" ht="45" customHeight="1" thickBot="1" x14ac:dyDescent="0.3">
      <c r="A30" s="85" t="s">
        <v>161</v>
      </c>
      <c r="B30" s="512"/>
      <c r="C30" s="513"/>
      <c r="D30" s="89"/>
      <c r="E30" s="89"/>
      <c r="F30" s="89"/>
      <c r="G30" s="89"/>
      <c r="H30" s="89"/>
      <c r="I30" s="89"/>
      <c r="J30" s="89"/>
      <c r="K30" s="89"/>
      <c r="L30" s="89"/>
      <c r="M30" s="89"/>
      <c r="N30" s="89"/>
      <c r="O30" s="89"/>
      <c r="P30" s="86">
        <f>SUM(D30:O30)</f>
        <v>0</v>
      </c>
      <c r="Q30" s="427" t="s">
        <v>162</v>
      </c>
      <c r="R30" s="427"/>
      <c r="S30" s="427"/>
      <c r="T30" s="427"/>
      <c r="U30" s="427"/>
      <c r="V30" s="427"/>
      <c r="W30" s="427"/>
      <c r="X30" s="427"/>
      <c r="Y30" s="427"/>
      <c r="Z30" s="427"/>
      <c r="AA30" s="427"/>
      <c r="AB30" s="427"/>
      <c r="AC30" s="427"/>
      <c r="AD30" s="428"/>
    </row>
    <row r="31" spans="1:33"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33"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row>
    <row r="33" spans="1:4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row>
    <row r="34" spans="1:41" ht="69.75" customHeight="1" x14ac:dyDescent="0.25">
      <c r="A34" s="595" t="s">
        <v>161</v>
      </c>
      <c r="B34" s="446">
        <f>SUM(B38+B40+B42)</f>
        <v>0.06</v>
      </c>
      <c r="C34" s="90" t="s">
        <v>63</v>
      </c>
      <c r="D34" s="214">
        <f>D67</f>
        <v>9.9999999999999985E-3</v>
      </c>
      <c r="E34" s="214">
        <f t="shared" ref="E34:O34" si="2">E67</f>
        <v>3.4999999999999989E-2</v>
      </c>
      <c r="F34" s="214">
        <f t="shared" si="2"/>
        <v>5.4999999999999986E-2</v>
      </c>
      <c r="G34" s="214">
        <f t="shared" si="2"/>
        <v>3.4999999999999996E-2</v>
      </c>
      <c r="H34" s="214">
        <f t="shared" si="2"/>
        <v>2.9999999999999992E-2</v>
      </c>
      <c r="I34" s="214">
        <f t="shared" si="2"/>
        <v>7.9999999999999984E-3</v>
      </c>
      <c r="J34" s="214">
        <f t="shared" si="2"/>
        <v>1.2999999999999999E-2</v>
      </c>
      <c r="K34" s="214">
        <f t="shared" si="2"/>
        <v>1.3999999999999997E-2</v>
      </c>
      <c r="L34" s="214">
        <f t="shared" si="2"/>
        <v>1.4999999999999999E-2</v>
      </c>
      <c r="M34" s="214">
        <f t="shared" si="2"/>
        <v>2.5000000000000001E-2</v>
      </c>
      <c r="N34" s="214">
        <f t="shared" si="2"/>
        <v>2.5000000000000001E-2</v>
      </c>
      <c r="O34" s="214">
        <f t="shared" si="2"/>
        <v>3.4999999999999996E-2</v>
      </c>
      <c r="P34" s="215">
        <f>SUM(D34:O34)</f>
        <v>0.29999999999999993</v>
      </c>
      <c r="Q34" s="597" t="s">
        <v>163</v>
      </c>
      <c r="R34" s="598"/>
      <c r="S34" s="598"/>
      <c r="T34" s="598"/>
      <c r="U34" s="598"/>
      <c r="V34" s="599"/>
      <c r="W34" s="603" t="s">
        <v>164</v>
      </c>
      <c r="X34" s="604"/>
      <c r="Y34" s="604"/>
      <c r="Z34" s="604"/>
      <c r="AA34" s="603" t="s">
        <v>165</v>
      </c>
      <c r="AB34" s="604"/>
      <c r="AC34" s="604"/>
      <c r="AD34" s="604"/>
      <c r="AG34" s="226"/>
      <c r="AH34" s="226"/>
      <c r="AI34" s="226"/>
      <c r="AJ34" s="226"/>
      <c r="AK34" s="226"/>
      <c r="AL34" s="226"/>
      <c r="AM34" s="226"/>
      <c r="AN34" s="226"/>
      <c r="AO34" s="226"/>
    </row>
    <row r="35" spans="1:41" ht="69.75" customHeight="1" thickBot="1" x14ac:dyDescent="0.3">
      <c r="A35" s="596"/>
      <c r="B35" s="447"/>
      <c r="C35" s="91" t="s">
        <v>67</v>
      </c>
      <c r="D35" s="218">
        <f>D64</f>
        <v>9.9999999999999985E-3</v>
      </c>
      <c r="E35" s="218">
        <f t="shared" ref="E35:O35" si="3">E64</f>
        <v>3.4999999999999989E-2</v>
      </c>
      <c r="F35" s="218">
        <f t="shared" si="3"/>
        <v>5.4999999999999986E-2</v>
      </c>
      <c r="G35" s="218">
        <f t="shared" si="3"/>
        <v>3.4999999999999996E-2</v>
      </c>
      <c r="H35" s="218">
        <v>0.02</v>
      </c>
      <c r="I35" s="218">
        <f t="shared" si="3"/>
        <v>7.9999999999999984E-3</v>
      </c>
      <c r="J35" s="218">
        <f t="shared" si="3"/>
        <v>1.2999999999999999E-2</v>
      </c>
      <c r="K35" s="218">
        <f t="shared" si="3"/>
        <v>0</v>
      </c>
      <c r="L35" s="218">
        <f t="shared" si="3"/>
        <v>0</v>
      </c>
      <c r="M35" s="218">
        <f t="shared" si="3"/>
        <v>0</v>
      </c>
      <c r="N35" s="218">
        <f t="shared" si="3"/>
        <v>0</v>
      </c>
      <c r="O35" s="218">
        <f t="shared" si="3"/>
        <v>0</v>
      </c>
      <c r="P35" s="216">
        <f>SUM(D35:O35)</f>
        <v>0.17599999999999999</v>
      </c>
      <c r="Q35" s="600"/>
      <c r="R35" s="601"/>
      <c r="S35" s="601"/>
      <c r="T35" s="601"/>
      <c r="U35" s="601"/>
      <c r="V35" s="602"/>
      <c r="W35" s="605"/>
      <c r="X35" s="605"/>
      <c r="Y35" s="605"/>
      <c r="Z35" s="605"/>
      <c r="AA35" s="605"/>
      <c r="AB35" s="605"/>
      <c r="AC35" s="605"/>
      <c r="AD35" s="605"/>
      <c r="AE35" s="227"/>
      <c r="AG35" s="226"/>
      <c r="AH35" s="226"/>
      <c r="AI35" s="226"/>
      <c r="AJ35" s="226"/>
      <c r="AK35" s="226"/>
      <c r="AL35" s="226"/>
      <c r="AM35" s="226"/>
      <c r="AN35" s="226"/>
      <c r="AO35" s="226"/>
    </row>
    <row r="36" spans="1:41" ht="15" customHeight="1" x14ac:dyDescent="0.25">
      <c r="A36" s="429" t="s">
        <v>68</v>
      </c>
      <c r="B36" s="437" t="s">
        <v>69</v>
      </c>
      <c r="C36" s="439" t="s">
        <v>70</v>
      </c>
      <c r="D36" s="439"/>
      <c r="E36" s="439"/>
      <c r="F36" s="439"/>
      <c r="G36" s="439"/>
      <c r="H36" s="439"/>
      <c r="I36" s="439"/>
      <c r="J36" s="439"/>
      <c r="K36" s="439"/>
      <c r="L36" s="439"/>
      <c r="M36" s="439"/>
      <c r="N36" s="439"/>
      <c r="O36" s="439"/>
      <c r="P36" s="439"/>
      <c r="Q36" s="440" t="s">
        <v>71</v>
      </c>
      <c r="R36" s="441"/>
      <c r="S36" s="441"/>
      <c r="T36" s="441"/>
      <c r="U36" s="441"/>
      <c r="V36" s="441"/>
      <c r="W36" s="441"/>
      <c r="X36" s="441"/>
      <c r="Y36" s="441"/>
      <c r="Z36" s="441"/>
      <c r="AA36" s="441"/>
      <c r="AB36" s="441"/>
      <c r="AC36" s="441"/>
      <c r="AD36" s="442"/>
    </row>
    <row r="37" spans="1:41" ht="28.5" x14ac:dyDescent="0.25">
      <c r="A37" s="514"/>
      <c r="B37" s="438"/>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94" t="s">
        <v>86</v>
      </c>
      <c r="R37" s="395"/>
      <c r="S37" s="395"/>
      <c r="T37" s="395"/>
      <c r="U37" s="395"/>
      <c r="V37" s="395"/>
      <c r="W37" s="395"/>
      <c r="X37" s="395"/>
      <c r="Y37" s="395"/>
      <c r="Z37" s="395"/>
      <c r="AA37" s="395"/>
      <c r="AB37" s="395"/>
      <c r="AC37" s="395"/>
      <c r="AD37" s="443"/>
    </row>
    <row r="38" spans="1:41" ht="117" customHeight="1" x14ac:dyDescent="0.25">
      <c r="A38" s="471" t="s">
        <v>166</v>
      </c>
      <c r="B38" s="561">
        <v>0.02</v>
      </c>
      <c r="C38" s="90" t="s">
        <v>63</v>
      </c>
      <c r="D38" s="103">
        <v>0</v>
      </c>
      <c r="E38" s="103">
        <v>0.15</v>
      </c>
      <c r="F38" s="103">
        <v>0.25</v>
      </c>
      <c r="G38" s="103">
        <v>0.25</v>
      </c>
      <c r="H38" s="103">
        <v>0.2</v>
      </c>
      <c r="I38" s="326">
        <v>0.03</v>
      </c>
      <c r="J38" s="326">
        <v>0.03</v>
      </c>
      <c r="K38" s="326">
        <v>0.04</v>
      </c>
      <c r="L38" s="326">
        <v>0.05</v>
      </c>
      <c r="M38" s="326">
        <v>0</v>
      </c>
      <c r="N38" s="326">
        <v>0</v>
      </c>
      <c r="O38" s="326">
        <v>0</v>
      </c>
      <c r="P38" s="96">
        <f t="shared" ref="P38:P43" si="4">SUM(D38:O38)</f>
        <v>1.0000000000000002</v>
      </c>
      <c r="Q38" s="606" t="s">
        <v>167</v>
      </c>
      <c r="R38" s="607"/>
      <c r="S38" s="607"/>
      <c r="T38" s="607"/>
      <c r="U38" s="607"/>
      <c r="V38" s="607"/>
      <c r="W38" s="607"/>
      <c r="X38" s="607"/>
      <c r="Y38" s="607"/>
      <c r="Z38" s="607"/>
      <c r="AA38" s="607"/>
      <c r="AB38" s="607"/>
      <c r="AC38" s="607"/>
      <c r="AD38" s="608"/>
    </row>
    <row r="39" spans="1:41" ht="117" customHeight="1" x14ac:dyDescent="0.25">
      <c r="A39" s="468"/>
      <c r="B39" s="524"/>
      <c r="C39" s="99" t="s">
        <v>67</v>
      </c>
      <c r="D39" s="100">
        <v>0</v>
      </c>
      <c r="E39" s="100">
        <v>0.15</v>
      </c>
      <c r="F39" s="100">
        <v>0.25</v>
      </c>
      <c r="G39" s="100">
        <v>0.25</v>
      </c>
      <c r="H39" s="100">
        <v>0.1</v>
      </c>
      <c r="I39" s="100">
        <v>0.03</v>
      </c>
      <c r="J39" s="100">
        <v>0.03</v>
      </c>
      <c r="K39" s="100"/>
      <c r="L39" s="100"/>
      <c r="M39" s="100"/>
      <c r="N39" s="100"/>
      <c r="O39" s="100"/>
      <c r="P39" s="101">
        <f t="shared" si="4"/>
        <v>0.81</v>
      </c>
      <c r="Q39" s="609"/>
      <c r="R39" s="610"/>
      <c r="S39" s="610"/>
      <c r="T39" s="610"/>
      <c r="U39" s="610"/>
      <c r="V39" s="610"/>
      <c r="W39" s="610"/>
      <c r="X39" s="610"/>
      <c r="Y39" s="610"/>
      <c r="Z39" s="610"/>
      <c r="AA39" s="610"/>
      <c r="AB39" s="610"/>
      <c r="AC39" s="610"/>
      <c r="AD39" s="611"/>
    </row>
    <row r="40" spans="1:41" ht="43.5" customHeight="1" x14ac:dyDescent="0.25">
      <c r="A40" s="468" t="s">
        <v>168</v>
      </c>
      <c r="B40" s="612">
        <v>0.02</v>
      </c>
      <c r="C40" s="102" t="s">
        <v>63</v>
      </c>
      <c r="D40" s="103">
        <v>0</v>
      </c>
      <c r="E40" s="103">
        <v>0</v>
      </c>
      <c r="F40" s="103">
        <v>0</v>
      </c>
      <c r="G40" s="103">
        <v>0</v>
      </c>
      <c r="H40" s="103">
        <v>0</v>
      </c>
      <c r="I40" s="326">
        <v>0</v>
      </c>
      <c r="J40" s="326">
        <v>0.05</v>
      </c>
      <c r="K40" s="326">
        <v>0.05</v>
      </c>
      <c r="L40" s="326">
        <v>0.05</v>
      </c>
      <c r="M40" s="326">
        <v>0.25</v>
      </c>
      <c r="N40" s="326">
        <v>0.25</v>
      </c>
      <c r="O40" s="326">
        <v>0.35</v>
      </c>
      <c r="P40" s="101">
        <f t="shared" si="4"/>
        <v>1</v>
      </c>
      <c r="Q40" s="606" t="s">
        <v>169</v>
      </c>
      <c r="R40" s="607"/>
      <c r="S40" s="607"/>
      <c r="T40" s="607"/>
      <c r="U40" s="607"/>
      <c r="V40" s="607"/>
      <c r="W40" s="607"/>
      <c r="X40" s="607"/>
      <c r="Y40" s="607"/>
      <c r="Z40" s="607"/>
      <c r="AA40" s="607"/>
      <c r="AB40" s="607"/>
      <c r="AC40" s="607"/>
      <c r="AD40" s="608"/>
    </row>
    <row r="41" spans="1:41" ht="43.5" customHeight="1" x14ac:dyDescent="0.25">
      <c r="A41" s="468"/>
      <c r="B41" s="524"/>
      <c r="C41" s="99" t="s">
        <v>67</v>
      </c>
      <c r="D41" s="100">
        <v>0</v>
      </c>
      <c r="E41" s="100">
        <v>0</v>
      </c>
      <c r="F41" s="100">
        <v>0</v>
      </c>
      <c r="G41" s="100">
        <v>0</v>
      </c>
      <c r="H41" s="100">
        <v>0</v>
      </c>
      <c r="I41" s="100">
        <v>0</v>
      </c>
      <c r="J41" s="100">
        <v>0.05</v>
      </c>
      <c r="K41" s="100"/>
      <c r="L41" s="104"/>
      <c r="M41" s="104"/>
      <c r="N41" s="104"/>
      <c r="O41" s="104"/>
      <c r="P41" s="101">
        <f t="shared" si="4"/>
        <v>0.05</v>
      </c>
      <c r="Q41" s="609"/>
      <c r="R41" s="610"/>
      <c r="S41" s="610"/>
      <c r="T41" s="610"/>
      <c r="U41" s="610"/>
      <c r="V41" s="610"/>
      <c r="W41" s="610"/>
      <c r="X41" s="610"/>
      <c r="Y41" s="610"/>
      <c r="Z41" s="610"/>
      <c r="AA41" s="610"/>
      <c r="AB41" s="610"/>
      <c r="AC41" s="610"/>
      <c r="AD41" s="611"/>
    </row>
    <row r="42" spans="1:41" ht="255.75" customHeight="1" x14ac:dyDescent="0.25">
      <c r="A42" s="525" t="s">
        <v>170</v>
      </c>
      <c r="B42" s="612">
        <v>0.02</v>
      </c>
      <c r="C42" s="102" t="s">
        <v>63</v>
      </c>
      <c r="D42" s="103">
        <v>0.1</v>
      </c>
      <c r="E42" s="103">
        <v>0.2</v>
      </c>
      <c r="F42" s="103">
        <v>0.3</v>
      </c>
      <c r="G42" s="103">
        <v>0.1</v>
      </c>
      <c r="H42" s="103">
        <v>0.1</v>
      </c>
      <c r="I42" s="326">
        <v>0.05</v>
      </c>
      <c r="J42" s="326">
        <v>0.05</v>
      </c>
      <c r="K42" s="326">
        <v>0.05</v>
      </c>
      <c r="L42" s="326">
        <v>0.05</v>
      </c>
      <c r="M42" s="326">
        <v>0</v>
      </c>
      <c r="N42" s="326">
        <v>0</v>
      </c>
      <c r="O42" s="326">
        <v>0</v>
      </c>
      <c r="P42" s="101">
        <f t="shared" si="4"/>
        <v>1.0000000000000002</v>
      </c>
      <c r="Q42" s="603" t="s">
        <v>171</v>
      </c>
      <c r="R42" s="604"/>
      <c r="S42" s="604"/>
      <c r="T42" s="604"/>
      <c r="U42" s="604"/>
      <c r="V42" s="604"/>
      <c r="W42" s="604"/>
      <c r="X42" s="604"/>
      <c r="Y42" s="604"/>
      <c r="Z42" s="604"/>
      <c r="AA42" s="604"/>
      <c r="AB42" s="604"/>
      <c r="AC42" s="604"/>
      <c r="AD42" s="613"/>
    </row>
    <row r="43" spans="1:41" ht="255.75" customHeight="1" thickBot="1" x14ac:dyDescent="0.3">
      <c r="A43" s="471"/>
      <c r="B43" s="524"/>
      <c r="C43" s="99" t="s">
        <v>67</v>
      </c>
      <c r="D43" s="100">
        <v>0.1</v>
      </c>
      <c r="E43" s="100">
        <v>0.2</v>
      </c>
      <c r="F43" s="100">
        <v>0.3</v>
      </c>
      <c r="G43" s="100">
        <v>0.1</v>
      </c>
      <c r="H43" s="100">
        <v>0.1</v>
      </c>
      <c r="I43" s="100">
        <v>0.05</v>
      </c>
      <c r="J43" s="100">
        <v>0.05</v>
      </c>
      <c r="K43" s="100"/>
      <c r="L43" s="104"/>
      <c r="M43" s="104"/>
      <c r="N43" s="104"/>
      <c r="O43" s="104"/>
      <c r="P43" s="101">
        <f t="shared" si="4"/>
        <v>0.90000000000000013</v>
      </c>
      <c r="Q43" s="605"/>
      <c r="R43" s="605"/>
      <c r="S43" s="605"/>
      <c r="T43" s="605"/>
      <c r="U43" s="605"/>
      <c r="V43" s="605"/>
      <c r="W43" s="605"/>
      <c r="X43" s="605"/>
      <c r="Y43" s="605"/>
      <c r="Z43" s="605"/>
      <c r="AA43" s="605"/>
      <c r="AB43" s="605"/>
      <c r="AC43" s="605"/>
      <c r="AD43" s="614"/>
    </row>
    <row r="55" spans="1:51" s="274" customFormat="1" ht="21.75" customHeight="1" x14ac:dyDescent="0.25">
      <c r="A55" s="488" t="s">
        <v>102</v>
      </c>
      <c r="B55" s="488" t="s">
        <v>69</v>
      </c>
      <c r="C55" s="490" t="s">
        <v>70</v>
      </c>
      <c r="D55" s="491"/>
      <c r="E55" s="491"/>
      <c r="F55" s="491"/>
      <c r="G55" s="491"/>
      <c r="H55" s="491"/>
      <c r="I55" s="491"/>
      <c r="J55" s="491"/>
      <c r="K55" s="491"/>
      <c r="L55" s="491"/>
      <c r="M55" s="491"/>
      <c r="N55" s="491"/>
      <c r="O55" s="491"/>
      <c r="P55" s="492"/>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row>
    <row r="56" spans="1:51" s="274" customFormat="1" ht="21.75" customHeight="1" x14ac:dyDescent="0.25">
      <c r="A56" s="489"/>
      <c r="B56" s="489"/>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row>
    <row r="57" spans="1:51" s="274" customFormat="1" ht="12.75" customHeight="1" x14ac:dyDescent="0.25">
      <c r="A57" s="484" t="str">
        <f>A38</f>
        <v>26. Diseñar y socializar la estrategia de fortalecimiento de capacidades para el ejercicio del derecho a la participación de las mujeres en el Distrito.</v>
      </c>
      <c r="B57" s="494">
        <f>B38</f>
        <v>0.02</v>
      </c>
      <c r="C57" s="199" t="s">
        <v>63</v>
      </c>
      <c r="D57" s="230">
        <f t="shared" ref="D57:O57" si="5">D38*$B$38/$P$38</f>
        <v>0</v>
      </c>
      <c r="E57" s="230">
        <f t="shared" si="5"/>
        <v>2.9999999999999992E-3</v>
      </c>
      <c r="F57" s="230">
        <f t="shared" si="5"/>
        <v>4.9999999999999992E-3</v>
      </c>
      <c r="G57" s="230">
        <f t="shared" si="5"/>
        <v>4.9999999999999992E-3</v>
      </c>
      <c r="H57" s="230">
        <f t="shared" si="5"/>
        <v>3.9999999999999992E-3</v>
      </c>
      <c r="I57" s="230">
        <f t="shared" si="5"/>
        <v>5.9999999999999984E-4</v>
      </c>
      <c r="J57" s="230">
        <f t="shared" si="5"/>
        <v>5.9999999999999984E-4</v>
      </c>
      <c r="K57" s="230">
        <f t="shared" si="5"/>
        <v>7.9999999999999982E-4</v>
      </c>
      <c r="L57" s="230">
        <f t="shared" si="5"/>
        <v>9.999999999999998E-4</v>
      </c>
      <c r="M57" s="230">
        <f t="shared" si="5"/>
        <v>0</v>
      </c>
      <c r="N57" s="230">
        <f t="shared" si="5"/>
        <v>0</v>
      </c>
      <c r="O57" s="230">
        <f t="shared" si="5"/>
        <v>0</v>
      </c>
      <c r="P57" s="231">
        <f t="shared" ref="P57:P60" si="6">SUM(D57:O57)</f>
        <v>1.9999999999999997E-2</v>
      </c>
      <c r="Q57" s="108">
        <v>0.05</v>
      </c>
      <c r="R57" s="232">
        <f>+P57-Q57</f>
        <v>-3.0000000000000006E-2</v>
      </c>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13"/>
      <c r="AR57" s="213"/>
      <c r="AS57" s="213"/>
      <c r="AT57" s="213"/>
      <c r="AU57" s="213"/>
      <c r="AV57" s="213"/>
      <c r="AW57" s="213"/>
      <c r="AX57" s="213"/>
      <c r="AY57" s="213"/>
    </row>
    <row r="58" spans="1:51" s="274" customFormat="1" ht="12.75" customHeight="1" x14ac:dyDescent="0.25">
      <c r="A58" s="493"/>
      <c r="B58" s="495"/>
      <c r="C58" s="204" t="s">
        <v>67</v>
      </c>
      <c r="D58" s="234">
        <f t="shared" ref="D58:O58" si="7">D39*$B$38/$P$38</f>
        <v>0</v>
      </c>
      <c r="E58" s="234">
        <f t="shared" si="7"/>
        <v>2.9999999999999992E-3</v>
      </c>
      <c r="F58" s="234">
        <f t="shared" si="7"/>
        <v>4.9999999999999992E-3</v>
      </c>
      <c r="G58" s="234">
        <f t="shared" si="7"/>
        <v>4.9999999999999992E-3</v>
      </c>
      <c r="H58" s="234">
        <f t="shared" si="7"/>
        <v>1.9999999999999996E-3</v>
      </c>
      <c r="I58" s="234">
        <f t="shared" si="7"/>
        <v>5.9999999999999984E-4</v>
      </c>
      <c r="J58" s="234">
        <f t="shared" si="7"/>
        <v>5.9999999999999984E-4</v>
      </c>
      <c r="K58" s="234">
        <f t="shared" si="7"/>
        <v>0</v>
      </c>
      <c r="L58" s="234">
        <f t="shared" si="7"/>
        <v>0</v>
      </c>
      <c r="M58" s="234">
        <f t="shared" si="7"/>
        <v>0</v>
      </c>
      <c r="N58" s="234">
        <f t="shared" si="7"/>
        <v>0</v>
      </c>
      <c r="O58" s="234">
        <f t="shared" si="7"/>
        <v>0</v>
      </c>
      <c r="P58" s="235">
        <f t="shared" si="6"/>
        <v>1.6199999999999999E-2</v>
      </c>
      <c r="Q58" s="236">
        <f>+P58</f>
        <v>1.6199999999999999E-2</v>
      </c>
      <c r="R58" s="232">
        <f t="shared" ref="R58:R62" si="8">+P58-Q58</f>
        <v>0</v>
      </c>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13"/>
      <c r="AR58" s="213"/>
      <c r="AS58" s="213"/>
      <c r="AT58" s="213"/>
      <c r="AU58" s="213"/>
      <c r="AV58" s="213"/>
      <c r="AW58" s="213"/>
      <c r="AX58" s="213"/>
      <c r="AY58" s="213"/>
    </row>
    <row r="59" spans="1:51" s="274" customFormat="1" ht="12.75" customHeight="1" x14ac:dyDescent="0.25">
      <c r="A59" s="484" t="str">
        <f>A40</f>
        <v>27. Realizar una implementación piloto de la estrategia de fortalecimiento de capacidades para el ejercicio del derecho a la participación de las mujeres en el Distrito.</v>
      </c>
      <c r="B59" s="486">
        <f>B40</f>
        <v>0.02</v>
      </c>
      <c r="C59" s="199" t="s">
        <v>63</v>
      </c>
      <c r="D59" s="230">
        <f t="shared" ref="D59:O59" si="9">D40*$B$40/$P$40</f>
        <v>0</v>
      </c>
      <c r="E59" s="230">
        <f t="shared" si="9"/>
        <v>0</v>
      </c>
      <c r="F59" s="230">
        <f t="shared" si="9"/>
        <v>0</v>
      </c>
      <c r="G59" s="230">
        <f t="shared" si="9"/>
        <v>0</v>
      </c>
      <c r="H59" s="230">
        <f t="shared" si="9"/>
        <v>0</v>
      </c>
      <c r="I59" s="230">
        <f t="shared" si="9"/>
        <v>0</v>
      </c>
      <c r="J59" s="230">
        <f t="shared" si="9"/>
        <v>1E-3</v>
      </c>
      <c r="K59" s="230">
        <f t="shared" si="9"/>
        <v>1E-3</v>
      </c>
      <c r="L59" s="230">
        <f t="shared" si="9"/>
        <v>1E-3</v>
      </c>
      <c r="M59" s="230">
        <f t="shared" si="9"/>
        <v>5.0000000000000001E-3</v>
      </c>
      <c r="N59" s="230">
        <f t="shared" si="9"/>
        <v>5.0000000000000001E-3</v>
      </c>
      <c r="O59" s="230">
        <f t="shared" si="9"/>
        <v>6.9999999999999993E-3</v>
      </c>
      <c r="P59" s="231">
        <f t="shared" si="6"/>
        <v>0.02</v>
      </c>
      <c r="Q59" s="108">
        <v>2.5000000000000001E-2</v>
      </c>
      <c r="R59" s="232">
        <f t="shared" si="8"/>
        <v>-5.000000000000001E-3</v>
      </c>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13"/>
      <c r="AR59" s="213"/>
      <c r="AS59" s="213"/>
      <c r="AT59" s="213"/>
      <c r="AU59" s="213"/>
      <c r="AV59" s="213"/>
      <c r="AW59" s="213"/>
      <c r="AX59" s="213"/>
      <c r="AY59" s="213"/>
    </row>
    <row r="60" spans="1:51" s="274" customFormat="1" ht="12.75" customHeight="1" x14ac:dyDescent="0.25">
      <c r="A60" s="485"/>
      <c r="B60" s="487"/>
      <c r="C60" s="204" t="s">
        <v>67</v>
      </c>
      <c r="D60" s="234">
        <f t="shared" ref="D60:O60" si="10">D41*$B$40/$P$40</f>
        <v>0</v>
      </c>
      <c r="E60" s="234">
        <f t="shared" si="10"/>
        <v>0</v>
      </c>
      <c r="F60" s="234">
        <f t="shared" si="10"/>
        <v>0</v>
      </c>
      <c r="G60" s="234">
        <f t="shared" si="10"/>
        <v>0</v>
      </c>
      <c r="H60" s="234">
        <f t="shared" si="10"/>
        <v>0</v>
      </c>
      <c r="I60" s="234">
        <f t="shared" si="10"/>
        <v>0</v>
      </c>
      <c r="J60" s="234">
        <f t="shared" si="10"/>
        <v>1E-3</v>
      </c>
      <c r="K60" s="234">
        <f t="shared" si="10"/>
        <v>0</v>
      </c>
      <c r="L60" s="234">
        <f t="shared" si="10"/>
        <v>0</v>
      </c>
      <c r="M60" s="234">
        <f t="shared" si="10"/>
        <v>0</v>
      </c>
      <c r="N60" s="234">
        <f t="shared" si="10"/>
        <v>0</v>
      </c>
      <c r="O60" s="234">
        <f t="shared" si="10"/>
        <v>0</v>
      </c>
      <c r="P60" s="235">
        <f t="shared" si="6"/>
        <v>1E-3</v>
      </c>
      <c r="Q60" s="236">
        <f>+P60</f>
        <v>1E-3</v>
      </c>
      <c r="R60" s="232">
        <f t="shared" si="8"/>
        <v>0</v>
      </c>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13"/>
      <c r="AR60" s="213"/>
      <c r="AS60" s="213"/>
      <c r="AT60" s="213"/>
      <c r="AU60" s="213"/>
      <c r="AV60" s="213"/>
      <c r="AW60" s="213"/>
      <c r="AX60" s="213"/>
      <c r="AY60" s="213"/>
    </row>
    <row r="61" spans="1:51" s="274" customFormat="1" ht="12.75" customHeight="1" x14ac:dyDescent="0.25">
      <c r="A61" s="484" t="str">
        <f>A42</f>
        <v>28. Implementar el proceso eleccionario del Consejo Consultivo de Mujeres - Espacio Autónomo y posesionar las Consejeras Consultivas electas.</v>
      </c>
      <c r="B61" s="486">
        <f>B42</f>
        <v>0.02</v>
      </c>
      <c r="C61" s="199" t="s">
        <v>63</v>
      </c>
      <c r="D61" s="230">
        <f t="shared" ref="D61:O61" si="11">D42*$B$42/$P$42</f>
        <v>1.9999999999999996E-3</v>
      </c>
      <c r="E61" s="230">
        <f t="shared" si="11"/>
        <v>3.9999999999999992E-3</v>
      </c>
      <c r="F61" s="230">
        <f t="shared" si="11"/>
        <v>5.9999999999999984E-3</v>
      </c>
      <c r="G61" s="230">
        <f t="shared" si="11"/>
        <v>1.9999999999999996E-3</v>
      </c>
      <c r="H61" s="230">
        <f t="shared" si="11"/>
        <v>1.9999999999999996E-3</v>
      </c>
      <c r="I61" s="230">
        <f t="shared" si="11"/>
        <v>9.999999999999998E-4</v>
      </c>
      <c r="J61" s="230">
        <f t="shared" si="11"/>
        <v>9.999999999999998E-4</v>
      </c>
      <c r="K61" s="230">
        <f t="shared" si="11"/>
        <v>9.999999999999998E-4</v>
      </c>
      <c r="L61" s="230">
        <f t="shared" si="11"/>
        <v>9.999999999999998E-4</v>
      </c>
      <c r="M61" s="230">
        <f t="shared" si="11"/>
        <v>0</v>
      </c>
      <c r="N61" s="230">
        <f t="shared" si="11"/>
        <v>0</v>
      </c>
      <c r="O61" s="230">
        <f t="shared" si="11"/>
        <v>0</v>
      </c>
      <c r="P61" s="231">
        <f t="shared" ref="P61:P62" si="12">SUM(D61:O61)</f>
        <v>0.02</v>
      </c>
      <c r="Q61" s="108">
        <v>2.5000000000000001E-2</v>
      </c>
      <c r="R61" s="232">
        <f t="shared" si="8"/>
        <v>-5.000000000000001E-3</v>
      </c>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13"/>
      <c r="AR61" s="213"/>
      <c r="AS61" s="213"/>
      <c r="AT61" s="213"/>
      <c r="AU61" s="213"/>
      <c r="AV61" s="213"/>
      <c r="AW61" s="213"/>
      <c r="AX61" s="213"/>
      <c r="AY61" s="213"/>
    </row>
    <row r="62" spans="1:51" s="274" customFormat="1" ht="12.75" customHeight="1" x14ac:dyDescent="0.25">
      <c r="A62" s="485"/>
      <c r="B62" s="487"/>
      <c r="C62" s="204" t="s">
        <v>67</v>
      </c>
      <c r="D62" s="234">
        <f t="shared" ref="D62:O62" si="13">D43*$B$42/$P$42</f>
        <v>1.9999999999999996E-3</v>
      </c>
      <c r="E62" s="234">
        <f t="shared" si="13"/>
        <v>3.9999999999999992E-3</v>
      </c>
      <c r="F62" s="234">
        <f t="shared" si="13"/>
        <v>5.9999999999999984E-3</v>
      </c>
      <c r="G62" s="234">
        <f t="shared" si="13"/>
        <v>1.9999999999999996E-3</v>
      </c>
      <c r="H62" s="234">
        <f t="shared" si="13"/>
        <v>1.9999999999999996E-3</v>
      </c>
      <c r="I62" s="234">
        <f t="shared" si="13"/>
        <v>9.999999999999998E-4</v>
      </c>
      <c r="J62" s="234">
        <f t="shared" si="13"/>
        <v>9.999999999999998E-4</v>
      </c>
      <c r="K62" s="234">
        <f t="shared" si="13"/>
        <v>0</v>
      </c>
      <c r="L62" s="234">
        <f t="shared" si="13"/>
        <v>0</v>
      </c>
      <c r="M62" s="234">
        <f t="shared" si="13"/>
        <v>0</v>
      </c>
      <c r="N62" s="234">
        <f t="shared" si="13"/>
        <v>0</v>
      </c>
      <c r="O62" s="234">
        <f t="shared" si="13"/>
        <v>0</v>
      </c>
      <c r="P62" s="235">
        <f t="shared" si="12"/>
        <v>1.7999999999999999E-2</v>
      </c>
      <c r="Q62" s="236">
        <f>+P62</f>
        <v>1.7999999999999999E-2</v>
      </c>
      <c r="R62" s="232">
        <f t="shared" si="8"/>
        <v>0</v>
      </c>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13"/>
      <c r="AR62" s="213"/>
      <c r="AS62" s="213"/>
      <c r="AT62" s="213"/>
      <c r="AU62" s="213"/>
      <c r="AV62" s="213"/>
      <c r="AW62" s="213"/>
      <c r="AX62" s="213"/>
      <c r="AY62" s="213"/>
    </row>
    <row r="63" spans="1:51" s="274" customFormat="1" ht="15.75" customHeight="1" x14ac:dyDescent="0.25">
      <c r="A63" s="233"/>
      <c r="B63" s="233"/>
      <c r="C63" s="237"/>
      <c r="D63" s="238">
        <f>D58+D60+D62</f>
        <v>1.9999999999999996E-3</v>
      </c>
      <c r="E63" s="238">
        <f t="shared" ref="E63:O63" si="14">E58+E60+E62</f>
        <v>6.9999999999999984E-3</v>
      </c>
      <c r="F63" s="238">
        <f t="shared" si="14"/>
        <v>1.0999999999999998E-2</v>
      </c>
      <c r="G63" s="238">
        <f t="shared" si="14"/>
        <v>6.9999999999999993E-3</v>
      </c>
      <c r="H63" s="238">
        <f t="shared" si="14"/>
        <v>3.9999999999999992E-3</v>
      </c>
      <c r="I63" s="238">
        <f t="shared" si="14"/>
        <v>1.5999999999999996E-3</v>
      </c>
      <c r="J63" s="238">
        <f t="shared" si="14"/>
        <v>2.5999999999999999E-3</v>
      </c>
      <c r="K63" s="238">
        <f t="shared" si="14"/>
        <v>0</v>
      </c>
      <c r="L63" s="238">
        <f t="shared" si="14"/>
        <v>0</v>
      </c>
      <c r="M63" s="238">
        <f t="shared" si="14"/>
        <v>0</v>
      </c>
      <c r="N63" s="238">
        <f t="shared" si="14"/>
        <v>0</v>
      </c>
      <c r="O63" s="238">
        <f t="shared" si="14"/>
        <v>0</v>
      </c>
      <c r="P63" s="238">
        <f>P58+P60+P62</f>
        <v>3.5199999999999995E-2</v>
      </c>
      <c r="Q63" s="233"/>
      <c r="R63" s="232">
        <f>+P63-Q63</f>
        <v>3.5199999999999995E-2</v>
      </c>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51" s="274" customFormat="1" ht="15.75" customHeight="1" x14ac:dyDescent="0.25">
      <c r="A64" s="213"/>
      <c r="B64" s="213"/>
      <c r="C64" s="217" t="s">
        <v>67</v>
      </c>
      <c r="D64" s="239">
        <f>D63*$W$17/$B$34</f>
        <v>9.9999999999999985E-3</v>
      </c>
      <c r="E64" s="239">
        <f t="shared" ref="E64:O64" si="15">E63*$W$17/$B$34</f>
        <v>3.4999999999999989E-2</v>
      </c>
      <c r="F64" s="239">
        <f t="shared" si="15"/>
        <v>5.4999999999999986E-2</v>
      </c>
      <c r="G64" s="239">
        <f t="shared" si="15"/>
        <v>3.4999999999999996E-2</v>
      </c>
      <c r="H64" s="239">
        <f t="shared" si="15"/>
        <v>1.9999999999999997E-2</v>
      </c>
      <c r="I64" s="239">
        <f t="shared" si="15"/>
        <v>7.9999999999999984E-3</v>
      </c>
      <c r="J64" s="239">
        <f t="shared" si="15"/>
        <v>1.2999999999999999E-2</v>
      </c>
      <c r="K64" s="239">
        <f t="shared" si="15"/>
        <v>0</v>
      </c>
      <c r="L64" s="239">
        <f t="shared" si="15"/>
        <v>0</v>
      </c>
      <c r="M64" s="239">
        <f t="shared" si="15"/>
        <v>0</v>
      </c>
      <c r="N64" s="239">
        <f t="shared" si="15"/>
        <v>0</v>
      </c>
      <c r="O64" s="239">
        <f t="shared" si="15"/>
        <v>0</v>
      </c>
      <c r="P64" s="240">
        <f>SUM(D64:O64)</f>
        <v>0.17599999999999999</v>
      </c>
      <c r="Q64" s="212"/>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row>
    <row r="65" spans="1:51" s="274" customFormat="1" ht="13.5" customHeight="1" x14ac:dyDescent="0.25">
      <c r="A65" s="212"/>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row>
    <row r="66" spans="1:51" x14ac:dyDescent="0.25">
      <c r="D66" s="238">
        <f>D57+D59+D61</f>
        <v>1.9999999999999996E-3</v>
      </c>
      <c r="E66" s="238">
        <f t="shared" ref="E66:O66" si="16">E57+E59+E61</f>
        <v>6.9999999999999984E-3</v>
      </c>
      <c r="F66" s="238">
        <f t="shared" si="16"/>
        <v>1.0999999999999998E-2</v>
      </c>
      <c r="G66" s="238">
        <f t="shared" si="16"/>
        <v>6.9999999999999993E-3</v>
      </c>
      <c r="H66" s="238">
        <f t="shared" si="16"/>
        <v>5.9999999999999984E-3</v>
      </c>
      <c r="I66" s="238">
        <f t="shared" si="16"/>
        <v>1.5999999999999996E-3</v>
      </c>
      <c r="J66" s="238">
        <f t="shared" si="16"/>
        <v>2.5999999999999999E-3</v>
      </c>
      <c r="K66" s="238">
        <f t="shared" si="16"/>
        <v>2.7999999999999995E-3</v>
      </c>
      <c r="L66" s="238">
        <f t="shared" si="16"/>
        <v>3.0000000000000001E-3</v>
      </c>
      <c r="M66" s="238">
        <f t="shared" si="16"/>
        <v>5.0000000000000001E-3</v>
      </c>
      <c r="N66" s="238">
        <f t="shared" si="16"/>
        <v>5.0000000000000001E-3</v>
      </c>
      <c r="O66" s="238">
        <f t="shared" si="16"/>
        <v>6.9999999999999993E-3</v>
      </c>
      <c r="P66" s="238">
        <f>SUM(D66:O66)</f>
        <v>5.9999999999999984E-2</v>
      </c>
    </row>
    <row r="67" spans="1:51" s="274" customFormat="1" ht="15.75" customHeight="1" x14ac:dyDescent="0.25">
      <c r="A67" s="213"/>
      <c r="B67" s="213"/>
      <c r="C67" s="217" t="s">
        <v>63</v>
      </c>
      <c r="D67" s="239">
        <f>D66*$W$17/$B$34</f>
        <v>9.9999999999999985E-3</v>
      </c>
      <c r="E67" s="239">
        <f t="shared" ref="E67:O67" si="17">E66*$W$17/$B$34</f>
        <v>3.4999999999999989E-2</v>
      </c>
      <c r="F67" s="239">
        <f t="shared" si="17"/>
        <v>5.4999999999999986E-2</v>
      </c>
      <c r="G67" s="239">
        <f t="shared" si="17"/>
        <v>3.4999999999999996E-2</v>
      </c>
      <c r="H67" s="239">
        <f t="shared" si="17"/>
        <v>2.9999999999999992E-2</v>
      </c>
      <c r="I67" s="239">
        <f t="shared" si="17"/>
        <v>7.9999999999999984E-3</v>
      </c>
      <c r="J67" s="239">
        <f t="shared" si="17"/>
        <v>1.2999999999999999E-2</v>
      </c>
      <c r="K67" s="239">
        <f t="shared" si="17"/>
        <v>1.3999999999999997E-2</v>
      </c>
      <c r="L67" s="239">
        <f t="shared" si="17"/>
        <v>1.4999999999999999E-2</v>
      </c>
      <c r="M67" s="239">
        <f t="shared" si="17"/>
        <v>2.5000000000000001E-2</v>
      </c>
      <c r="N67" s="239">
        <f t="shared" si="17"/>
        <v>2.5000000000000001E-2</v>
      </c>
      <c r="O67" s="239">
        <f t="shared" si="17"/>
        <v>3.4999999999999996E-2</v>
      </c>
      <c r="P67" s="240">
        <f>SUM(D67:O67)</f>
        <v>0.29999999999999993</v>
      </c>
      <c r="Q67" s="212"/>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row>
  </sheetData>
  <mergeCells count="82">
    <mergeCell ref="A59:A60"/>
    <mergeCell ref="B59:B60"/>
    <mergeCell ref="A61:A62"/>
    <mergeCell ref="B61:B62"/>
    <mergeCell ref="A55:A56"/>
    <mergeCell ref="B55:B56"/>
    <mergeCell ref="C55:P55"/>
    <mergeCell ref="A57:A58"/>
    <mergeCell ref="B57:B58"/>
    <mergeCell ref="A40:A41"/>
    <mergeCell ref="B40:B41"/>
    <mergeCell ref="Q40:AD41"/>
    <mergeCell ref="A42:A43"/>
    <mergeCell ref="B42:B43"/>
    <mergeCell ref="Q42:AD43"/>
    <mergeCell ref="A38:A39"/>
    <mergeCell ref="B38:B39"/>
    <mergeCell ref="Q38:AD39"/>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7:AD27"/>
    <mergeCell ref="A28:A29"/>
    <mergeCell ref="B28:C29"/>
    <mergeCell ref="D28:O28"/>
    <mergeCell ref="P28:P29"/>
    <mergeCell ref="Q28:AD29"/>
    <mergeCell ref="AC17:AD17"/>
    <mergeCell ref="A19:AD19"/>
    <mergeCell ref="C20:P20"/>
    <mergeCell ref="Q20:AD20"/>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phoneticPr fontId="50" type="noConversion"/>
  <dataValidations count="5">
    <dataValidation type="textLength" operator="lessThanOrEqual" allowBlank="1" showInputMessage="1" showErrorMessage="1" errorTitle="Máximo 2.000 caracteres" error="Máximo 2.000 caracteres" sqref="Q40:AD41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 type="textLength" operator="lessThanOrEqual" allowBlank="1" showInputMessage="1" showErrorMessage="1" errorTitle="Máximo 2.000 caracteres" error="Máximo 2.000 caracteres" sqref="Q42:AD43" xr:uid="{CA1BA289-4467-45AB-9801-7A1D336E626F}">
      <formula1>14000</formula1>
    </dataValidation>
    <dataValidation type="textLength" operator="lessThanOrEqual" allowBlank="1" showInputMessage="1" showErrorMessage="1" errorTitle="Máximo 2.000 caracteres" error="Máximo 2.000 caracteres" sqref="Q38:AD39" xr:uid="{3198B8ED-E730-4BE5-A536-370C6EC36D17}">
      <formula1>20000</formula1>
    </dataValidation>
  </dataValidations>
  <printOptions horizontalCentered="1"/>
  <pageMargins left="0.19685039370078741" right="0.19685039370078741" top="0.19685039370078741" bottom="0.19685039370078741" header="0" footer="0"/>
  <pageSetup scale="2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7030A0"/>
  </sheetPr>
  <dimension ref="A1:AY75"/>
  <sheetViews>
    <sheetView view="pageBreakPreview" topLeftCell="A21" zoomScale="82" zoomScaleNormal="75" zoomScaleSheetLayoutView="82" workbookViewId="0">
      <selection activeCell="D35" sqref="D35:J35"/>
    </sheetView>
  </sheetViews>
  <sheetFormatPr baseColWidth="10" defaultColWidth="11.42578125" defaultRowHeight="15" x14ac:dyDescent="0.25"/>
  <cols>
    <col min="1" max="1" width="37.42578125" style="108" customWidth="1"/>
    <col min="2" max="2" width="11.42578125" style="108"/>
    <col min="3" max="3" width="17.42578125" style="108" customWidth="1"/>
    <col min="4" max="16" width="15.42578125" style="108" customWidth="1"/>
    <col min="17" max="17" width="16" style="108" bestFit="1" customWidth="1"/>
    <col min="18" max="28" width="14.85546875" style="108" bestFit="1" customWidth="1"/>
    <col min="29" max="29" width="16" style="108" bestFit="1" customWidth="1"/>
    <col min="30" max="30" width="11.42578125" style="108"/>
    <col min="31" max="31" width="17" style="108" customWidth="1"/>
    <col min="32" max="32" width="14.42578125" style="108" bestFit="1" customWidth="1"/>
    <col min="33" max="16384" width="11.42578125" style="108"/>
  </cols>
  <sheetData>
    <row r="1" spans="1:30" ht="1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15.75"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6.5"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15.75"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75"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x14ac:dyDescent="0.25">
      <c r="A11" s="358" t="s">
        <v>15</v>
      </c>
      <c r="B11" s="359"/>
      <c r="C11" s="496" t="s">
        <v>142</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1:30" x14ac:dyDescent="0.25">
      <c r="A12" s="360"/>
      <c r="B12" s="36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1"/>
    </row>
    <row r="13" spans="1:30" ht="15.75" thickBot="1" x14ac:dyDescent="0.3">
      <c r="A13" s="362"/>
      <c r="B13" s="363"/>
      <c r="C13" s="502"/>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9" t="s">
        <v>143</v>
      </c>
      <c r="D15" s="510"/>
      <c r="E15" s="510"/>
      <c r="F15" s="510"/>
      <c r="G15" s="510"/>
      <c r="H15" s="510"/>
      <c r="I15" s="510"/>
      <c r="J15" s="510"/>
      <c r="K15" s="511"/>
      <c r="L15" s="420" t="s">
        <v>19</v>
      </c>
      <c r="M15" s="424"/>
      <c r="N15" s="424"/>
      <c r="O15" s="424"/>
      <c r="P15" s="424"/>
      <c r="Q15" s="421"/>
      <c r="R15" s="417" t="s">
        <v>20</v>
      </c>
      <c r="S15" s="418"/>
      <c r="T15" s="418"/>
      <c r="U15" s="418"/>
      <c r="V15" s="418"/>
      <c r="W15" s="418"/>
      <c r="X15" s="419"/>
      <c r="Y15" s="420" t="s">
        <v>21</v>
      </c>
      <c r="Z15" s="421"/>
      <c r="AA15" s="403" t="s">
        <v>22</v>
      </c>
      <c r="AB15" s="404"/>
      <c r="AC15" s="404"/>
      <c r="AD15" s="405"/>
    </row>
    <row r="16" spans="1:30" ht="15.75"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33" ht="28.5" customHeight="1" thickBot="1" x14ac:dyDescent="0.3">
      <c r="A17" s="407" t="s">
        <v>23</v>
      </c>
      <c r="B17" s="408"/>
      <c r="C17" s="506" t="s">
        <v>172</v>
      </c>
      <c r="D17" s="507"/>
      <c r="E17" s="507"/>
      <c r="F17" s="507"/>
      <c r="G17" s="507"/>
      <c r="H17" s="507"/>
      <c r="I17" s="507"/>
      <c r="J17" s="507"/>
      <c r="K17" s="507"/>
      <c r="L17" s="507"/>
      <c r="M17" s="507"/>
      <c r="N17" s="507"/>
      <c r="O17" s="507"/>
      <c r="P17" s="507"/>
      <c r="Q17" s="508"/>
      <c r="R17" s="420" t="s">
        <v>25</v>
      </c>
      <c r="S17" s="424"/>
      <c r="T17" s="424"/>
      <c r="U17" s="424"/>
      <c r="V17" s="421"/>
      <c r="W17" s="422">
        <v>4</v>
      </c>
      <c r="X17" s="423"/>
      <c r="Y17" s="424" t="s">
        <v>26</v>
      </c>
      <c r="Z17" s="424"/>
      <c r="AA17" s="424"/>
      <c r="AB17" s="421"/>
      <c r="AC17" s="412">
        <v>0.05</v>
      </c>
      <c r="AD17" s="413"/>
    </row>
    <row r="18" spans="1:33"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33"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33"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33" ht="32.25" customHeight="1" thickBot="1" x14ac:dyDescent="0.3">
      <c r="A21" s="59"/>
      <c r="B21" s="271"/>
      <c r="C21" s="260"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260"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33" ht="32.25" customHeight="1" x14ac:dyDescent="0.25">
      <c r="A22" s="187" t="s">
        <v>43</v>
      </c>
      <c r="B22" s="272"/>
      <c r="C22" s="264" t="str">
        <f>'Meta 5 SCPI'!C22</f>
        <v>-</v>
      </c>
      <c r="D22" s="263"/>
      <c r="E22" s="263"/>
      <c r="F22" s="263"/>
      <c r="G22" s="263"/>
      <c r="H22" s="263"/>
      <c r="I22" s="263"/>
      <c r="J22" s="263"/>
      <c r="K22" s="263"/>
      <c r="L22" s="263"/>
      <c r="M22" s="263"/>
      <c r="N22" s="263"/>
      <c r="O22" s="263">
        <f>SUM(C22:N22)</f>
        <v>0</v>
      </c>
      <c r="P22" s="261"/>
      <c r="Q22" s="262">
        <v>248289520</v>
      </c>
      <c r="R22" s="263"/>
      <c r="S22" s="263"/>
      <c r="T22" s="263"/>
      <c r="U22" s="263"/>
      <c r="V22" s="263"/>
      <c r="W22" s="263"/>
      <c r="X22" s="263"/>
      <c r="Y22" s="263"/>
      <c r="Z22" s="263"/>
      <c r="AA22" s="263"/>
      <c r="AB22" s="263"/>
      <c r="AC22" s="263">
        <f>SUM(Q22:AB22)</f>
        <v>248289520</v>
      </c>
      <c r="AD22" s="313"/>
      <c r="AE22" s="224"/>
      <c r="AF22" s="224"/>
    </row>
    <row r="23" spans="1:33"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64">
        <v>248289520</v>
      </c>
      <c r="R23" s="265">
        <f>271741300-Q23</f>
        <v>23451780</v>
      </c>
      <c r="S23" s="265">
        <f>247651630-Q23-R23</f>
        <v>-24089670</v>
      </c>
      <c r="T23" s="265">
        <v>0</v>
      </c>
      <c r="U23" s="265">
        <f>247651630-Q23-R23-S23-T23</f>
        <v>0</v>
      </c>
      <c r="V23" s="265">
        <f>247651630-Q23-R23-S23-T23-U23</f>
        <v>0</v>
      </c>
      <c r="W23" s="265">
        <f>247651630-Q23-R23-S23-T23-U23-V23</f>
        <v>0</v>
      </c>
      <c r="X23" s="265"/>
      <c r="Y23" s="265"/>
      <c r="Z23" s="265"/>
      <c r="AA23" s="265"/>
      <c r="AB23" s="265"/>
      <c r="AC23" s="265">
        <f>SUM(Q23:AB23)</f>
        <v>247651630</v>
      </c>
      <c r="AD23" s="315">
        <f>(SUM(Q23:W23)/SUM(Q22:W22))</f>
        <v>0.99743086216446031</v>
      </c>
      <c r="AE23" s="224"/>
      <c r="AF23" s="224"/>
    </row>
    <row r="24" spans="1:33" ht="32.25" customHeight="1" x14ac:dyDescent="0.25">
      <c r="A24" s="188" t="s">
        <v>47</v>
      </c>
      <c r="B24" s="189"/>
      <c r="C24" s="264"/>
      <c r="D24" s="265"/>
      <c r="E24" s="265"/>
      <c r="F24" s="265"/>
      <c r="G24" s="265">
        <f>374000-374000</f>
        <v>0</v>
      </c>
      <c r="H24" s="263">
        <v>0</v>
      </c>
      <c r="I24" s="263">
        <v>0</v>
      </c>
      <c r="J24" s="263"/>
      <c r="K24" s="263"/>
      <c r="L24" s="263"/>
      <c r="M24" s="263"/>
      <c r="N24" s="263"/>
      <c r="O24" s="265">
        <f>SUM(C24:N24)</f>
        <v>0</v>
      </c>
      <c r="P24" s="261"/>
      <c r="Q24" s="266"/>
      <c r="R24" s="265">
        <v>11411058.6666667</v>
      </c>
      <c r="S24" s="263">
        <v>21932470</v>
      </c>
      <c r="T24" s="263">
        <v>21932470</v>
      </c>
      <c r="U24" s="263">
        <v>21932470</v>
      </c>
      <c r="V24" s="263">
        <v>21932470</v>
      </c>
      <c r="W24" s="265">
        <v>21932470</v>
      </c>
      <c r="X24" s="265">
        <v>21932470</v>
      </c>
      <c r="Y24" s="265">
        <v>21932470</v>
      </c>
      <c r="Z24" s="265">
        <v>21932470</v>
      </c>
      <c r="AA24" s="265">
        <v>21932470</v>
      </c>
      <c r="AB24" s="265">
        <v>39486231.380000003</v>
      </c>
      <c r="AC24" s="265">
        <f>SUM(Q24:AB24)</f>
        <v>248289520.04666668</v>
      </c>
      <c r="AD24" s="312"/>
      <c r="AE24" s="224"/>
      <c r="AF24" s="224"/>
      <c r="AG24" s="225"/>
    </row>
    <row r="25" spans="1:33" ht="32.25" customHeight="1" thickBot="1" x14ac:dyDescent="0.3">
      <c r="A25" s="190" t="s">
        <v>48</v>
      </c>
      <c r="B25" s="273"/>
      <c r="C25" s="267">
        <v>0</v>
      </c>
      <c r="D25" s="268">
        <v>0</v>
      </c>
      <c r="E25" s="268">
        <v>0</v>
      </c>
      <c r="F25" s="268">
        <v>0</v>
      </c>
      <c r="G25" s="268">
        <v>0</v>
      </c>
      <c r="H25" s="268">
        <v>0</v>
      </c>
      <c r="I25" s="268">
        <v>0</v>
      </c>
      <c r="J25" s="268"/>
      <c r="K25" s="268"/>
      <c r="L25" s="268"/>
      <c r="M25" s="268"/>
      <c r="N25" s="268"/>
      <c r="O25" s="309">
        <f>SUM(C25:N25)</f>
        <v>0</v>
      </c>
      <c r="P25" s="311"/>
      <c r="Q25" s="310"/>
      <c r="R25" s="309">
        <v>11353068</v>
      </c>
      <c r="S25" s="309">
        <f>33227549-R25</f>
        <v>21874481</v>
      </c>
      <c r="T25" s="309">
        <v>21874480</v>
      </c>
      <c r="U25" s="309">
        <f>76976509-R25-S25-T25</f>
        <v>21874480</v>
      </c>
      <c r="V25" s="309">
        <f>98850989-R25-S25-T25-U25</f>
        <v>21874480</v>
      </c>
      <c r="W25" s="309">
        <f>120725469-R25-S25-T25-U25-V25</f>
        <v>21874480</v>
      </c>
      <c r="X25" s="309"/>
      <c r="Y25" s="309"/>
      <c r="Z25" s="309"/>
      <c r="AA25" s="309"/>
      <c r="AB25" s="309"/>
      <c r="AC25" s="309">
        <f>SUM(Q25:AB25)</f>
        <v>120725469</v>
      </c>
      <c r="AD25" s="316">
        <f>(SUM(Q25:W25)/SUM(Q24:W24))</f>
        <v>0.99712620904541782</v>
      </c>
      <c r="AE25" s="224"/>
      <c r="AF25" s="224"/>
      <c r="AG25" s="225"/>
    </row>
    <row r="26" spans="1:33" ht="15.75"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33"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33"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33"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33" ht="30" customHeight="1" thickBot="1" x14ac:dyDescent="0.3">
      <c r="A30" s="85"/>
      <c r="B30" s="512"/>
      <c r="C30" s="513"/>
      <c r="D30" s="89"/>
      <c r="E30" s="89"/>
      <c r="F30" s="89"/>
      <c r="G30" s="89"/>
      <c r="H30" s="89"/>
      <c r="I30" s="89"/>
      <c r="J30" s="89"/>
      <c r="K30" s="89"/>
      <c r="L30" s="89"/>
      <c r="M30" s="89"/>
      <c r="N30" s="89"/>
      <c r="O30" s="89"/>
      <c r="P30" s="86">
        <f>SUM(D30:O30)</f>
        <v>0</v>
      </c>
      <c r="Q30" s="427" t="s">
        <v>162</v>
      </c>
      <c r="R30" s="427"/>
      <c r="S30" s="427"/>
      <c r="T30" s="427"/>
      <c r="U30" s="427"/>
      <c r="V30" s="427"/>
      <c r="W30" s="427"/>
      <c r="X30" s="427"/>
      <c r="Y30" s="427"/>
      <c r="Z30" s="427"/>
      <c r="AA30" s="427"/>
      <c r="AB30" s="427"/>
      <c r="AC30" s="427"/>
      <c r="AD30" s="428"/>
    </row>
    <row r="31" spans="1:33"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33"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row>
    <row r="33" spans="1:4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row>
    <row r="34" spans="1:41" ht="33" customHeight="1" x14ac:dyDescent="0.25">
      <c r="A34" s="595" t="s">
        <v>173</v>
      </c>
      <c r="B34" s="446">
        <f>B38+B40+B42+B44+B46+B48+B50</f>
        <v>4.9999999999999996E-2</v>
      </c>
      <c r="C34" s="90" t="s">
        <v>63</v>
      </c>
      <c r="D34" s="214">
        <f>D75</f>
        <v>0</v>
      </c>
      <c r="E34" s="214">
        <f t="shared" ref="E34:O34" si="0">E75</f>
        <v>0.22800000000000009</v>
      </c>
      <c r="F34" s="214">
        <f t="shared" si="0"/>
        <v>0.39200000000000018</v>
      </c>
      <c r="G34" s="214">
        <f t="shared" si="0"/>
        <v>0.34000000000000014</v>
      </c>
      <c r="H34" s="214">
        <f t="shared" si="0"/>
        <v>0.3680000000000001</v>
      </c>
      <c r="I34" s="214">
        <f t="shared" si="0"/>
        <v>0.32800000000000012</v>
      </c>
      <c r="J34" s="214">
        <f t="shared" si="0"/>
        <v>0.38800000000000012</v>
      </c>
      <c r="K34" s="214">
        <f t="shared" si="0"/>
        <v>0.38800000000000012</v>
      </c>
      <c r="L34" s="214">
        <f t="shared" si="0"/>
        <v>0.37200000000000016</v>
      </c>
      <c r="M34" s="214">
        <f t="shared" si="0"/>
        <v>0.41200000000000009</v>
      </c>
      <c r="N34" s="214">
        <f t="shared" si="0"/>
        <v>0.40800000000000014</v>
      </c>
      <c r="O34" s="214">
        <f t="shared" si="0"/>
        <v>0.37600000000000011</v>
      </c>
      <c r="P34" s="215">
        <f>SUM(D34:O34)</f>
        <v>4.0000000000000009</v>
      </c>
      <c r="Q34" s="620" t="s">
        <v>174</v>
      </c>
      <c r="R34" s="621"/>
      <c r="S34" s="621"/>
      <c r="T34" s="621"/>
      <c r="U34" s="621"/>
      <c r="V34" s="622"/>
      <c r="W34" s="626" t="s">
        <v>65</v>
      </c>
      <c r="X34" s="627"/>
      <c r="Y34" s="627"/>
      <c r="Z34" s="628"/>
      <c r="AA34" s="626" t="s">
        <v>175</v>
      </c>
      <c r="AB34" s="627"/>
      <c r="AC34" s="627"/>
      <c r="AD34" s="628"/>
      <c r="AG34" s="226"/>
      <c r="AH34" s="226"/>
      <c r="AI34" s="226"/>
      <c r="AJ34" s="226"/>
      <c r="AK34" s="226"/>
      <c r="AL34" s="226"/>
      <c r="AM34" s="226"/>
      <c r="AN34" s="226"/>
      <c r="AO34" s="226"/>
    </row>
    <row r="35" spans="1:41" ht="33.950000000000003" customHeight="1" thickBot="1" x14ac:dyDescent="0.3">
      <c r="A35" s="618"/>
      <c r="B35" s="619"/>
      <c r="C35" s="283" t="s">
        <v>67</v>
      </c>
      <c r="D35" s="284">
        <f>D72</f>
        <v>8.0000000000000019E-3</v>
      </c>
      <c r="E35" s="284">
        <f t="shared" ref="E35:O35" si="1">E72</f>
        <v>0.20000000000000007</v>
      </c>
      <c r="F35" s="284">
        <f t="shared" si="1"/>
        <v>0.31200000000000006</v>
      </c>
      <c r="G35" s="284">
        <f t="shared" si="1"/>
        <v>0.35600000000000009</v>
      </c>
      <c r="H35" s="284">
        <v>0.37</v>
      </c>
      <c r="I35" s="284">
        <f t="shared" si="1"/>
        <v>0.32800000000000012</v>
      </c>
      <c r="J35" s="284">
        <f t="shared" si="1"/>
        <v>0.38800000000000012</v>
      </c>
      <c r="K35" s="284">
        <f t="shared" si="1"/>
        <v>0</v>
      </c>
      <c r="L35" s="284">
        <f t="shared" si="1"/>
        <v>0</v>
      </c>
      <c r="M35" s="284">
        <f t="shared" si="1"/>
        <v>0</v>
      </c>
      <c r="N35" s="284">
        <f t="shared" si="1"/>
        <v>0</v>
      </c>
      <c r="O35" s="284">
        <f t="shared" si="1"/>
        <v>0</v>
      </c>
      <c r="P35" s="285">
        <f>SUM(D35:O35)</f>
        <v>1.9620000000000004</v>
      </c>
      <c r="Q35" s="623"/>
      <c r="R35" s="624"/>
      <c r="S35" s="624"/>
      <c r="T35" s="624"/>
      <c r="U35" s="624"/>
      <c r="V35" s="625"/>
      <c r="W35" s="629"/>
      <c r="X35" s="630"/>
      <c r="Y35" s="630"/>
      <c r="Z35" s="631"/>
      <c r="AA35" s="629"/>
      <c r="AB35" s="630"/>
      <c r="AC35" s="630"/>
      <c r="AD35" s="631"/>
      <c r="AE35" s="227"/>
      <c r="AG35" s="226"/>
      <c r="AH35" s="226"/>
      <c r="AI35" s="226"/>
      <c r="AJ35" s="226"/>
      <c r="AK35" s="226"/>
      <c r="AL35" s="226"/>
      <c r="AM35" s="226"/>
      <c r="AN35" s="226"/>
      <c r="AO35" s="226"/>
    </row>
    <row r="36" spans="1:41" ht="15" customHeight="1" x14ac:dyDescent="0.25">
      <c r="A36" s="429" t="s">
        <v>68</v>
      </c>
      <c r="B36" s="439" t="s">
        <v>69</v>
      </c>
      <c r="C36" s="439" t="s">
        <v>70</v>
      </c>
      <c r="D36" s="439"/>
      <c r="E36" s="439"/>
      <c r="F36" s="439"/>
      <c r="G36" s="439"/>
      <c r="H36" s="439"/>
      <c r="I36" s="439"/>
      <c r="J36" s="439"/>
      <c r="K36" s="439"/>
      <c r="L36" s="439"/>
      <c r="M36" s="439"/>
      <c r="N36" s="439"/>
      <c r="O36" s="439"/>
      <c r="P36" s="439"/>
      <c r="Q36" s="439" t="s">
        <v>71</v>
      </c>
      <c r="R36" s="439"/>
      <c r="S36" s="439"/>
      <c r="T36" s="439"/>
      <c r="U36" s="439"/>
      <c r="V36" s="439"/>
      <c r="W36" s="439"/>
      <c r="X36" s="439"/>
      <c r="Y36" s="439"/>
      <c r="Z36" s="439"/>
      <c r="AA36" s="439"/>
      <c r="AB36" s="439"/>
      <c r="AC36" s="439"/>
      <c r="AD36" s="632"/>
    </row>
    <row r="37" spans="1:41" ht="28.5" x14ac:dyDescent="0.25">
      <c r="A37" s="514"/>
      <c r="B37" s="397"/>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97" t="s">
        <v>86</v>
      </c>
      <c r="R37" s="397"/>
      <c r="S37" s="397"/>
      <c r="T37" s="397"/>
      <c r="U37" s="397"/>
      <c r="V37" s="397"/>
      <c r="W37" s="397"/>
      <c r="X37" s="397"/>
      <c r="Y37" s="397"/>
      <c r="Z37" s="397"/>
      <c r="AA37" s="397"/>
      <c r="AB37" s="397"/>
      <c r="AC37" s="397"/>
      <c r="AD37" s="398"/>
    </row>
    <row r="38" spans="1:41" ht="190.5" customHeight="1" x14ac:dyDescent="0.25">
      <c r="A38" s="468" t="s">
        <v>176</v>
      </c>
      <c r="B38" s="615">
        <v>5.0000000000000001E-3</v>
      </c>
      <c r="C38" s="102" t="s">
        <v>63</v>
      </c>
      <c r="D38" s="103">
        <v>0</v>
      </c>
      <c r="E38" s="103">
        <v>0.09</v>
      </c>
      <c r="F38" s="103">
        <v>0.09</v>
      </c>
      <c r="G38" s="103">
        <v>0.09</v>
      </c>
      <c r="H38" s="103">
        <v>0.09</v>
      </c>
      <c r="I38" s="103">
        <v>0.09</v>
      </c>
      <c r="J38" s="103">
        <v>0.09</v>
      </c>
      <c r="K38" s="103">
        <v>0.09</v>
      </c>
      <c r="L38" s="103">
        <v>0.09</v>
      </c>
      <c r="M38" s="103">
        <v>0.09</v>
      </c>
      <c r="N38" s="103">
        <v>0.09</v>
      </c>
      <c r="O38" s="103">
        <v>0.1</v>
      </c>
      <c r="P38" s="286">
        <f t="shared" ref="P38:P51" si="2">SUM(D38:O38)</f>
        <v>0.99999999999999978</v>
      </c>
      <c r="Q38" s="616" t="s">
        <v>177</v>
      </c>
      <c r="R38" s="616"/>
      <c r="S38" s="616"/>
      <c r="T38" s="616"/>
      <c r="U38" s="616"/>
      <c r="V38" s="616"/>
      <c r="W38" s="616"/>
      <c r="X38" s="616"/>
      <c r="Y38" s="616"/>
      <c r="Z38" s="616"/>
      <c r="AA38" s="616"/>
      <c r="AB38" s="616"/>
      <c r="AC38" s="616"/>
      <c r="AD38" s="617"/>
    </row>
    <row r="39" spans="1:41" ht="190.5" customHeight="1" x14ac:dyDescent="0.25">
      <c r="A39" s="468"/>
      <c r="B39" s="615"/>
      <c r="C39" s="99" t="s">
        <v>67</v>
      </c>
      <c r="D39" s="100">
        <v>0</v>
      </c>
      <c r="E39" s="100">
        <v>0.05</v>
      </c>
      <c r="F39" s="100">
        <v>0.09</v>
      </c>
      <c r="G39" s="100">
        <v>0.09</v>
      </c>
      <c r="H39" s="100">
        <v>0.09</v>
      </c>
      <c r="I39" s="100">
        <v>0.09</v>
      </c>
      <c r="J39" s="100">
        <v>0.09</v>
      </c>
      <c r="K39" s="100"/>
      <c r="L39" s="100"/>
      <c r="M39" s="100"/>
      <c r="N39" s="100"/>
      <c r="O39" s="100"/>
      <c r="P39" s="286">
        <f t="shared" si="2"/>
        <v>0.5</v>
      </c>
      <c r="Q39" s="616"/>
      <c r="R39" s="616"/>
      <c r="S39" s="616"/>
      <c r="T39" s="616"/>
      <c r="U39" s="616"/>
      <c r="V39" s="616"/>
      <c r="W39" s="616"/>
      <c r="X39" s="616"/>
      <c r="Y39" s="616"/>
      <c r="Z39" s="616"/>
      <c r="AA39" s="616"/>
      <c r="AB39" s="616"/>
      <c r="AC39" s="616"/>
      <c r="AD39" s="617"/>
    </row>
    <row r="40" spans="1:41" ht="176.25" customHeight="1" x14ac:dyDescent="0.25">
      <c r="A40" s="468" t="s">
        <v>178</v>
      </c>
      <c r="B40" s="615">
        <v>5.0000000000000001E-3</v>
      </c>
      <c r="C40" s="102" t="s">
        <v>63</v>
      </c>
      <c r="D40" s="103">
        <v>0</v>
      </c>
      <c r="E40" s="103">
        <v>0.08</v>
      </c>
      <c r="F40" s="103">
        <v>0.14000000000000001</v>
      </c>
      <c r="G40" s="103">
        <v>0.08</v>
      </c>
      <c r="H40" s="103">
        <v>0.08</v>
      </c>
      <c r="I40" s="103">
        <v>0.08</v>
      </c>
      <c r="J40" s="103">
        <v>0.08</v>
      </c>
      <c r="K40" s="103">
        <v>0.08</v>
      </c>
      <c r="L40" s="103">
        <v>0.08</v>
      </c>
      <c r="M40" s="103">
        <v>0.14000000000000001</v>
      </c>
      <c r="N40" s="103">
        <v>0.08</v>
      </c>
      <c r="O40" s="103">
        <v>0.08</v>
      </c>
      <c r="P40" s="286">
        <f t="shared" si="2"/>
        <v>0.99999999999999989</v>
      </c>
      <c r="Q40" s="616" t="s">
        <v>179</v>
      </c>
      <c r="R40" s="616"/>
      <c r="S40" s="616"/>
      <c r="T40" s="616"/>
      <c r="U40" s="616"/>
      <c r="V40" s="616"/>
      <c r="W40" s="616"/>
      <c r="X40" s="616"/>
      <c r="Y40" s="616"/>
      <c r="Z40" s="616"/>
      <c r="AA40" s="616"/>
      <c r="AB40" s="616"/>
      <c r="AC40" s="616"/>
      <c r="AD40" s="617"/>
    </row>
    <row r="41" spans="1:41" ht="176.25" customHeight="1" x14ac:dyDescent="0.25">
      <c r="A41" s="468"/>
      <c r="B41" s="615"/>
      <c r="C41" s="99" t="s">
        <v>67</v>
      </c>
      <c r="D41" s="100">
        <v>0</v>
      </c>
      <c r="E41" s="100">
        <v>0.05</v>
      </c>
      <c r="F41" s="100">
        <v>0.14000000000000001</v>
      </c>
      <c r="G41" s="100">
        <v>0.08</v>
      </c>
      <c r="H41" s="100">
        <v>0.08</v>
      </c>
      <c r="I41" s="100">
        <v>0.08</v>
      </c>
      <c r="J41" s="100">
        <v>0.08</v>
      </c>
      <c r="K41" s="100"/>
      <c r="L41" s="100"/>
      <c r="M41" s="100"/>
      <c r="N41" s="100"/>
      <c r="O41" s="100"/>
      <c r="P41" s="286">
        <f t="shared" si="2"/>
        <v>0.51</v>
      </c>
      <c r="Q41" s="616"/>
      <c r="R41" s="616"/>
      <c r="S41" s="616"/>
      <c r="T41" s="616"/>
      <c r="U41" s="616"/>
      <c r="V41" s="616"/>
      <c r="W41" s="616"/>
      <c r="X41" s="616"/>
      <c r="Y41" s="616"/>
      <c r="Z41" s="616"/>
      <c r="AA41" s="616"/>
      <c r="AB41" s="616"/>
      <c r="AC41" s="616"/>
      <c r="AD41" s="617"/>
    </row>
    <row r="42" spans="1:41" ht="84.75" customHeight="1" x14ac:dyDescent="0.25">
      <c r="A42" s="636" t="s">
        <v>180</v>
      </c>
      <c r="B42" s="615">
        <v>0.01</v>
      </c>
      <c r="C42" s="102" t="s">
        <v>63</v>
      </c>
      <c r="D42" s="103">
        <v>0</v>
      </c>
      <c r="E42" s="103">
        <v>0</v>
      </c>
      <c r="F42" s="103">
        <v>0.1</v>
      </c>
      <c r="G42" s="103">
        <v>0.1</v>
      </c>
      <c r="H42" s="103">
        <v>0.1</v>
      </c>
      <c r="I42" s="103">
        <v>0.1</v>
      </c>
      <c r="J42" s="103">
        <v>0.1</v>
      </c>
      <c r="K42" s="103">
        <v>0.1</v>
      </c>
      <c r="L42" s="103">
        <v>0.1</v>
      </c>
      <c r="M42" s="103">
        <v>0.1</v>
      </c>
      <c r="N42" s="103">
        <v>0.1</v>
      </c>
      <c r="O42" s="103">
        <v>0.1</v>
      </c>
      <c r="P42" s="286">
        <f t="shared" si="2"/>
        <v>0.99999999999999989</v>
      </c>
      <c r="Q42" s="616" t="s">
        <v>181</v>
      </c>
      <c r="R42" s="616"/>
      <c r="S42" s="616"/>
      <c r="T42" s="616"/>
      <c r="U42" s="616"/>
      <c r="V42" s="616"/>
      <c r="W42" s="616"/>
      <c r="X42" s="616"/>
      <c r="Y42" s="616"/>
      <c r="Z42" s="616"/>
      <c r="AA42" s="616"/>
      <c r="AB42" s="616"/>
      <c r="AC42" s="616"/>
      <c r="AD42" s="617"/>
    </row>
    <row r="43" spans="1:41" ht="84.75" customHeight="1" x14ac:dyDescent="0.25">
      <c r="A43" s="636"/>
      <c r="B43" s="615"/>
      <c r="C43" s="99" t="s">
        <v>67</v>
      </c>
      <c r="D43" s="100">
        <v>0</v>
      </c>
      <c r="E43" s="100">
        <v>0</v>
      </c>
      <c r="F43" s="100">
        <v>0</v>
      </c>
      <c r="G43" s="100">
        <v>0.12</v>
      </c>
      <c r="H43" s="100">
        <v>0.1</v>
      </c>
      <c r="I43" s="100">
        <v>0.1</v>
      </c>
      <c r="J43" s="100">
        <v>0.1</v>
      </c>
      <c r="K43" s="100"/>
      <c r="L43" s="100"/>
      <c r="M43" s="100"/>
      <c r="N43" s="100"/>
      <c r="O43" s="100"/>
      <c r="P43" s="286">
        <f t="shared" si="2"/>
        <v>0.42000000000000004</v>
      </c>
      <c r="Q43" s="616"/>
      <c r="R43" s="616"/>
      <c r="S43" s="616"/>
      <c r="T43" s="616"/>
      <c r="U43" s="616"/>
      <c r="V43" s="616"/>
      <c r="W43" s="616"/>
      <c r="X43" s="616"/>
      <c r="Y43" s="616"/>
      <c r="Z43" s="616"/>
      <c r="AA43" s="616"/>
      <c r="AB43" s="616"/>
      <c r="AC43" s="616"/>
      <c r="AD43" s="617"/>
    </row>
    <row r="44" spans="1:41" ht="225" customHeight="1" x14ac:dyDescent="0.25">
      <c r="A44" s="468" t="s">
        <v>182</v>
      </c>
      <c r="B44" s="615">
        <v>0.01</v>
      </c>
      <c r="C44" s="102" t="s">
        <v>63</v>
      </c>
      <c r="D44" s="103">
        <v>0</v>
      </c>
      <c r="E44" s="103">
        <v>0.08</v>
      </c>
      <c r="F44" s="103">
        <v>0.08</v>
      </c>
      <c r="G44" s="103">
        <v>0.08</v>
      </c>
      <c r="H44" s="103">
        <v>0.08</v>
      </c>
      <c r="I44" s="103">
        <v>0.08</v>
      </c>
      <c r="J44" s="103">
        <v>0.1</v>
      </c>
      <c r="K44" s="103">
        <v>0.1</v>
      </c>
      <c r="L44" s="103">
        <v>0.1</v>
      </c>
      <c r="M44" s="103">
        <v>0.1</v>
      </c>
      <c r="N44" s="103">
        <v>0.1</v>
      </c>
      <c r="O44" s="103">
        <v>0.1</v>
      </c>
      <c r="P44" s="286">
        <f t="shared" si="2"/>
        <v>0.99999999999999989</v>
      </c>
      <c r="Q44" s="634" t="s">
        <v>183</v>
      </c>
      <c r="R44" s="634"/>
      <c r="S44" s="634"/>
      <c r="T44" s="634"/>
      <c r="U44" s="634"/>
      <c r="V44" s="634"/>
      <c r="W44" s="634"/>
      <c r="X44" s="634"/>
      <c r="Y44" s="634"/>
      <c r="Z44" s="634"/>
      <c r="AA44" s="634"/>
      <c r="AB44" s="634"/>
      <c r="AC44" s="634"/>
      <c r="AD44" s="635"/>
    </row>
    <row r="45" spans="1:41" ht="225" customHeight="1" x14ac:dyDescent="0.25">
      <c r="A45" s="633"/>
      <c r="B45" s="615"/>
      <c r="C45" s="99" t="s">
        <v>67</v>
      </c>
      <c r="D45" s="100">
        <v>0.01</v>
      </c>
      <c r="E45" s="100">
        <v>0.08</v>
      </c>
      <c r="F45" s="100">
        <v>0.08</v>
      </c>
      <c r="G45" s="100">
        <v>0.08</v>
      </c>
      <c r="H45" s="100">
        <v>0.08</v>
      </c>
      <c r="I45" s="100">
        <v>0.08</v>
      </c>
      <c r="J45" s="100">
        <v>0.1</v>
      </c>
      <c r="K45" s="100"/>
      <c r="L45" s="100"/>
      <c r="M45" s="100"/>
      <c r="N45" s="100"/>
      <c r="O45" s="100"/>
      <c r="P45" s="286">
        <f t="shared" si="2"/>
        <v>0.51</v>
      </c>
      <c r="Q45" s="634"/>
      <c r="R45" s="634"/>
      <c r="S45" s="634"/>
      <c r="T45" s="634"/>
      <c r="U45" s="634"/>
      <c r="V45" s="634"/>
      <c r="W45" s="634"/>
      <c r="X45" s="634"/>
      <c r="Y45" s="634"/>
      <c r="Z45" s="634"/>
      <c r="AA45" s="634"/>
      <c r="AB45" s="634"/>
      <c r="AC45" s="634"/>
      <c r="AD45" s="635"/>
    </row>
    <row r="46" spans="1:41" ht="201.75" customHeight="1" x14ac:dyDescent="0.25">
      <c r="A46" s="636" t="s">
        <v>184</v>
      </c>
      <c r="B46" s="615">
        <v>5.0000000000000001E-3</v>
      </c>
      <c r="C46" s="102" t="s">
        <v>63</v>
      </c>
      <c r="D46" s="103">
        <v>0</v>
      </c>
      <c r="E46" s="103">
        <v>0.08</v>
      </c>
      <c r="F46" s="103">
        <v>0.08</v>
      </c>
      <c r="G46" s="103">
        <v>0.08</v>
      </c>
      <c r="H46" s="103">
        <v>0.08</v>
      </c>
      <c r="I46" s="103">
        <v>0.08</v>
      </c>
      <c r="J46" s="103">
        <v>0.1</v>
      </c>
      <c r="K46" s="103">
        <v>0.1</v>
      </c>
      <c r="L46" s="103">
        <v>0.1</v>
      </c>
      <c r="M46" s="103">
        <v>0.1</v>
      </c>
      <c r="N46" s="103">
        <v>0.1</v>
      </c>
      <c r="O46" s="103">
        <v>0.1</v>
      </c>
      <c r="P46" s="286">
        <f t="shared" si="2"/>
        <v>0.99999999999999989</v>
      </c>
      <c r="Q46" s="616" t="s">
        <v>185</v>
      </c>
      <c r="R46" s="616"/>
      <c r="S46" s="616"/>
      <c r="T46" s="616"/>
      <c r="U46" s="616"/>
      <c r="V46" s="616"/>
      <c r="W46" s="616"/>
      <c r="X46" s="616"/>
      <c r="Y46" s="616"/>
      <c r="Z46" s="616"/>
      <c r="AA46" s="616"/>
      <c r="AB46" s="616"/>
      <c r="AC46" s="616"/>
      <c r="AD46" s="617"/>
    </row>
    <row r="47" spans="1:41" ht="201.75" customHeight="1" x14ac:dyDescent="0.25">
      <c r="A47" s="636"/>
      <c r="B47" s="615"/>
      <c r="C47" s="99" t="s">
        <v>67</v>
      </c>
      <c r="D47" s="100">
        <v>0</v>
      </c>
      <c r="E47" s="100">
        <v>0.08</v>
      </c>
      <c r="F47" s="100">
        <v>0.08</v>
      </c>
      <c r="G47" s="100">
        <v>0.08</v>
      </c>
      <c r="H47" s="100">
        <v>0.08</v>
      </c>
      <c r="I47" s="100">
        <v>0.08</v>
      </c>
      <c r="J47" s="100">
        <v>0.1</v>
      </c>
      <c r="K47" s="100"/>
      <c r="L47" s="100"/>
      <c r="M47" s="100"/>
      <c r="N47" s="100"/>
      <c r="O47" s="100"/>
      <c r="P47" s="286">
        <f t="shared" si="2"/>
        <v>0.5</v>
      </c>
      <c r="Q47" s="616"/>
      <c r="R47" s="616"/>
      <c r="S47" s="616"/>
      <c r="T47" s="616"/>
      <c r="U47" s="616"/>
      <c r="V47" s="616"/>
      <c r="W47" s="616"/>
      <c r="X47" s="616"/>
      <c r="Y47" s="616"/>
      <c r="Z47" s="616"/>
      <c r="AA47" s="616"/>
      <c r="AB47" s="616"/>
      <c r="AC47" s="616"/>
      <c r="AD47" s="617"/>
    </row>
    <row r="48" spans="1:41" ht="87.75" customHeight="1" x14ac:dyDescent="0.25">
      <c r="A48" s="468" t="s">
        <v>186</v>
      </c>
      <c r="B48" s="615">
        <v>5.0000000000000001E-3</v>
      </c>
      <c r="C48" s="102" t="s">
        <v>63</v>
      </c>
      <c r="D48" s="103">
        <v>0</v>
      </c>
      <c r="E48" s="103">
        <v>0</v>
      </c>
      <c r="F48" s="103">
        <v>0.15</v>
      </c>
      <c r="G48" s="103">
        <v>0.08</v>
      </c>
      <c r="H48" s="103">
        <v>0.15</v>
      </c>
      <c r="I48" s="103">
        <v>0.05</v>
      </c>
      <c r="J48" s="103">
        <v>0.1</v>
      </c>
      <c r="K48" s="103">
        <v>0.1</v>
      </c>
      <c r="L48" s="103">
        <v>0.06</v>
      </c>
      <c r="M48" s="103">
        <v>0.1</v>
      </c>
      <c r="N48" s="103">
        <v>0.15</v>
      </c>
      <c r="O48" s="103">
        <v>0.06</v>
      </c>
      <c r="P48" s="286">
        <f t="shared" si="2"/>
        <v>1</v>
      </c>
      <c r="Q48" s="616" t="s">
        <v>187</v>
      </c>
      <c r="R48" s="616"/>
      <c r="S48" s="616"/>
      <c r="T48" s="616"/>
      <c r="U48" s="616"/>
      <c r="V48" s="616"/>
      <c r="W48" s="616"/>
      <c r="X48" s="616"/>
      <c r="Y48" s="616"/>
      <c r="Z48" s="616"/>
      <c r="AA48" s="616"/>
      <c r="AB48" s="616"/>
      <c r="AC48" s="616"/>
      <c r="AD48" s="617"/>
    </row>
    <row r="49" spans="1:51" ht="87.75" customHeight="1" x14ac:dyDescent="0.25">
      <c r="A49" s="468"/>
      <c r="B49" s="615"/>
      <c r="C49" s="99" t="s">
        <v>67</v>
      </c>
      <c r="D49" s="100">
        <v>0</v>
      </c>
      <c r="E49" s="100">
        <v>0</v>
      </c>
      <c r="F49" s="100">
        <v>0.15</v>
      </c>
      <c r="G49" s="100">
        <v>0.08</v>
      </c>
      <c r="H49" s="100">
        <v>0.15</v>
      </c>
      <c r="I49" s="100">
        <v>0.05</v>
      </c>
      <c r="J49" s="100">
        <v>0.1</v>
      </c>
      <c r="K49" s="100"/>
      <c r="L49" s="100"/>
      <c r="M49" s="100"/>
      <c r="N49" s="100"/>
      <c r="O49" s="100"/>
      <c r="P49" s="286">
        <f t="shared" si="2"/>
        <v>0.53</v>
      </c>
      <c r="Q49" s="616"/>
      <c r="R49" s="616"/>
      <c r="S49" s="616"/>
      <c r="T49" s="616"/>
      <c r="U49" s="616"/>
      <c r="V49" s="616"/>
      <c r="W49" s="616"/>
      <c r="X49" s="616"/>
      <c r="Y49" s="616"/>
      <c r="Z49" s="616"/>
      <c r="AA49" s="616"/>
      <c r="AB49" s="616"/>
      <c r="AC49" s="616"/>
      <c r="AD49" s="617"/>
    </row>
    <row r="50" spans="1:51" ht="216" customHeight="1" x14ac:dyDescent="0.25">
      <c r="A50" s="636" t="s">
        <v>188</v>
      </c>
      <c r="B50" s="615">
        <v>0.01</v>
      </c>
      <c r="C50" s="102" t="s">
        <v>63</v>
      </c>
      <c r="D50" s="103">
        <v>0</v>
      </c>
      <c r="E50" s="103">
        <v>0.08</v>
      </c>
      <c r="F50" s="103">
        <v>0.08</v>
      </c>
      <c r="G50" s="103">
        <v>0.08</v>
      </c>
      <c r="H50" s="103">
        <v>0.08</v>
      </c>
      <c r="I50" s="103">
        <v>0.08</v>
      </c>
      <c r="J50" s="103">
        <v>0.1</v>
      </c>
      <c r="K50" s="103">
        <v>0.1</v>
      </c>
      <c r="L50" s="103">
        <v>0.1</v>
      </c>
      <c r="M50" s="103">
        <v>0.1</v>
      </c>
      <c r="N50" s="103">
        <v>0.1</v>
      </c>
      <c r="O50" s="103">
        <v>0.1</v>
      </c>
      <c r="P50" s="286">
        <f t="shared" si="2"/>
        <v>0.99999999999999989</v>
      </c>
      <c r="Q50" s="616" t="s">
        <v>189</v>
      </c>
      <c r="R50" s="616"/>
      <c r="S50" s="616"/>
      <c r="T50" s="616"/>
      <c r="U50" s="616"/>
      <c r="V50" s="616"/>
      <c r="W50" s="616"/>
      <c r="X50" s="616"/>
      <c r="Y50" s="616"/>
      <c r="Z50" s="616"/>
      <c r="AA50" s="616"/>
      <c r="AB50" s="616"/>
      <c r="AC50" s="616"/>
      <c r="AD50" s="617"/>
    </row>
    <row r="51" spans="1:51" ht="216" customHeight="1" thickBot="1" x14ac:dyDescent="0.3">
      <c r="A51" s="637"/>
      <c r="B51" s="638"/>
      <c r="C51" s="91" t="s">
        <v>67</v>
      </c>
      <c r="D51" s="105">
        <v>0</v>
      </c>
      <c r="E51" s="105">
        <v>0.08</v>
      </c>
      <c r="F51" s="105">
        <v>0.08</v>
      </c>
      <c r="G51" s="105">
        <v>0.08</v>
      </c>
      <c r="H51" s="105">
        <v>0.08</v>
      </c>
      <c r="I51" s="105">
        <v>0.08</v>
      </c>
      <c r="J51" s="105">
        <v>0.1</v>
      </c>
      <c r="K51" s="105"/>
      <c r="L51" s="105"/>
      <c r="M51" s="105"/>
      <c r="N51" s="105"/>
      <c r="O51" s="105"/>
      <c r="P51" s="287">
        <f t="shared" si="2"/>
        <v>0.5</v>
      </c>
      <c r="Q51" s="639"/>
      <c r="R51" s="639"/>
      <c r="S51" s="639"/>
      <c r="T51" s="639"/>
      <c r="U51" s="639"/>
      <c r="V51" s="639"/>
      <c r="W51" s="639"/>
      <c r="X51" s="639"/>
      <c r="Y51" s="639"/>
      <c r="Z51" s="639"/>
      <c r="AA51" s="639"/>
      <c r="AB51" s="639"/>
      <c r="AC51" s="639"/>
      <c r="AD51" s="640"/>
    </row>
    <row r="55" spans="1:51" s="274" customFormat="1" ht="21.75" customHeight="1" x14ac:dyDescent="0.25">
      <c r="A55" s="488" t="s">
        <v>102</v>
      </c>
      <c r="B55" s="488" t="s">
        <v>69</v>
      </c>
      <c r="C55" s="490" t="s">
        <v>70</v>
      </c>
      <c r="D55" s="491"/>
      <c r="E55" s="491"/>
      <c r="F55" s="491"/>
      <c r="G55" s="491"/>
      <c r="H55" s="491"/>
      <c r="I55" s="491"/>
      <c r="J55" s="491"/>
      <c r="K55" s="491"/>
      <c r="L55" s="491"/>
      <c r="M55" s="491"/>
      <c r="N55" s="491"/>
      <c r="O55" s="491"/>
      <c r="P55" s="492"/>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row>
    <row r="56" spans="1:51" s="274" customFormat="1" ht="21.75" customHeight="1" x14ac:dyDescent="0.25">
      <c r="A56" s="489"/>
      <c r="B56" s="489"/>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row>
    <row r="57" spans="1:51" s="274" customFormat="1" ht="12.75" customHeight="1" x14ac:dyDescent="0.25">
      <c r="A57" s="484" t="str">
        <f>A38</f>
        <v xml:space="preserve">29. Acompañar técnica y operativamente el desarrollo de la Mesa coordinadora y la plenaria del espacio autónomo del Consejo Consultivo de Mujeres </v>
      </c>
      <c r="B57" s="494">
        <f>B38</f>
        <v>5.0000000000000001E-3</v>
      </c>
      <c r="C57" s="199" t="s">
        <v>63</v>
      </c>
      <c r="D57" s="230">
        <f>D38*$B$38/$P$38</f>
        <v>0</v>
      </c>
      <c r="E57" s="230">
        <f t="shared" ref="E57:O58" si="3">E38*$B$38/$P$38</f>
        <v>4.500000000000001E-4</v>
      </c>
      <c r="F57" s="230">
        <f t="shared" si="3"/>
        <v>4.500000000000001E-4</v>
      </c>
      <c r="G57" s="230">
        <f t="shared" si="3"/>
        <v>4.500000000000001E-4</v>
      </c>
      <c r="H57" s="230">
        <f t="shared" si="3"/>
        <v>4.500000000000001E-4</v>
      </c>
      <c r="I57" s="230">
        <f t="shared" si="3"/>
        <v>4.500000000000001E-4</v>
      </c>
      <c r="J57" s="230">
        <f t="shared" si="3"/>
        <v>4.500000000000001E-4</v>
      </c>
      <c r="K57" s="230">
        <f t="shared" si="3"/>
        <v>4.500000000000001E-4</v>
      </c>
      <c r="L57" s="230">
        <f t="shared" si="3"/>
        <v>4.500000000000001E-4</v>
      </c>
      <c r="M57" s="230">
        <f t="shared" si="3"/>
        <v>4.500000000000001E-4</v>
      </c>
      <c r="N57" s="230">
        <f t="shared" si="3"/>
        <v>4.500000000000001E-4</v>
      </c>
      <c r="O57" s="230">
        <f t="shared" si="3"/>
        <v>5.0000000000000012E-4</v>
      </c>
      <c r="P57" s="231">
        <f t="shared" ref="P57:P60" si="4">SUM(D57:O57)</f>
        <v>5.0000000000000001E-3</v>
      </c>
      <c r="Q57" s="108">
        <v>0.05</v>
      </c>
      <c r="R57" s="232">
        <f>+P57-Q57</f>
        <v>-4.5000000000000005E-2</v>
      </c>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13"/>
      <c r="AR57" s="213"/>
      <c r="AS57" s="213"/>
      <c r="AT57" s="213"/>
      <c r="AU57" s="213"/>
      <c r="AV57" s="213"/>
      <c r="AW57" s="213"/>
      <c r="AX57" s="213"/>
      <c r="AY57" s="213"/>
    </row>
    <row r="58" spans="1:51" s="274" customFormat="1" ht="12.75" customHeight="1" x14ac:dyDescent="0.25">
      <c r="A58" s="493"/>
      <c r="B58" s="495"/>
      <c r="C58" s="204" t="s">
        <v>67</v>
      </c>
      <c r="D58" s="234">
        <f>D39*$B$38/$P$38</f>
        <v>0</v>
      </c>
      <c r="E58" s="234">
        <f t="shared" si="3"/>
        <v>2.5000000000000006E-4</v>
      </c>
      <c r="F58" s="234">
        <f t="shared" si="3"/>
        <v>4.500000000000001E-4</v>
      </c>
      <c r="G58" s="234">
        <f t="shared" si="3"/>
        <v>4.500000000000001E-4</v>
      </c>
      <c r="H58" s="234">
        <f t="shared" si="3"/>
        <v>4.500000000000001E-4</v>
      </c>
      <c r="I58" s="234">
        <f t="shared" si="3"/>
        <v>4.500000000000001E-4</v>
      </c>
      <c r="J58" s="234">
        <f t="shared" si="3"/>
        <v>4.500000000000001E-4</v>
      </c>
      <c r="K58" s="234">
        <f t="shared" si="3"/>
        <v>0</v>
      </c>
      <c r="L58" s="234">
        <f t="shared" si="3"/>
        <v>0</v>
      </c>
      <c r="M58" s="234">
        <f t="shared" si="3"/>
        <v>0</v>
      </c>
      <c r="N58" s="234">
        <f t="shared" si="3"/>
        <v>0</v>
      </c>
      <c r="O58" s="234">
        <f t="shared" si="3"/>
        <v>0</v>
      </c>
      <c r="P58" s="235">
        <f t="shared" si="4"/>
        <v>2.5000000000000005E-3</v>
      </c>
      <c r="Q58" s="236">
        <f>+P58</f>
        <v>2.5000000000000005E-3</v>
      </c>
      <c r="R58" s="232">
        <f t="shared" ref="R58:R70" si="5">+P58-Q58</f>
        <v>0</v>
      </c>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13"/>
      <c r="AR58" s="213"/>
      <c r="AS58" s="213"/>
      <c r="AT58" s="213"/>
      <c r="AU58" s="213"/>
      <c r="AV58" s="213"/>
      <c r="AW58" s="213"/>
      <c r="AX58" s="213"/>
      <c r="AY58" s="213"/>
    </row>
    <row r="59" spans="1:51" s="274" customFormat="1" ht="12.75" customHeight="1" x14ac:dyDescent="0.25">
      <c r="A59" s="484" t="str">
        <f>A40</f>
        <v>30. Acompañar técnicamente el desarrollo de las mesas de trabajo con los sectores de la administración distrital y hacerle seguimiento a los compromisos adquiridos por la administración distrital en el marco del Consejo Consultivo de Mujeres - EA.</v>
      </c>
      <c r="B59" s="486">
        <f>B40</f>
        <v>5.0000000000000001E-3</v>
      </c>
      <c r="C59" s="199" t="s">
        <v>63</v>
      </c>
      <c r="D59" s="230">
        <f>D40*$B$40/$P$40</f>
        <v>0</v>
      </c>
      <c r="E59" s="230">
        <f t="shared" ref="E59:O60" si="6">E40*$B$40/$P$40</f>
        <v>4.0000000000000007E-4</v>
      </c>
      <c r="F59" s="230">
        <f t="shared" si="6"/>
        <v>7.0000000000000021E-4</v>
      </c>
      <c r="G59" s="230">
        <f t="shared" si="6"/>
        <v>4.0000000000000007E-4</v>
      </c>
      <c r="H59" s="230">
        <f t="shared" si="6"/>
        <v>4.0000000000000007E-4</v>
      </c>
      <c r="I59" s="230">
        <f t="shared" si="6"/>
        <v>4.0000000000000007E-4</v>
      </c>
      <c r="J59" s="230">
        <f t="shared" si="6"/>
        <v>4.0000000000000007E-4</v>
      </c>
      <c r="K59" s="230">
        <f t="shared" si="6"/>
        <v>4.0000000000000007E-4</v>
      </c>
      <c r="L59" s="230">
        <f t="shared" si="6"/>
        <v>4.0000000000000007E-4</v>
      </c>
      <c r="M59" s="230">
        <f t="shared" si="6"/>
        <v>7.0000000000000021E-4</v>
      </c>
      <c r="N59" s="230">
        <f t="shared" si="6"/>
        <v>4.0000000000000007E-4</v>
      </c>
      <c r="O59" s="230">
        <f t="shared" si="6"/>
        <v>4.0000000000000007E-4</v>
      </c>
      <c r="P59" s="231">
        <f t="shared" si="4"/>
        <v>5.0000000000000018E-3</v>
      </c>
      <c r="Q59" s="108">
        <v>2.5000000000000001E-2</v>
      </c>
      <c r="R59" s="232">
        <f t="shared" si="5"/>
        <v>-0.02</v>
      </c>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13"/>
      <c r="AR59" s="213"/>
      <c r="AS59" s="213"/>
      <c r="AT59" s="213"/>
      <c r="AU59" s="213"/>
      <c r="AV59" s="213"/>
      <c r="AW59" s="213"/>
      <c r="AX59" s="213"/>
      <c r="AY59" s="213"/>
    </row>
    <row r="60" spans="1:51" s="274" customFormat="1" ht="12.75" customHeight="1" x14ac:dyDescent="0.25">
      <c r="A60" s="485"/>
      <c r="B60" s="487"/>
      <c r="C60" s="204" t="s">
        <v>67</v>
      </c>
      <c r="D60" s="234">
        <f>D41*$B$40/$P$40</f>
        <v>0</v>
      </c>
      <c r="E60" s="234">
        <f t="shared" si="6"/>
        <v>2.5000000000000006E-4</v>
      </c>
      <c r="F60" s="234">
        <f t="shared" si="6"/>
        <v>7.0000000000000021E-4</v>
      </c>
      <c r="G60" s="234">
        <f t="shared" si="6"/>
        <v>4.0000000000000007E-4</v>
      </c>
      <c r="H60" s="234">
        <f t="shared" si="6"/>
        <v>4.0000000000000007E-4</v>
      </c>
      <c r="I60" s="234">
        <f t="shared" si="6"/>
        <v>4.0000000000000007E-4</v>
      </c>
      <c r="J60" s="234">
        <f t="shared" si="6"/>
        <v>4.0000000000000007E-4</v>
      </c>
      <c r="K60" s="234">
        <f t="shared" si="6"/>
        <v>0</v>
      </c>
      <c r="L60" s="234">
        <f t="shared" si="6"/>
        <v>0</v>
      </c>
      <c r="M60" s="234">
        <f t="shared" si="6"/>
        <v>0</v>
      </c>
      <c r="N60" s="234">
        <f t="shared" si="6"/>
        <v>0</v>
      </c>
      <c r="O60" s="234">
        <f t="shared" si="6"/>
        <v>0</v>
      </c>
      <c r="P60" s="235">
        <f t="shared" si="4"/>
        <v>2.5500000000000011E-3</v>
      </c>
      <c r="Q60" s="236">
        <f>+P60</f>
        <v>2.5500000000000011E-3</v>
      </c>
      <c r="R60" s="232">
        <f t="shared" si="5"/>
        <v>0</v>
      </c>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13"/>
      <c r="AR60" s="213"/>
      <c r="AS60" s="213"/>
      <c r="AT60" s="213"/>
      <c r="AU60" s="213"/>
      <c r="AV60" s="213"/>
      <c r="AW60" s="213"/>
      <c r="AX60" s="213"/>
      <c r="AY60" s="213"/>
    </row>
    <row r="61" spans="1:51" s="274" customFormat="1" ht="12.75" customHeight="1" x14ac:dyDescent="0.25">
      <c r="A61" s="484" t="str">
        <f>A42</f>
        <v>31. Acompañar técnicamente el desarrollo de comisiones de trabajo del Espacio Autónomo del Consejo Consultivo de Mujeres.</v>
      </c>
      <c r="B61" s="486">
        <f>B42</f>
        <v>0.01</v>
      </c>
      <c r="C61" s="199" t="s">
        <v>63</v>
      </c>
      <c r="D61" s="230">
        <f>D42*$B$42/$P$42</f>
        <v>0</v>
      </c>
      <c r="E61" s="230">
        <f t="shared" ref="E61:O62" si="7">E42*$B$42/$P$42</f>
        <v>0</v>
      </c>
      <c r="F61" s="230">
        <f t="shared" si="7"/>
        <v>1.0000000000000002E-3</v>
      </c>
      <c r="G61" s="230">
        <f t="shared" si="7"/>
        <v>1.0000000000000002E-3</v>
      </c>
      <c r="H61" s="230">
        <f t="shared" si="7"/>
        <v>1.0000000000000002E-3</v>
      </c>
      <c r="I61" s="230">
        <f t="shared" si="7"/>
        <v>1.0000000000000002E-3</v>
      </c>
      <c r="J61" s="230">
        <f t="shared" si="7"/>
        <v>1.0000000000000002E-3</v>
      </c>
      <c r="K61" s="230">
        <f t="shared" si="7"/>
        <v>1.0000000000000002E-3</v>
      </c>
      <c r="L61" s="230">
        <f t="shared" si="7"/>
        <v>1.0000000000000002E-3</v>
      </c>
      <c r="M61" s="230">
        <f t="shared" si="7"/>
        <v>1.0000000000000002E-3</v>
      </c>
      <c r="N61" s="230">
        <f t="shared" si="7"/>
        <v>1.0000000000000002E-3</v>
      </c>
      <c r="O61" s="230">
        <f t="shared" si="7"/>
        <v>1.0000000000000002E-3</v>
      </c>
      <c r="P61" s="231">
        <f t="shared" ref="P61:P64" si="8">SUM(D61:O61)</f>
        <v>1.0000000000000004E-2</v>
      </c>
      <c r="Q61" s="108">
        <v>2.5000000000000001E-2</v>
      </c>
      <c r="R61" s="232">
        <f t="shared" si="5"/>
        <v>-1.4999999999999998E-2</v>
      </c>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13"/>
      <c r="AR61" s="213"/>
      <c r="AS61" s="213"/>
      <c r="AT61" s="213"/>
      <c r="AU61" s="213"/>
      <c r="AV61" s="213"/>
      <c r="AW61" s="213"/>
      <c r="AX61" s="213"/>
      <c r="AY61" s="213"/>
    </row>
    <row r="62" spans="1:51" s="274" customFormat="1" ht="12.75" customHeight="1" x14ac:dyDescent="0.25">
      <c r="A62" s="485"/>
      <c r="B62" s="487"/>
      <c r="C62" s="204" t="s">
        <v>67</v>
      </c>
      <c r="D62" s="234">
        <f>D43*$B$42/$P$42</f>
        <v>0</v>
      </c>
      <c r="E62" s="234">
        <f t="shared" si="7"/>
        <v>0</v>
      </c>
      <c r="F62" s="234">
        <f t="shared" si="7"/>
        <v>0</v>
      </c>
      <c r="G62" s="234">
        <f t="shared" si="7"/>
        <v>1.2000000000000001E-3</v>
      </c>
      <c r="H62" s="234">
        <f t="shared" si="7"/>
        <v>1.0000000000000002E-3</v>
      </c>
      <c r="I62" s="234">
        <f t="shared" si="7"/>
        <v>1.0000000000000002E-3</v>
      </c>
      <c r="J62" s="234">
        <f t="shared" si="7"/>
        <v>1.0000000000000002E-3</v>
      </c>
      <c r="K62" s="234">
        <f t="shared" si="7"/>
        <v>0</v>
      </c>
      <c r="L62" s="234">
        <f t="shared" si="7"/>
        <v>0</v>
      </c>
      <c r="M62" s="234">
        <f t="shared" si="7"/>
        <v>0</v>
      </c>
      <c r="N62" s="234">
        <f t="shared" si="7"/>
        <v>0</v>
      </c>
      <c r="O62" s="234">
        <f t="shared" si="7"/>
        <v>0</v>
      </c>
      <c r="P62" s="235">
        <f t="shared" si="8"/>
        <v>4.2000000000000006E-3</v>
      </c>
      <c r="Q62" s="236">
        <f>+P62</f>
        <v>4.2000000000000006E-3</v>
      </c>
      <c r="R62" s="232">
        <f t="shared" si="5"/>
        <v>0</v>
      </c>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13"/>
      <c r="AR62" s="213"/>
      <c r="AS62" s="213"/>
      <c r="AT62" s="213"/>
      <c r="AU62" s="213"/>
      <c r="AV62" s="213"/>
      <c r="AW62" s="213"/>
      <c r="AX62" s="213"/>
      <c r="AY62" s="213"/>
    </row>
    <row r="63" spans="1:51" s="274" customFormat="1" ht="12.75" customHeight="1" x14ac:dyDescent="0.25">
      <c r="A63" s="484" t="str">
        <f>A44</f>
        <v>32. Acompañar técnicamente la transversalización del enfoque de género en el Concejo de Bogotá, con enfásis en las bancadas de mujeres de este organo</v>
      </c>
      <c r="B63" s="486">
        <f>B44</f>
        <v>0.01</v>
      </c>
      <c r="C63" s="199" t="s">
        <v>63</v>
      </c>
      <c r="D63" s="230">
        <f>D44*$B$44/$P$44</f>
        <v>0</v>
      </c>
      <c r="E63" s="230">
        <f t="shared" ref="E63:O64" si="9">E44*$B$44/$P$44</f>
        <v>8.0000000000000015E-4</v>
      </c>
      <c r="F63" s="230">
        <f t="shared" si="9"/>
        <v>8.0000000000000015E-4</v>
      </c>
      <c r="G63" s="230">
        <f t="shared" si="9"/>
        <v>8.0000000000000015E-4</v>
      </c>
      <c r="H63" s="230">
        <f t="shared" si="9"/>
        <v>8.0000000000000015E-4</v>
      </c>
      <c r="I63" s="230">
        <f t="shared" si="9"/>
        <v>8.0000000000000015E-4</v>
      </c>
      <c r="J63" s="230">
        <f t="shared" si="9"/>
        <v>1.0000000000000002E-3</v>
      </c>
      <c r="K63" s="230">
        <f t="shared" si="9"/>
        <v>1.0000000000000002E-3</v>
      </c>
      <c r="L63" s="230">
        <f t="shared" si="9"/>
        <v>1.0000000000000002E-3</v>
      </c>
      <c r="M63" s="230">
        <f t="shared" si="9"/>
        <v>1.0000000000000002E-3</v>
      </c>
      <c r="N63" s="230">
        <f t="shared" si="9"/>
        <v>1.0000000000000002E-3</v>
      </c>
      <c r="O63" s="230">
        <f t="shared" si="9"/>
        <v>1.0000000000000002E-3</v>
      </c>
      <c r="P63" s="231">
        <f t="shared" si="8"/>
        <v>1.0000000000000004E-2</v>
      </c>
      <c r="Q63" s="108">
        <v>0.02</v>
      </c>
      <c r="R63" s="232">
        <f t="shared" si="5"/>
        <v>-9.9999999999999967E-3</v>
      </c>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13"/>
      <c r="AR63" s="213"/>
      <c r="AS63" s="213"/>
      <c r="AT63" s="213"/>
      <c r="AU63" s="213"/>
      <c r="AV63" s="213"/>
      <c r="AW63" s="213"/>
      <c r="AX63" s="213"/>
      <c r="AY63" s="213"/>
    </row>
    <row r="64" spans="1:51" s="274" customFormat="1" ht="12.75" customHeight="1" x14ac:dyDescent="0.25">
      <c r="A64" s="485"/>
      <c r="B64" s="487"/>
      <c r="C64" s="204" t="s">
        <v>67</v>
      </c>
      <c r="D64" s="234">
        <f>D45*$B$44/$P$44</f>
        <v>1.0000000000000002E-4</v>
      </c>
      <c r="E64" s="234">
        <f t="shared" si="9"/>
        <v>8.0000000000000015E-4</v>
      </c>
      <c r="F64" s="234">
        <f t="shared" si="9"/>
        <v>8.0000000000000015E-4</v>
      </c>
      <c r="G64" s="234">
        <f t="shared" si="9"/>
        <v>8.0000000000000015E-4</v>
      </c>
      <c r="H64" s="234">
        <f t="shared" si="9"/>
        <v>8.0000000000000015E-4</v>
      </c>
      <c r="I64" s="234">
        <f t="shared" si="9"/>
        <v>8.0000000000000015E-4</v>
      </c>
      <c r="J64" s="234">
        <f t="shared" si="9"/>
        <v>1.0000000000000002E-3</v>
      </c>
      <c r="K64" s="234">
        <f t="shared" si="9"/>
        <v>0</v>
      </c>
      <c r="L64" s="234">
        <f t="shared" si="9"/>
        <v>0</v>
      </c>
      <c r="M64" s="234">
        <f t="shared" si="9"/>
        <v>0</v>
      </c>
      <c r="N64" s="234">
        <f t="shared" si="9"/>
        <v>0</v>
      </c>
      <c r="O64" s="234">
        <f t="shared" si="9"/>
        <v>0</v>
      </c>
      <c r="P64" s="235">
        <f t="shared" si="8"/>
        <v>5.1000000000000012E-3</v>
      </c>
      <c r="Q64" s="236">
        <f>+P64</f>
        <v>5.1000000000000012E-3</v>
      </c>
      <c r="R64" s="232">
        <f t="shared" si="5"/>
        <v>0</v>
      </c>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13"/>
      <c r="AR64" s="213"/>
      <c r="AS64" s="213"/>
      <c r="AT64" s="213"/>
      <c r="AU64" s="213"/>
      <c r="AV64" s="213"/>
      <c r="AW64" s="213"/>
      <c r="AX64" s="213"/>
      <c r="AY64" s="213"/>
    </row>
    <row r="65" spans="1:51" s="274" customFormat="1" ht="12.75" customHeight="1" x14ac:dyDescent="0.25">
      <c r="A65" s="484" t="str">
        <f>A46</f>
        <v>33. Acompañar técnicamente la incorporación del enfoque de género en la mesa de la actualización del decreto 563 de 2015, gestionar y coordinar las reuniones con la subcomisión de genero.</v>
      </c>
      <c r="B65" s="486">
        <f>B46</f>
        <v>5.0000000000000001E-3</v>
      </c>
      <c r="C65" s="199" t="s">
        <v>63</v>
      </c>
      <c r="D65" s="230">
        <f>D46*$B$46/$P$46</f>
        <v>0</v>
      </c>
      <c r="E65" s="230">
        <f t="shared" ref="E65:O66" si="10">E46*$B$46/$P$46</f>
        <v>4.0000000000000007E-4</v>
      </c>
      <c r="F65" s="230">
        <f t="shared" si="10"/>
        <v>4.0000000000000007E-4</v>
      </c>
      <c r="G65" s="230">
        <f t="shared" si="10"/>
        <v>4.0000000000000007E-4</v>
      </c>
      <c r="H65" s="230">
        <f t="shared" si="10"/>
        <v>4.0000000000000007E-4</v>
      </c>
      <c r="I65" s="230">
        <f t="shared" si="10"/>
        <v>4.0000000000000007E-4</v>
      </c>
      <c r="J65" s="230">
        <f t="shared" si="10"/>
        <v>5.0000000000000012E-4</v>
      </c>
      <c r="K65" s="230">
        <f t="shared" si="10"/>
        <v>5.0000000000000012E-4</v>
      </c>
      <c r="L65" s="230">
        <f t="shared" si="10"/>
        <v>5.0000000000000012E-4</v>
      </c>
      <c r="M65" s="230">
        <f t="shared" si="10"/>
        <v>5.0000000000000012E-4</v>
      </c>
      <c r="N65" s="230">
        <f t="shared" si="10"/>
        <v>5.0000000000000012E-4</v>
      </c>
      <c r="O65" s="230">
        <f t="shared" si="10"/>
        <v>5.0000000000000012E-4</v>
      </c>
      <c r="P65" s="231">
        <f t="shared" ref="P65:P70" si="11">SUM(D65:O65)</f>
        <v>5.0000000000000018E-3</v>
      </c>
      <c r="Q65" s="108">
        <v>0.02</v>
      </c>
      <c r="R65" s="232">
        <f t="shared" si="5"/>
        <v>-1.4999999999999999E-2</v>
      </c>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13"/>
      <c r="AR65" s="213"/>
      <c r="AS65" s="213"/>
      <c r="AT65" s="213"/>
      <c r="AU65" s="213"/>
      <c r="AV65" s="213"/>
      <c r="AW65" s="213"/>
      <c r="AX65" s="213"/>
      <c r="AY65" s="213"/>
    </row>
    <row r="66" spans="1:51" s="274" customFormat="1" ht="12.75" customHeight="1" x14ac:dyDescent="0.25">
      <c r="A66" s="485"/>
      <c r="B66" s="487"/>
      <c r="C66" s="204" t="s">
        <v>67</v>
      </c>
      <c r="D66" s="234">
        <f>D47*$B$46/$P$46</f>
        <v>0</v>
      </c>
      <c r="E66" s="234">
        <f t="shared" si="10"/>
        <v>4.0000000000000007E-4</v>
      </c>
      <c r="F66" s="234">
        <f t="shared" si="10"/>
        <v>4.0000000000000007E-4</v>
      </c>
      <c r="G66" s="234">
        <f t="shared" si="10"/>
        <v>4.0000000000000007E-4</v>
      </c>
      <c r="H66" s="234">
        <f t="shared" si="10"/>
        <v>4.0000000000000007E-4</v>
      </c>
      <c r="I66" s="234">
        <f t="shared" si="10"/>
        <v>4.0000000000000007E-4</v>
      </c>
      <c r="J66" s="234">
        <f t="shared" si="10"/>
        <v>5.0000000000000012E-4</v>
      </c>
      <c r="K66" s="234">
        <f t="shared" si="10"/>
        <v>0</v>
      </c>
      <c r="L66" s="234">
        <f t="shared" si="10"/>
        <v>0</v>
      </c>
      <c r="M66" s="234">
        <f t="shared" si="10"/>
        <v>0</v>
      </c>
      <c r="N66" s="234">
        <f t="shared" si="10"/>
        <v>0</v>
      </c>
      <c r="O66" s="234">
        <f t="shared" si="10"/>
        <v>0</v>
      </c>
      <c r="P66" s="235">
        <f t="shared" si="11"/>
        <v>2.5000000000000005E-3</v>
      </c>
      <c r="Q66" s="236">
        <f>+P66</f>
        <v>2.5000000000000005E-3</v>
      </c>
      <c r="R66" s="232">
        <f t="shared" si="5"/>
        <v>0</v>
      </c>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13"/>
      <c r="AR66" s="213"/>
      <c r="AS66" s="213"/>
      <c r="AT66" s="213"/>
      <c r="AU66" s="213"/>
      <c r="AV66" s="213"/>
      <c r="AW66" s="213"/>
      <c r="AX66" s="213"/>
      <c r="AY66" s="213"/>
    </row>
    <row r="67" spans="1:51" s="274" customFormat="1" ht="12.75" customHeight="1" x14ac:dyDescent="0.25">
      <c r="A67" s="484" t="str">
        <f>A48</f>
        <v>34. Realizar Acompañamiento técnico al Centro de Operaciones de Emergencia (COE) durante las movilizaciones sociales que se realicen y a las cuales se convoque a la SDMujer.</v>
      </c>
      <c r="B67" s="486">
        <f>B48</f>
        <v>5.0000000000000001E-3</v>
      </c>
      <c r="C67" s="199" t="s">
        <v>63</v>
      </c>
      <c r="D67" s="230">
        <f>D48*$B$48/$P$48</f>
        <v>0</v>
      </c>
      <c r="E67" s="230">
        <f t="shared" ref="E67:O68" si="12">E48*$B$48/$P$48</f>
        <v>0</v>
      </c>
      <c r="F67" s="230">
        <f t="shared" si="12"/>
        <v>7.5000000000000002E-4</v>
      </c>
      <c r="G67" s="230">
        <f t="shared" si="12"/>
        <v>4.0000000000000002E-4</v>
      </c>
      <c r="H67" s="230">
        <f t="shared" si="12"/>
        <v>7.5000000000000002E-4</v>
      </c>
      <c r="I67" s="230">
        <f t="shared" si="12"/>
        <v>2.5000000000000001E-4</v>
      </c>
      <c r="J67" s="230">
        <f t="shared" si="12"/>
        <v>5.0000000000000001E-4</v>
      </c>
      <c r="K67" s="230">
        <f t="shared" si="12"/>
        <v>5.0000000000000001E-4</v>
      </c>
      <c r="L67" s="230">
        <f t="shared" si="12"/>
        <v>2.9999999999999997E-4</v>
      </c>
      <c r="M67" s="230">
        <f t="shared" si="12"/>
        <v>5.0000000000000001E-4</v>
      </c>
      <c r="N67" s="230">
        <f t="shared" si="12"/>
        <v>7.5000000000000002E-4</v>
      </c>
      <c r="O67" s="230">
        <f t="shared" si="12"/>
        <v>2.9999999999999997E-4</v>
      </c>
      <c r="P67" s="231">
        <f t="shared" si="11"/>
        <v>5.0000000000000001E-3</v>
      </c>
      <c r="Q67" s="108">
        <v>0.02</v>
      </c>
      <c r="R67" s="232">
        <f t="shared" si="5"/>
        <v>-1.4999999999999999E-2</v>
      </c>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13"/>
      <c r="AR67" s="213"/>
      <c r="AS67" s="213"/>
      <c r="AT67" s="213"/>
      <c r="AU67" s="213"/>
      <c r="AV67" s="213"/>
      <c r="AW67" s="213"/>
      <c r="AX67" s="213"/>
      <c r="AY67" s="213"/>
    </row>
    <row r="68" spans="1:51" s="274" customFormat="1" ht="12.75" customHeight="1" x14ac:dyDescent="0.25">
      <c r="A68" s="485"/>
      <c r="B68" s="487"/>
      <c r="C68" s="204" t="s">
        <v>67</v>
      </c>
      <c r="D68" s="234">
        <f>D49*$B$48/$P$48</f>
        <v>0</v>
      </c>
      <c r="E68" s="234">
        <f t="shared" si="12"/>
        <v>0</v>
      </c>
      <c r="F68" s="234">
        <f t="shared" si="12"/>
        <v>7.5000000000000002E-4</v>
      </c>
      <c r="G68" s="234">
        <f t="shared" si="12"/>
        <v>4.0000000000000002E-4</v>
      </c>
      <c r="H68" s="234">
        <f t="shared" si="12"/>
        <v>7.5000000000000002E-4</v>
      </c>
      <c r="I68" s="234">
        <f t="shared" si="12"/>
        <v>2.5000000000000001E-4</v>
      </c>
      <c r="J68" s="234">
        <f t="shared" si="12"/>
        <v>5.0000000000000001E-4</v>
      </c>
      <c r="K68" s="234">
        <f t="shared" si="12"/>
        <v>0</v>
      </c>
      <c r="L68" s="234">
        <f t="shared" si="12"/>
        <v>0</v>
      </c>
      <c r="M68" s="234">
        <f t="shared" si="12"/>
        <v>0</v>
      </c>
      <c r="N68" s="234">
        <f t="shared" si="12"/>
        <v>0</v>
      </c>
      <c r="O68" s="234">
        <f t="shared" si="12"/>
        <v>0</v>
      </c>
      <c r="P68" s="235">
        <f t="shared" si="11"/>
        <v>2.65E-3</v>
      </c>
      <c r="Q68" s="236">
        <f>+P68</f>
        <v>2.65E-3</v>
      </c>
      <c r="R68" s="232">
        <f t="shared" si="5"/>
        <v>0</v>
      </c>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13"/>
      <c r="AR68" s="213"/>
      <c r="AS68" s="213"/>
      <c r="AT68" s="213"/>
      <c r="AU68" s="213"/>
      <c r="AV68" s="213"/>
      <c r="AW68" s="213"/>
      <c r="AX68" s="213"/>
      <c r="AY68" s="213"/>
    </row>
    <row r="69" spans="1:51" s="274" customFormat="1" ht="12.75" customHeight="1" x14ac:dyDescent="0.25">
      <c r="A69" s="484" t="str">
        <f>A50</f>
        <v>35. Acompañar técnicamente la incorporación del enfoque de género en el Consejo Territorial de Planeación Distrital CTPD</v>
      </c>
      <c r="B69" s="486">
        <f>B50</f>
        <v>0.01</v>
      </c>
      <c r="C69" s="199" t="s">
        <v>63</v>
      </c>
      <c r="D69" s="230">
        <f>D50*$B$50/$P$50</f>
        <v>0</v>
      </c>
      <c r="E69" s="230">
        <f t="shared" ref="E69:O70" si="13">E50*$B$50/$P$50</f>
        <v>8.0000000000000015E-4</v>
      </c>
      <c r="F69" s="230">
        <f t="shared" si="13"/>
        <v>8.0000000000000015E-4</v>
      </c>
      <c r="G69" s="230">
        <f t="shared" si="13"/>
        <v>8.0000000000000015E-4</v>
      </c>
      <c r="H69" s="230">
        <f t="shared" si="13"/>
        <v>8.0000000000000015E-4</v>
      </c>
      <c r="I69" s="230">
        <f t="shared" si="13"/>
        <v>8.0000000000000015E-4</v>
      </c>
      <c r="J69" s="230">
        <f t="shared" si="13"/>
        <v>1.0000000000000002E-3</v>
      </c>
      <c r="K69" s="230">
        <f t="shared" si="13"/>
        <v>1.0000000000000002E-3</v>
      </c>
      <c r="L69" s="230">
        <f t="shared" si="13"/>
        <v>1.0000000000000002E-3</v>
      </c>
      <c r="M69" s="230">
        <f t="shared" si="13"/>
        <v>1.0000000000000002E-3</v>
      </c>
      <c r="N69" s="230">
        <f t="shared" si="13"/>
        <v>1.0000000000000002E-3</v>
      </c>
      <c r="O69" s="230">
        <f t="shared" si="13"/>
        <v>1.0000000000000002E-3</v>
      </c>
      <c r="P69" s="231">
        <f t="shared" si="11"/>
        <v>1.0000000000000004E-2</v>
      </c>
      <c r="Q69" s="108">
        <v>0.02</v>
      </c>
      <c r="R69" s="232">
        <f t="shared" si="5"/>
        <v>-9.9999999999999967E-3</v>
      </c>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13"/>
      <c r="AR69" s="213"/>
      <c r="AS69" s="213"/>
      <c r="AT69" s="213"/>
      <c r="AU69" s="213"/>
      <c r="AV69" s="213"/>
      <c r="AW69" s="213"/>
      <c r="AX69" s="213"/>
      <c r="AY69" s="213"/>
    </row>
    <row r="70" spans="1:51" s="274" customFormat="1" ht="12.75" customHeight="1" x14ac:dyDescent="0.25">
      <c r="A70" s="485"/>
      <c r="B70" s="487"/>
      <c r="C70" s="204" t="s">
        <v>67</v>
      </c>
      <c r="D70" s="234">
        <f>D51*$B$50/$P$50</f>
        <v>0</v>
      </c>
      <c r="E70" s="234">
        <f t="shared" si="13"/>
        <v>8.0000000000000015E-4</v>
      </c>
      <c r="F70" s="234">
        <f t="shared" si="13"/>
        <v>8.0000000000000015E-4</v>
      </c>
      <c r="G70" s="234">
        <f t="shared" si="13"/>
        <v>8.0000000000000015E-4</v>
      </c>
      <c r="H70" s="234">
        <f t="shared" si="13"/>
        <v>8.0000000000000015E-4</v>
      </c>
      <c r="I70" s="234">
        <f t="shared" si="13"/>
        <v>8.0000000000000015E-4</v>
      </c>
      <c r="J70" s="234">
        <f t="shared" si="13"/>
        <v>1.0000000000000002E-3</v>
      </c>
      <c r="K70" s="234">
        <f t="shared" si="13"/>
        <v>0</v>
      </c>
      <c r="L70" s="234">
        <f t="shared" si="13"/>
        <v>0</v>
      </c>
      <c r="M70" s="234">
        <f t="shared" si="13"/>
        <v>0</v>
      </c>
      <c r="N70" s="234">
        <f t="shared" si="13"/>
        <v>0</v>
      </c>
      <c r="O70" s="234">
        <f t="shared" si="13"/>
        <v>0</v>
      </c>
      <c r="P70" s="235">
        <f t="shared" si="11"/>
        <v>5.000000000000001E-3</v>
      </c>
      <c r="Q70" s="236">
        <f>+P70</f>
        <v>5.000000000000001E-3</v>
      </c>
      <c r="R70" s="232">
        <f t="shared" si="5"/>
        <v>0</v>
      </c>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13"/>
      <c r="AR70" s="213"/>
      <c r="AS70" s="213"/>
      <c r="AT70" s="213"/>
      <c r="AU70" s="213"/>
      <c r="AV70" s="213"/>
      <c r="AW70" s="213"/>
      <c r="AX70" s="213"/>
      <c r="AY70" s="213"/>
    </row>
    <row r="71" spans="1:51" s="274" customFormat="1" ht="15.75" customHeight="1" x14ac:dyDescent="0.25">
      <c r="A71" s="233"/>
      <c r="B71" s="233"/>
      <c r="C71" s="237"/>
      <c r="D71" s="238">
        <f>D58+D60+D62+D64+D66+D68+D70</f>
        <v>1.0000000000000002E-4</v>
      </c>
      <c r="E71" s="238">
        <f t="shared" ref="E71:O71" si="14">E58+E60+E62+E64+E66+E68+E70</f>
        <v>2.5000000000000005E-3</v>
      </c>
      <c r="F71" s="238">
        <f t="shared" si="14"/>
        <v>3.9000000000000007E-3</v>
      </c>
      <c r="G71" s="238">
        <f t="shared" si="14"/>
        <v>4.4500000000000008E-3</v>
      </c>
      <c r="H71" s="238">
        <f t="shared" si="14"/>
        <v>4.6000000000000008E-3</v>
      </c>
      <c r="I71" s="238">
        <f t="shared" si="14"/>
        <v>4.1000000000000012E-3</v>
      </c>
      <c r="J71" s="238">
        <f t="shared" si="14"/>
        <v>4.850000000000001E-3</v>
      </c>
      <c r="K71" s="238">
        <f t="shared" si="14"/>
        <v>0</v>
      </c>
      <c r="L71" s="238">
        <f t="shared" si="14"/>
        <v>0</v>
      </c>
      <c r="M71" s="238">
        <f t="shared" si="14"/>
        <v>0</v>
      </c>
      <c r="N71" s="238">
        <f t="shared" si="14"/>
        <v>0</v>
      </c>
      <c r="O71" s="238">
        <f t="shared" si="14"/>
        <v>0</v>
      </c>
      <c r="P71" s="238">
        <f>P58+P60+P62+P64+P66+P68+P70</f>
        <v>2.4500000000000004E-2</v>
      </c>
      <c r="Q71" s="233"/>
      <c r="R71" s="232">
        <f>+P71-Q71</f>
        <v>2.4500000000000004E-2</v>
      </c>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13"/>
      <c r="AR71" s="213"/>
      <c r="AS71" s="213"/>
      <c r="AT71" s="213"/>
      <c r="AU71" s="213"/>
      <c r="AV71" s="213"/>
      <c r="AW71" s="213"/>
      <c r="AX71" s="213"/>
      <c r="AY71" s="213"/>
    </row>
    <row r="72" spans="1:51" s="274" customFormat="1" ht="15.75" customHeight="1" x14ac:dyDescent="0.25">
      <c r="A72" s="213"/>
      <c r="B72" s="213"/>
      <c r="C72" s="217" t="s">
        <v>67</v>
      </c>
      <c r="D72" s="239">
        <f>D71*$W$17/$B$34</f>
        <v>8.0000000000000019E-3</v>
      </c>
      <c r="E72" s="239">
        <f t="shared" ref="E72:O72" si="15">E71*$W$17/$B$34</f>
        <v>0.20000000000000007</v>
      </c>
      <c r="F72" s="239">
        <f t="shared" si="15"/>
        <v>0.31200000000000006</v>
      </c>
      <c r="G72" s="239">
        <f t="shared" si="15"/>
        <v>0.35600000000000009</v>
      </c>
      <c r="H72" s="239">
        <f t="shared" si="15"/>
        <v>0.3680000000000001</v>
      </c>
      <c r="I72" s="239">
        <f t="shared" si="15"/>
        <v>0.32800000000000012</v>
      </c>
      <c r="J72" s="239">
        <f t="shared" si="15"/>
        <v>0.38800000000000012</v>
      </c>
      <c r="K72" s="239">
        <f t="shared" si="15"/>
        <v>0</v>
      </c>
      <c r="L72" s="239">
        <f t="shared" si="15"/>
        <v>0</v>
      </c>
      <c r="M72" s="239">
        <f t="shared" si="15"/>
        <v>0</v>
      </c>
      <c r="N72" s="239">
        <f t="shared" si="15"/>
        <v>0</v>
      </c>
      <c r="O72" s="239">
        <f t="shared" si="15"/>
        <v>0</v>
      </c>
      <c r="P72" s="240">
        <f>SUM(D72:O72)</f>
        <v>1.9600000000000004</v>
      </c>
      <c r="Q72" s="212"/>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row>
    <row r="73" spans="1:51" s="274" customFormat="1" ht="13.5" customHeight="1" x14ac:dyDescent="0.25">
      <c r="A73" s="212"/>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row>
    <row r="74" spans="1:51" x14ac:dyDescent="0.25">
      <c r="D74" s="238">
        <f>+D57+D59+D61+D63+D65+D67+D69</f>
        <v>0</v>
      </c>
      <c r="E74" s="238">
        <f t="shared" ref="E74:O74" si="16">+E57+E59+E61+E63+E65+E67+E69</f>
        <v>2.850000000000001E-3</v>
      </c>
      <c r="F74" s="238">
        <f t="shared" si="16"/>
        <v>4.9000000000000016E-3</v>
      </c>
      <c r="G74" s="238">
        <f t="shared" si="16"/>
        <v>4.2500000000000012E-3</v>
      </c>
      <c r="H74" s="238">
        <f t="shared" si="16"/>
        <v>4.6000000000000008E-3</v>
      </c>
      <c r="I74" s="238">
        <f t="shared" si="16"/>
        <v>4.1000000000000012E-3</v>
      </c>
      <c r="J74" s="238">
        <f t="shared" si="16"/>
        <v>4.850000000000001E-3</v>
      </c>
      <c r="K74" s="238">
        <f t="shared" si="16"/>
        <v>4.850000000000001E-3</v>
      </c>
      <c r="L74" s="238">
        <f t="shared" si="16"/>
        <v>4.6500000000000014E-3</v>
      </c>
      <c r="M74" s="238">
        <f t="shared" si="16"/>
        <v>5.1500000000000009E-3</v>
      </c>
      <c r="N74" s="238">
        <f t="shared" si="16"/>
        <v>5.1000000000000012E-3</v>
      </c>
      <c r="O74" s="238">
        <f t="shared" si="16"/>
        <v>4.7000000000000011E-3</v>
      </c>
      <c r="P74" s="238">
        <f>SUM(D74:O74)</f>
        <v>5.000000000000001E-2</v>
      </c>
    </row>
    <row r="75" spans="1:51" x14ac:dyDescent="0.25">
      <c r="C75" s="217" t="s">
        <v>63</v>
      </c>
      <c r="D75" s="239">
        <f>D74*$W$17/$B$34</f>
        <v>0</v>
      </c>
      <c r="E75" s="239">
        <f t="shared" ref="E75" si="17">E74*$W$17/$B$34</f>
        <v>0.22800000000000009</v>
      </c>
      <c r="F75" s="239">
        <f t="shared" ref="F75" si="18">F74*$W$17/$B$34</f>
        <v>0.39200000000000018</v>
      </c>
      <c r="G75" s="239">
        <f t="shared" ref="G75" si="19">G74*$W$17/$B$34</f>
        <v>0.34000000000000014</v>
      </c>
      <c r="H75" s="239">
        <f t="shared" ref="H75" si="20">H74*$W$17/$B$34</f>
        <v>0.3680000000000001</v>
      </c>
      <c r="I75" s="239">
        <f t="shared" ref="I75" si="21">I74*$W$17/$B$34</f>
        <v>0.32800000000000012</v>
      </c>
      <c r="J75" s="239">
        <f t="shared" ref="J75" si="22">J74*$W$17/$B$34</f>
        <v>0.38800000000000012</v>
      </c>
      <c r="K75" s="239">
        <f t="shared" ref="K75" si="23">K74*$W$17/$B$34</f>
        <v>0.38800000000000012</v>
      </c>
      <c r="L75" s="239">
        <f t="shared" ref="L75" si="24">L74*$W$17/$B$34</f>
        <v>0.37200000000000016</v>
      </c>
      <c r="M75" s="239">
        <f t="shared" ref="M75" si="25">M74*$W$17/$B$34</f>
        <v>0.41200000000000009</v>
      </c>
      <c r="N75" s="239">
        <f t="shared" ref="N75" si="26">N74*$W$17/$B$34</f>
        <v>0.40800000000000014</v>
      </c>
      <c r="O75" s="239">
        <f t="shared" ref="O75" si="27">O74*$W$17/$B$34</f>
        <v>0.37600000000000011</v>
      </c>
      <c r="P75" s="240">
        <f>SUM(D75:O75)</f>
        <v>4.0000000000000009</v>
      </c>
    </row>
  </sheetData>
  <mergeCells count="102">
    <mergeCell ref="A65:A66"/>
    <mergeCell ref="B65:B66"/>
    <mergeCell ref="A67:A68"/>
    <mergeCell ref="B67:B68"/>
    <mergeCell ref="A69:A70"/>
    <mergeCell ref="B69:B70"/>
    <mergeCell ref="A59:A60"/>
    <mergeCell ref="B59:B60"/>
    <mergeCell ref="A61:A62"/>
    <mergeCell ref="B61:B62"/>
    <mergeCell ref="A63:A64"/>
    <mergeCell ref="B63:B64"/>
    <mergeCell ref="A55:A56"/>
    <mergeCell ref="B55:B56"/>
    <mergeCell ref="C55:P55"/>
    <mergeCell ref="A57:A58"/>
    <mergeCell ref="B57:B58"/>
    <mergeCell ref="A48:A49"/>
    <mergeCell ref="B48:B49"/>
    <mergeCell ref="Q48:AD49"/>
    <mergeCell ref="A50:A51"/>
    <mergeCell ref="B50:B51"/>
    <mergeCell ref="Q50:AD51"/>
    <mergeCell ref="A44:A45"/>
    <mergeCell ref="B44:B45"/>
    <mergeCell ref="Q44:AD45"/>
    <mergeCell ref="A46:A47"/>
    <mergeCell ref="B46:B47"/>
    <mergeCell ref="Q46:AD4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7:AD27"/>
    <mergeCell ref="A28:A29"/>
    <mergeCell ref="B28:C29"/>
    <mergeCell ref="D28:O28"/>
    <mergeCell ref="P28:P29"/>
    <mergeCell ref="Q28:AD29"/>
    <mergeCell ref="AC17:AD17"/>
    <mergeCell ref="A19:AD19"/>
    <mergeCell ref="C20:P20"/>
    <mergeCell ref="Q20:AD20"/>
    <mergeCell ref="C16:AB16"/>
    <mergeCell ref="A17:B17"/>
    <mergeCell ref="C17:Q17"/>
    <mergeCell ref="R17:V17"/>
    <mergeCell ref="W17:X17"/>
    <mergeCell ref="Y17:AB17"/>
    <mergeCell ref="A15:B15"/>
    <mergeCell ref="C15:K15"/>
    <mergeCell ref="L15:Q15"/>
    <mergeCell ref="R15:X15"/>
    <mergeCell ref="Y15:Z15"/>
    <mergeCell ref="AA15:AD15"/>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 ref="O7:P7"/>
  </mergeCells>
  <phoneticPr fontId="50" type="noConversion"/>
  <dataValidations count="5">
    <dataValidation type="textLength" operator="lessThanOrEqual" allowBlank="1" showInputMessage="1" showErrorMessage="1" errorTitle="Máximo 2.000 caracteres" error="Máximo 2.000 caracteres" sqref="W34 AA34 Q34 Q42: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44:AD51 Q40:AD41" xr:uid="{5818232E-E430-4C6E-8516-F19F95F2772D}">
      <formula1>20000</formula1>
    </dataValidation>
    <dataValidation type="textLength" operator="lessThanOrEqual" allowBlank="1" showInputMessage="1" showErrorMessage="1" errorTitle="Máximo 2.000 caracteres" error="Máximo 2.000 caracteres" sqref="Q38:AD39" xr:uid="{3D2A8278-740D-4CFE-8D3E-8EEAF79051C5}">
      <formula1>15000</formula1>
    </dataValidation>
  </dataValidations>
  <printOptions horizontalCentered="1"/>
  <pageMargins left="0.19685039370078741" right="0.19685039370078741" top="0.19685039370078741" bottom="0.19685039370078741" header="0" footer="0"/>
  <pageSetup scale="28" orientation="landscape" r:id="rId1"/>
  <rowBreaks count="1" manualBreakCount="1">
    <brk id="43" max="2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69"/>
  <sheetViews>
    <sheetView view="pageBreakPreview" topLeftCell="B18" zoomScale="75" zoomScaleNormal="75" zoomScaleSheetLayoutView="75" workbookViewId="0">
      <selection activeCell="N24" sqref="N24"/>
    </sheetView>
  </sheetViews>
  <sheetFormatPr baseColWidth="10" defaultColWidth="10.85546875" defaultRowHeight="15" x14ac:dyDescent="0.25"/>
  <cols>
    <col min="1" max="1" width="38.42578125" style="108" customWidth="1"/>
    <col min="2" max="2" width="15.42578125" style="108" customWidth="1"/>
    <col min="3" max="3" width="18.85546875" style="108" customWidth="1"/>
    <col min="4" max="5" width="15.42578125" style="108" customWidth="1"/>
    <col min="6" max="6" width="16.85546875" style="108" customWidth="1"/>
    <col min="7" max="15" width="15.42578125" style="108" customWidth="1"/>
    <col min="16" max="16" width="17.42578125" style="108" customWidth="1"/>
    <col min="17" max="17" width="16" style="108" bestFit="1" customWidth="1"/>
    <col min="18" max="28" width="14.85546875" style="108" bestFit="1" customWidth="1"/>
    <col min="29" max="29" width="16" style="108" bestFit="1" customWidth="1"/>
    <col min="30" max="30" width="8.28515625" style="108" customWidth="1"/>
    <col min="31" max="31" width="6.42578125" style="108" bestFit="1" customWidth="1"/>
    <col min="32" max="32" width="22.85546875" style="108" customWidth="1"/>
    <col min="33" max="33" width="18.42578125" style="108" bestFit="1" customWidth="1"/>
    <col min="34" max="34" width="8.42578125" style="108" customWidth="1"/>
    <col min="35" max="35" width="18.42578125" style="108" bestFit="1" customWidth="1"/>
    <col min="36" max="36" width="5.42578125" style="108" customWidth="1"/>
    <col min="37" max="37" width="18.42578125" style="108" bestFit="1" customWidth="1"/>
    <col min="38" max="38" width="4.42578125" style="108" customWidth="1"/>
    <col min="39" max="39" width="23" style="108" bestFit="1" customWidth="1"/>
    <col min="40" max="40" width="10.85546875" style="108"/>
    <col min="41" max="41" width="18.42578125" style="108" bestFit="1" customWidth="1"/>
    <col min="42" max="42" width="16.140625" style="108" customWidth="1"/>
    <col min="43" max="16384" width="10.85546875" style="108"/>
  </cols>
  <sheetData>
    <row r="1" spans="1:30"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40"/>
    </row>
    <row r="2" spans="1:30"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2"/>
      <c r="Z2" s="342"/>
      <c r="AA2" s="343"/>
      <c r="AB2" s="344" t="s">
        <v>3</v>
      </c>
      <c r="AC2" s="345"/>
      <c r="AD2" s="346"/>
    </row>
    <row r="3" spans="1:30" ht="37.5"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8"/>
      <c r="Z3" s="348"/>
      <c r="AA3" s="349"/>
      <c r="AB3" s="344" t="s">
        <v>5</v>
      </c>
      <c r="AC3" s="345"/>
      <c r="AD3" s="346"/>
    </row>
    <row r="4" spans="1:30"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2"/>
      <c r="AB4" s="353" t="s">
        <v>6</v>
      </c>
      <c r="AC4" s="354"/>
      <c r="AD4" s="355"/>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358" t="s">
        <v>7</v>
      </c>
      <c r="B7" s="359"/>
      <c r="C7" s="364" t="s">
        <v>8</v>
      </c>
      <c r="D7" s="358" t="s">
        <v>9</v>
      </c>
      <c r="E7" s="367"/>
      <c r="F7" s="367"/>
      <c r="G7" s="367"/>
      <c r="H7" s="359"/>
      <c r="I7" s="370">
        <v>44776</v>
      </c>
      <c r="J7" s="371"/>
      <c r="K7" s="358" t="s">
        <v>10</v>
      </c>
      <c r="L7" s="359"/>
      <c r="M7" s="386" t="s">
        <v>11</v>
      </c>
      <c r="N7" s="387"/>
      <c r="O7" s="376"/>
      <c r="P7" s="505"/>
      <c r="Q7" s="54"/>
      <c r="R7" s="54"/>
      <c r="S7" s="54"/>
      <c r="T7" s="54"/>
      <c r="U7" s="54"/>
      <c r="V7" s="54"/>
      <c r="W7" s="54"/>
      <c r="X7" s="54"/>
      <c r="Y7" s="54"/>
      <c r="Z7" s="55"/>
      <c r="AA7" s="54"/>
      <c r="AB7" s="54"/>
      <c r="AC7" s="60"/>
      <c r="AD7" s="61"/>
    </row>
    <row r="8" spans="1:30" ht="15" customHeight="1" x14ac:dyDescent="0.25">
      <c r="A8" s="360"/>
      <c r="B8" s="361"/>
      <c r="C8" s="365"/>
      <c r="D8" s="360"/>
      <c r="E8" s="368"/>
      <c r="F8" s="368"/>
      <c r="G8" s="368"/>
      <c r="H8" s="361"/>
      <c r="I8" s="372"/>
      <c r="J8" s="373"/>
      <c r="K8" s="360"/>
      <c r="L8" s="361"/>
      <c r="M8" s="378" t="s">
        <v>12</v>
      </c>
      <c r="N8" s="379"/>
      <c r="O8" s="380"/>
      <c r="P8" s="381"/>
      <c r="Q8" s="54"/>
      <c r="R8" s="54"/>
      <c r="S8" s="54"/>
      <c r="T8" s="54"/>
      <c r="U8" s="54"/>
      <c r="V8" s="54"/>
      <c r="W8" s="54"/>
      <c r="X8" s="54"/>
      <c r="Y8" s="54"/>
      <c r="Z8" s="55"/>
      <c r="AA8" s="54"/>
      <c r="AB8" s="54"/>
      <c r="AC8" s="60"/>
      <c r="AD8" s="61"/>
    </row>
    <row r="9" spans="1:30" ht="15.75" customHeight="1" thickBot="1" x14ac:dyDescent="0.3">
      <c r="A9" s="362"/>
      <c r="B9" s="363"/>
      <c r="C9" s="366"/>
      <c r="D9" s="362"/>
      <c r="E9" s="369"/>
      <c r="F9" s="369"/>
      <c r="G9" s="369"/>
      <c r="H9" s="363"/>
      <c r="I9" s="374"/>
      <c r="J9" s="375"/>
      <c r="K9" s="362"/>
      <c r="L9" s="363"/>
      <c r="M9" s="382" t="s">
        <v>13</v>
      </c>
      <c r="N9" s="383"/>
      <c r="O9" s="384" t="s">
        <v>14</v>
      </c>
      <c r="P9" s="385"/>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220"/>
      <c r="J10" s="220"/>
      <c r="K10" s="65"/>
      <c r="L10" s="65"/>
      <c r="M10" s="221"/>
      <c r="N10" s="221"/>
      <c r="O10" s="115"/>
      <c r="P10" s="115"/>
      <c r="Q10" s="158"/>
      <c r="R10" s="158"/>
      <c r="S10" s="158"/>
      <c r="T10" s="158"/>
      <c r="U10" s="158"/>
      <c r="V10" s="158"/>
      <c r="W10" s="158"/>
      <c r="X10" s="158"/>
      <c r="Y10" s="158"/>
      <c r="Z10" s="159"/>
      <c r="AA10" s="158"/>
      <c r="AB10" s="158"/>
      <c r="AC10" s="160"/>
      <c r="AD10" s="161"/>
    </row>
    <row r="11" spans="1:30" ht="15" customHeight="1" x14ac:dyDescent="0.25">
      <c r="A11" s="358" t="s">
        <v>15</v>
      </c>
      <c r="B11" s="359"/>
      <c r="C11" s="641" t="s">
        <v>190</v>
      </c>
      <c r="D11" s="642"/>
      <c r="E11" s="642"/>
      <c r="F11" s="642"/>
      <c r="G11" s="642"/>
      <c r="H11" s="642"/>
      <c r="I11" s="642"/>
      <c r="J11" s="642"/>
      <c r="K11" s="642"/>
      <c r="L11" s="642"/>
      <c r="M11" s="642"/>
      <c r="N11" s="642"/>
      <c r="O11" s="642"/>
      <c r="P11" s="642"/>
      <c r="Q11" s="642"/>
      <c r="R11" s="642"/>
      <c r="S11" s="642"/>
      <c r="T11" s="642"/>
      <c r="U11" s="642"/>
      <c r="V11" s="642"/>
      <c r="W11" s="642"/>
      <c r="X11" s="642"/>
      <c r="Y11" s="642"/>
      <c r="Z11" s="642"/>
      <c r="AA11" s="642"/>
      <c r="AB11" s="642"/>
      <c r="AC11" s="642"/>
      <c r="AD11" s="643"/>
    </row>
    <row r="12" spans="1:30" ht="15" customHeight="1" x14ac:dyDescent="0.25">
      <c r="A12" s="360"/>
      <c r="B12" s="361"/>
      <c r="C12" s="644"/>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6"/>
    </row>
    <row r="13" spans="1:30" ht="15" customHeight="1" thickBot="1" x14ac:dyDescent="0.3">
      <c r="A13" s="362"/>
      <c r="B13" s="363"/>
      <c r="C13" s="647"/>
      <c r="D13" s="648"/>
      <c r="E13" s="648"/>
      <c r="F13" s="648"/>
      <c r="G13" s="648"/>
      <c r="H13" s="648"/>
      <c r="I13" s="648"/>
      <c r="J13" s="648"/>
      <c r="K13" s="648"/>
      <c r="L13" s="648"/>
      <c r="M13" s="648"/>
      <c r="N13" s="648"/>
      <c r="O13" s="648"/>
      <c r="P13" s="648"/>
      <c r="Q13" s="648"/>
      <c r="R13" s="648"/>
      <c r="S13" s="648"/>
      <c r="T13" s="648"/>
      <c r="U13" s="648"/>
      <c r="V13" s="648"/>
      <c r="W13" s="648"/>
      <c r="X13" s="648"/>
      <c r="Y13" s="648"/>
      <c r="Z13" s="648"/>
      <c r="AA13" s="648"/>
      <c r="AB13" s="648"/>
      <c r="AC13" s="648"/>
      <c r="AD13" s="64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48" customHeight="1" thickBot="1" x14ac:dyDescent="0.3">
      <c r="A15" s="407" t="s">
        <v>17</v>
      </c>
      <c r="B15" s="408"/>
      <c r="C15" s="506" t="s">
        <v>18</v>
      </c>
      <c r="D15" s="507"/>
      <c r="E15" s="507"/>
      <c r="F15" s="507"/>
      <c r="G15" s="507"/>
      <c r="H15" s="507"/>
      <c r="I15" s="507"/>
      <c r="J15" s="507"/>
      <c r="K15" s="508"/>
      <c r="L15" s="420" t="s">
        <v>19</v>
      </c>
      <c r="M15" s="424"/>
      <c r="N15" s="424"/>
      <c r="O15" s="424"/>
      <c r="P15" s="424"/>
      <c r="Q15" s="421"/>
      <c r="R15" s="417" t="s">
        <v>20</v>
      </c>
      <c r="S15" s="418"/>
      <c r="T15" s="418"/>
      <c r="U15" s="418"/>
      <c r="V15" s="418"/>
      <c r="W15" s="418"/>
      <c r="X15" s="419"/>
      <c r="Y15" s="420" t="s">
        <v>21</v>
      </c>
      <c r="Z15" s="421"/>
      <c r="AA15" s="403" t="s">
        <v>160</v>
      </c>
      <c r="AB15" s="404"/>
      <c r="AC15" s="404"/>
      <c r="AD15" s="405"/>
    </row>
    <row r="16" spans="1:30" ht="9" customHeight="1" thickBot="1" x14ac:dyDescent="0.3">
      <c r="A16" s="59"/>
      <c r="B16" s="54"/>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73"/>
      <c r="AD16" s="74"/>
    </row>
    <row r="17" spans="1:41" s="222" customFormat="1" ht="37.5" customHeight="1" thickBot="1" x14ac:dyDescent="0.3">
      <c r="A17" s="407" t="s">
        <v>23</v>
      </c>
      <c r="B17" s="408"/>
      <c r="C17" s="506" t="s">
        <v>191</v>
      </c>
      <c r="D17" s="507"/>
      <c r="E17" s="507"/>
      <c r="F17" s="507"/>
      <c r="G17" s="507"/>
      <c r="H17" s="507"/>
      <c r="I17" s="507"/>
      <c r="J17" s="507"/>
      <c r="K17" s="507"/>
      <c r="L17" s="507"/>
      <c r="M17" s="507"/>
      <c r="N17" s="507"/>
      <c r="O17" s="507"/>
      <c r="P17" s="507"/>
      <c r="Q17" s="508"/>
      <c r="R17" s="420" t="s">
        <v>25</v>
      </c>
      <c r="S17" s="424"/>
      <c r="T17" s="424"/>
      <c r="U17" s="424"/>
      <c r="V17" s="421"/>
      <c r="W17" s="422">
        <v>1</v>
      </c>
      <c r="X17" s="423"/>
      <c r="Y17" s="424" t="s">
        <v>26</v>
      </c>
      <c r="Z17" s="424"/>
      <c r="AA17" s="424"/>
      <c r="AB17" s="421"/>
      <c r="AC17" s="412">
        <v>0.1</v>
      </c>
      <c r="AD17" s="413"/>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20" t="s">
        <v>27</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1"/>
      <c r="AE19" s="223"/>
      <c r="AF19" s="223"/>
    </row>
    <row r="20" spans="1:41" ht="32.25" customHeight="1" thickBot="1" x14ac:dyDescent="0.3">
      <c r="A20" s="270"/>
      <c r="B20" s="58"/>
      <c r="C20" s="420" t="s">
        <v>28</v>
      </c>
      <c r="D20" s="424"/>
      <c r="E20" s="424"/>
      <c r="F20" s="424"/>
      <c r="G20" s="424"/>
      <c r="H20" s="424"/>
      <c r="I20" s="424"/>
      <c r="J20" s="424"/>
      <c r="K20" s="424"/>
      <c r="L20" s="424"/>
      <c r="M20" s="424"/>
      <c r="N20" s="424"/>
      <c r="O20" s="424"/>
      <c r="P20" s="421"/>
      <c r="Q20" s="420" t="s">
        <v>29</v>
      </c>
      <c r="R20" s="424"/>
      <c r="S20" s="424"/>
      <c r="T20" s="424"/>
      <c r="U20" s="424"/>
      <c r="V20" s="424"/>
      <c r="W20" s="424"/>
      <c r="X20" s="424"/>
      <c r="Y20" s="424"/>
      <c r="Z20" s="424"/>
      <c r="AA20" s="424"/>
      <c r="AB20" s="424"/>
      <c r="AC20" s="424"/>
      <c r="AD20" s="421"/>
      <c r="AE20" s="223"/>
      <c r="AF20" s="223"/>
    </row>
    <row r="21" spans="1:41" ht="32.25" customHeight="1" thickBot="1" x14ac:dyDescent="0.3">
      <c r="A21" s="59"/>
      <c r="B21" s="271"/>
      <c r="C21" s="194" t="s">
        <v>30</v>
      </c>
      <c r="D21" s="195" t="s">
        <v>31</v>
      </c>
      <c r="E21" s="195" t="s">
        <v>32</v>
      </c>
      <c r="F21" s="195" t="s">
        <v>33</v>
      </c>
      <c r="G21" s="195" t="s">
        <v>34</v>
      </c>
      <c r="H21" s="195" t="s">
        <v>35</v>
      </c>
      <c r="I21" s="195" t="s">
        <v>8</v>
      </c>
      <c r="J21" s="195" t="s">
        <v>36</v>
      </c>
      <c r="K21" s="195" t="s">
        <v>37</v>
      </c>
      <c r="L21" s="195" t="s">
        <v>38</v>
      </c>
      <c r="M21" s="195" t="s">
        <v>39</v>
      </c>
      <c r="N21" s="195" t="s">
        <v>40</v>
      </c>
      <c r="O21" s="195" t="s">
        <v>41</v>
      </c>
      <c r="P21" s="196" t="s">
        <v>42</v>
      </c>
      <c r="Q21" s="194" t="s">
        <v>30</v>
      </c>
      <c r="R21" s="195" t="s">
        <v>31</v>
      </c>
      <c r="S21" s="195" t="s">
        <v>32</v>
      </c>
      <c r="T21" s="195" t="s">
        <v>33</v>
      </c>
      <c r="U21" s="195" t="s">
        <v>34</v>
      </c>
      <c r="V21" s="195" t="s">
        <v>35</v>
      </c>
      <c r="W21" s="195" t="s">
        <v>8</v>
      </c>
      <c r="X21" s="195" t="s">
        <v>36</v>
      </c>
      <c r="Y21" s="195" t="s">
        <v>37</v>
      </c>
      <c r="Z21" s="195" t="s">
        <v>38</v>
      </c>
      <c r="AA21" s="195" t="s">
        <v>39</v>
      </c>
      <c r="AB21" s="195" t="s">
        <v>40</v>
      </c>
      <c r="AC21" s="195" t="s">
        <v>41</v>
      </c>
      <c r="AD21" s="196" t="s">
        <v>42</v>
      </c>
      <c r="AE21" s="224"/>
      <c r="AF21" s="224"/>
    </row>
    <row r="22" spans="1:41" ht="32.25" customHeight="1" x14ac:dyDescent="0.25">
      <c r="A22" s="187" t="s">
        <v>43</v>
      </c>
      <c r="B22" s="272"/>
      <c r="C22" s="269"/>
      <c r="D22" s="263" t="s">
        <v>44</v>
      </c>
      <c r="E22" s="263" t="s">
        <v>44</v>
      </c>
      <c r="F22" s="263" t="s">
        <v>44</v>
      </c>
      <c r="G22" s="263" t="s">
        <v>44</v>
      </c>
      <c r="H22" s="263" t="s">
        <v>44</v>
      </c>
      <c r="I22" s="263" t="s">
        <v>44</v>
      </c>
      <c r="J22" s="263" t="s">
        <v>44</v>
      </c>
      <c r="K22" s="263" t="s">
        <v>44</v>
      </c>
      <c r="L22" s="263" t="s">
        <v>44</v>
      </c>
      <c r="M22" s="263" t="s">
        <v>44</v>
      </c>
      <c r="N22" s="263" t="s">
        <v>44</v>
      </c>
      <c r="O22" s="263">
        <f>SUM(C22:N22)</f>
        <v>0</v>
      </c>
      <c r="P22" s="261"/>
      <c r="Q22" s="277">
        <v>449548824.75</v>
      </c>
      <c r="R22" s="263" t="s">
        <v>44</v>
      </c>
      <c r="S22" s="263" t="s">
        <v>44</v>
      </c>
      <c r="T22" s="263">
        <f>750000+57597167.6+8596121.2</f>
        <v>66943288.799999997</v>
      </c>
      <c r="U22" s="263">
        <v>12000000</v>
      </c>
      <c r="V22" s="265" t="s">
        <v>44</v>
      </c>
      <c r="W22" s="265" t="s">
        <v>44</v>
      </c>
      <c r="X22" s="265" t="s">
        <v>44</v>
      </c>
      <c r="Y22" s="265" t="s">
        <v>44</v>
      </c>
      <c r="Z22" s="265" t="s">
        <v>44</v>
      </c>
      <c r="AA22" s="265" t="s">
        <v>44</v>
      </c>
      <c r="AB22" s="265" t="s">
        <v>44</v>
      </c>
      <c r="AC22" s="300">
        <f>SUM(Q22:AB22)</f>
        <v>528492113.55000001</v>
      </c>
      <c r="AD22" s="313"/>
      <c r="AE22" s="224"/>
      <c r="AF22" s="224"/>
    </row>
    <row r="23" spans="1:41" ht="32.25" customHeight="1" x14ac:dyDescent="0.25">
      <c r="A23" s="188" t="s">
        <v>45</v>
      </c>
      <c r="B23" s="189"/>
      <c r="C23" s="262" t="s">
        <v>46</v>
      </c>
      <c r="D23" s="263" t="s">
        <v>46</v>
      </c>
      <c r="E23" s="263" t="s">
        <v>46</v>
      </c>
      <c r="F23" s="263" t="s">
        <v>46</v>
      </c>
      <c r="G23" s="263" t="s">
        <v>46</v>
      </c>
      <c r="H23" s="263" t="s">
        <v>46</v>
      </c>
      <c r="I23" s="263" t="s">
        <v>46</v>
      </c>
      <c r="J23" s="263" t="s">
        <v>46</v>
      </c>
      <c r="K23" s="263" t="s">
        <v>46</v>
      </c>
      <c r="L23" s="263" t="s">
        <v>46</v>
      </c>
      <c r="M23" s="263" t="s">
        <v>46</v>
      </c>
      <c r="N23" s="263" t="s">
        <v>46</v>
      </c>
      <c r="O23" s="265" t="s">
        <v>46</v>
      </c>
      <c r="P23" s="261"/>
      <c r="Q23" s="269">
        <v>410133325</v>
      </c>
      <c r="R23" s="265">
        <v>0</v>
      </c>
      <c r="S23" s="265">
        <f>406536357-Q23</f>
        <v>-3596968</v>
      </c>
      <c r="T23" s="265">
        <v>10699642</v>
      </c>
      <c r="U23" s="265">
        <f>424965393-Q23-R23-S23-T23</f>
        <v>7729394</v>
      </c>
      <c r="V23" s="265">
        <f>482417460-Q23-R23-S23-T23-U23</f>
        <v>57452067</v>
      </c>
      <c r="W23" s="265">
        <f>528392760-Q23-R23-S23-T23-U23-V23</f>
        <v>45975300</v>
      </c>
      <c r="X23" s="265" t="s">
        <v>44</v>
      </c>
      <c r="Y23" s="265" t="s">
        <v>44</v>
      </c>
      <c r="Z23" s="265" t="s">
        <v>44</v>
      </c>
      <c r="AA23" s="265" t="s">
        <v>44</v>
      </c>
      <c r="AB23" s="265" t="s">
        <v>44</v>
      </c>
      <c r="AC23" s="299">
        <f>SUM(Q23:AB23)</f>
        <v>528392760</v>
      </c>
      <c r="AD23" s="312">
        <f>(SUM(Q23:W23)/SUM(Q22:W22))</f>
        <v>0.99981200561474304</v>
      </c>
      <c r="AE23" s="224"/>
      <c r="AF23" s="224"/>
    </row>
    <row r="24" spans="1:41" ht="32.25" customHeight="1" x14ac:dyDescent="0.25">
      <c r="A24" s="188" t="s">
        <v>47</v>
      </c>
      <c r="B24" s="189"/>
      <c r="C24" s="277" t="s">
        <v>44</v>
      </c>
      <c r="D24" s="265">
        <f>1013333+3500000</f>
        <v>4513333</v>
      </c>
      <c r="E24" s="265">
        <v>14373449</v>
      </c>
      <c r="F24" s="265">
        <f>37917+3611455</f>
        <v>3649372</v>
      </c>
      <c r="G24" s="265">
        <f>17499999-17816665.5-3537916.75509256</f>
        <v>-3854583.2550925598</v>
      </c>
      <c r="H24" s="263" t="s">
        <v>44</v>
      </c>
      <c r="I24" s="263">
        <v>-509256</v>
      </c>
      <c r="J24" s="263" t="s">
        <v>44</v>
      </c>
      <c r="K24" s="263" t="s">
        <v>44</v>
      </c>
      <c r="L24" s="263" t="s">
        <v>44</v>
      </c>
      <c r="M24" s="263" t="s">
        <v>44</v>
      </c>
      <c r="N24" s="263" t="s">
        <v>44</v>
      </c>
      <c r="O24" s="300">
        <f>SUM(C24:N24)</f>
        <v>18172314.744907439</v>
      </c>
      <c r="P24" s="261"/>
      <c r="Q24" s="280" t="s">
        <v>44</v>
      </c>
      <c r="R24" s="265">
        <v>21074866.0933333</v>
      </c>
      <c r="S24" s="263">
        <v>38101431.693333298</v>
      </c>
      <c r="T24" s="263">
        <v>37767764.743333302</v>
      </c>
      <c r="U24" s="263">
        <v>37767764.493333302</v>
      </c>
      <c r="V24" s="263">
        <v>44967410</v>
      </c>
      <c r="W24" s="265">
        <v>50815014.493333302</v>
      </c>
      <c r="X24" s="265">
        <v>53815014.493333302</v>
      </c>
      <c r="Y24" s="265">
        <v>53815014.493333302</v>
      </c>
      <c r="Z24" s="265">
        <v>53815014.493333302</v>
      </c>
      <c r="AA24" s="265">
        <v>53815014.493333302</v>
      </c>
      <c r="AB24" s="265">
        <v>82737804.159999996</v>
      </c>
      <c r="AC24" s="299">
        <f>SUM(Q24:AB24)</f>
        <v>528492113.64999962</v>
      </c>
      <c r="AD24" s="313"/>
      <c r="AE24" s="224"/>
      <c r="AF24" s="224"/>
      <c r="AG24" s="225"/>
    </row>
    <row r="25" spans="1:41" ht="32.25" customHeight="1" thickBot="1" x14ac:dyDescent="0.3">
      <c r="A25" s="190" t="s">
        <v>48</v>
      </c>
      <c r="B25" s="273"/>
      <c r="C25" s="278">
        <v>696667</v>
      </c>
      <c r="D25" s="279">
        <f>7612284-C25</f>
        <v>6915617</v>
      </c>
      <c r="E25" s="279">
        <v>2781031</v>
      </c>
      <c r="F25" s="279">
        <v>1430394</v>
      </c>
      <c r="G25" s="279">
        <f>18172315-C25-D25-E25-F25</f>
        <v>6348606</v>
      </c>
      <c r="H25" s="279"/>
      <c r="I25" s="279"/>
      <c r="J25" s="279" t="s">
        <v>44</v>
      </c>
      <c r="K25" s="279" t="s">
        <v>44</v>
      </c>
      <c r="L25" s="279" t="s">
        <v>44</v>
      </c>
      <c r="M25" s="279" t="s">
        <v>44</v>
      </c>
      <c r="N25" s="279" t="s">
        <v>44</v>
      </c>
      <c r="O25" s="279">
        <f>SUM(C25:N25)</f>
        <v>18172315</v>
      </c>
      <c r="P25" s="311">
        <f>(SUM(C25:H25)/SUM(C24:H24))</f>
        <v>0.97274020734866418</v>
      </c>
      <c r="Q25" s="281" t="s">
        <v>44</v>
      </c>
      <c r="R25" s="282">
        <v>18037790</v>
      </c>
      <c r="S25" s="282">
        <v>36241892</v>
      </c>
      <c r="T25" s="282">
        <v>35434550</v>
      </c>
      <c r="U25" s="282">
        <f>125148782-R25-S25-T25</f>
        <v>35434550</v>
      </c>
      <c r="V25" s="282">
        <f>169422974-R25-S25-T25-U25</f>
        <v>44274192</v>
      </c>
      <c r="W25" s="282">
        <f>203747276-R25-S25-T25-U25-V25</f>
        <v>34324302</v>
      </c>
      <c r="X25" s="282" t="s">
        <v>44</v>
      </c>
      <c r="Y25" s="282" t="s">
        <v>44</v>
      </c>
      <c r="Z25" s="282" t="s">
        <v>44</v>
      </c>
      <c r="AA25" s="282" t="s">
        <v>44</v>
      </c>
      <c r="AB25" s="282" t="s">
        <v>44</v>
      </c>
      <c r="AC25" s="309">
        <f>SUM(Q25:AB25)</f>
        <v>203747276</v>
      </c>
      <c r="AD25" s="311">
        <f>(SUM(Q25:W25)/SUM(Q24:W24))</f>
        <v>0.88395816667587257</v>
      </c>
      <c r="AE25" s="224"/>
      <c r="AF25" s="224"/>
      <c r="AG25" s="225"/>
    </row>
    <row r="26" spans="1:41" ht="32.25" customHeight="1" thickBot="1" x14ac:dyDescent="0.3">
      <c r="A26" s="59"/>
      <c r="B26" s="54"/>
      <c r="C26" s="80"/>
      <c r="D26" s="80"/>
      <c r="E26" s="80"/>
      <c r="F26" s="80"/>
      <c r="G26" s="80"/>
      <c r="H26" s="80"/>
      <c r="I26" s="80"/>
      <c r="J26" s="80"/>
      <c r="K26" s="80"/>
      <c r="L26" s="80"/>
      <c r="M26" s="80"/>
      <c r="N26" s="80"/>
      <c r="O26" s="294"/>
      <c r="P26" s="294"/>
      <c r="Q26" s="80"/>
      <c r="R26" s="80"/>
      <c r="S26" s="80"/>
      <c r="T26" s="80"/>
      <c r="U26" s="80"/>
      <c r="V26" s="80"/>
      <c r="W26" s="80"/>
      <c r="X26" s="80"/>
      <c r="Y26" s="80"/>
      <c r="Z26" s="80"/>
      <c r="AA26" s="80"/>
      <c r="AB26" s="80"/>
      <c r="AC26" s="60"/>
      <c r="AD26" s="161"/>
    </row>
    <row r="27" spans="1:41" ht="33.950000000000003" customHeight="1" x14ac:dyDescent="0.25">
      <c r="A27" s="399" t="s">
        <v>49</v>
      </c>
      <c r="B27" s="400"/>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2"/>
    </row>
    <row r="28" spans="1:41" ht="15" customHeight="1" x14ac:dyDescent="0.25">
      <c r="A28" s="388" t="s">
        <v>50</v>
      </c>
      <c r="B28" s="390" t="s">
        <v>51</v>
      </c>
      <c r="C28" s="391"/>
      <c r="D28" s="394" t="s">
        <v>52</v>
      </c>
      <c r="E28" s="395"/>
      <c r="F28" s="395"/>
      <c r="G28" s="395"/>
      <c r="H28" s="395"/>
      <c r="I28" s="395"/>
      <c r="J28" s="395"/>
      <c r="K28" s="395"/>
      <c r="L28" s="395"/>
      <c r="M28" s="395"/>
      <c r="N28" s="395"/>
      <c r="O28" s="396"/>
      <c r="P28" s="397" t="s">
        <v>41</v>
      </c>
      <c r="Q28" s="397" t="s">
        <v>53</v>
      </c>
      <c r="R28" s="397"/>
      <c r="S28" s="397"/>
      <c r="T28" s="397"/>
      <c r="U28" s="397"/>
      <c r="V28" s="397"/>
      <c r="W28" s="397"/>
      <c r="X28" s="397"/>
      <c r="Y28" s="397"/>
      <c r="Z28" s="397"/>
      <c r="AA28" s="397"/>
      <c r="AB28" s="397"/>
      <c r="AC28" s="397"/>
      <c r="AD28" s="398"/>
    </row>
    <row r="29" spans="1:41" ht="27" customHeight="1" x14ac:dyDescent="0.25">
      <c r="A29" s="389"/>
      <c r="B29" s="392"/>
      <c r="C29" s="393"/>
      <c r="D29" s="88" t="s">
        <v>30</v>
      </c>
      <c r="E29" s="88" t="s">
        <v>31</v>
      </c>
      <c r="F29" s="88" t="s">
        <v>32</v>
      </c>
      <c r="G29" s="88" t="s">
        <v>33</v>
      </c>
      <c r="H29" s="88" t="s">
        <v>34</v>
      </c>
      <c r="I29" s="88" t="s">
        <v>35</v>
      </c>
      <c r="J29" s="88" t="s">
        <v>8</v>
      </c>
      <c r="K29" s="88" t="s">
        <v>36</v>
      </c>
      <c r="L29" s="88" t="s">
        <v>37</v>
      </c>
      <c r="M29" s="88" t="s">
        <v>38</v>
      </c>
      <c r="N29" s="88" t="s">
        <v>39</v>
      </c>
      <c r="O29" s="88" t="s">
        <v>40</v>
      </c>
      <c r="P29" s="396"/>
      <c r="Q29" s="397"/>
      <c r="R29" s="397"/>
      <c r="S29" s="397"/>
      <c r="T29" s="397"/>
      <c r="U29" s="397"/>
      <c r="V29" s="397"/>
      <c r="W29" s="397"/>
      <c r="X29" s="397"/>
      <c r="Y29" s="397"/>
      <c r="Z29" s="397"/>
      <c r="AA29" s="397"/>
      <c r="AB29" s="397"/>
      <c r="AC29" s="397"/>
      <c r="AD29" s="398"/>
    </row>
    <row r="30" spans="1:41" ht="72" customHeight="1" thickBot="1" x14ac:dyDescent="0.3">
      <c r="A30" s="219" t="s">
        <v>191</v>
      </c>
      <c r="B30" s="650"/>
      <c r="C30" s="651"/>
      <c r="D30" s="89"/>
      <c r="E30" s="89"/>
      <c r="F30" s="298"/>
      <c r="G30" s="89"/>
      <c r="H30" s="89"/>
      <c r="I30" s="89"/>
      <c r="J30" s="89"/>
      <c r="K30" s="89"/>
      <c r="L30" s="89"/>
      <c r="M30" s="89"/>
      <c r="N30" s="89"/>
      <c r="O30" s="89"/>
      <c r="P30" s="86">
        <f>SUM(D30:O30)</f>
        <v>0</v>
      </c>
      <c r="Q30" s="427" t="s">
        <v>192</v>
      </c>
      <c r="R30" s="427"/>
      <c r="S30" s="427"/>
      <c r="T30" s="427"/>
      <c r="U30" s="427"/>
      <c r="V30" s="427"/>
      <c r="W30" s="427"/>
      <c r="X30" s="427"/>
      <c r="Y30" s="427"/>
      <c r="Z30" s="427"/>
      <c r="AA30" s="427"/>
      <c r="AB30" s="427"/>
      <c r="AC30" s="427"/>
      <c r="AD30" s="428"/>
    </row>
    <row r="31" spans="1:41" ht="45" customHeight="1" x14ac:dyDescent="0.25">
      <c r="A31" s="429" t="s">
        <v>55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1"/>
    </row>
    <row r="32" spans="1:41" ht="23.25" customHeight="1" x14ac:dyDescent="0.25">
      <c r="A32" s="432" t="s">
        <v>56</v>
      </c>
      <c r="B32" s="397" t="s">
        <v>57</v>
      </c>
      <c r="C32" s="397" t="s">
        <v>51</v>
      </c>
      <c r="D32" s="397" t="s">
        <v>58</v>
      </c>
      <c r="E32" s="397"/>
      <c r="F32" s="397"/>
      <c r="G32" s="397"/>
      <c r="H32" s="397"/>
      <c r="I32" s="397"/>
      <c r="J32" s="397"/>
      <c r="K32" s="397"/>
      <c r="L32" s="397"/>
      <c r="M32" s="397"/>
      <c r="N32" s="397"/>
      <c r="O32" s="397"/>
      <c r="P32" s="397"/>
      <c r="Q32" s="397" t="s">
        <v>59</v>
      </c>
      <c r="R32" s="397"/>
      <c r="S32" s="397"/>
      <c r="T32" s="397"/>
      <c r="U32" s="397"/>
      <c r="V32" s="397"/>
      <c r="W32" s="397"/>
      <c r="X32" s="397"/>
      <c r="Y32" s="397"/>
      <c r="Z32" s="397"/>
      <c r="AA32" s="397"/>
      <c r="AB32" s="397"/>
      <c r="AC32" s="397"/>
      <c r="AD32" s="398"/>
      <c r="AG32" s="226"/>
      <c r="AH32" s="226"/>
      <c r="AI32" s="226"/>
      <c r="AJ32" s="226"/>
      <c r="AK32" s="226"/>
      <c r="AL32" s="226"/>
      <c r="AM32" s="226"/>
      <c r="AN32" s="226"/>
      <c r="AO32" s="226"/>
    </row>
    <row r="33" spans="1:41" ht="23.25" customHeight="1" x14ac:dyDescent="0.25">
      <c r="A33" s="432"/>
      <c r="B33" s="397"/>
      <c r="C33" s="433"/>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392" t="s">
        <v>60</v>
      </c>
      <c r="R33" s="434"/>
      <c r="S33" s="434"/>
      <c r="T33" s="434"/>
      <c r="U33" s="434"/>
      <c r="V33" s="393"/>
      <c r="W33" s="392" t="s">
        <v>61</v>
      </c>
      <c r="X33" s="434"/>
      <c r="Y33" s="434"/>
      <c r="Z33" s="393"/>
      <c r="AA33" s="392" t="s">
        <v>62</v>
      </c>
      <c r="AB33" s="434"/>
      <c r="AC33" s="434"/>
      <c r="AD33" s="435"/>
      <c r="AG33" s="226"/>
      <c r="AH33" s="226"/>
      <c r="AI33" s="226"/>
      <c r="AJ33" s="226"/>
      <c r="AK33" s="226"/>
      <c r="AL33" s="226"/>
      <c r="AM33" s="226"/>
      <c r="AN33" s="226"/>
      <c r="AO33" s="226"/>
    </row>
    <row r="34" spans="1:41" ht="67.5" customHeight="1" x14ac:dyDescent="0.25">
      <c r="A34" s="525" t="s">
        <v>191</v>
      </c>
      <c r="B34" s="446">
        <f>SUM(B38,B40,B42)</f>
        <v>0.1</v>
      </c>
      <c r="C34" s="90" t="s">
        <v>63</v>
      </c>
      <c r="D34" s="214">
        <f>D67</f>
        <v>0</v>
      </c>
      <c r="E34" s="214">
        <f t="shared" ref="E34:O34" si="0">E67</f>
        <v>5.000000000000001E-2</v>
      </c>
      <c r="F34" s="214">
        <f t="shared" si="0"/>
        <v>6.2500000000000014E-2</v>
      </c>
      <c r="G34" s="214">
        <f t="shared" si="0"/>
        <v>7.5000000000000011E-2</v>
      </c>
      <c r="H34" s="214">
        <f t="shared" si="0"/>
        <v>7.5000000000000011E-2</v>
      </c>
      <c r="I34" s="214">
        <f t="shared" si="0"/>
        <v>0.11249999999999999</v>
      </c>
      <c r="J34" s="214">
        <f t="shared" si="0"/>
        <v>0.13750000000000001</v>
      </c>
      <c r="K34" s="214">
        <f t="shared" si="0"/>
        <v>0.13749999999999998</v>
      </c>
      <c r="L34" s="214">
        <f t="shared" si="0"/>
        <v>0.13749999999999998</v>
      </c>
      <c r="M34" s="214">
        <f t="shared" si="0"/>
        <v>0.11249999999999999</v>
      </c>
      <c r="N34" s="214">
        <f t="shared" si="0"/>
        <v>7.5000000000000011E-2</v>
      </c>
      <c r="O34" s="214">
        <f t="shared" si="0"/>
        <v>2.5000000000000005E-2</v>
      </c>
      <c r="P34" s="215">
        <f>SUM(D34:O34)</f>
        <v>0.99999999999999989</v>
      </c>
      <c r="Q34" s="659" t="s">
        <v>193</v>
      </c>
      <c r="R34" s="660"/>
      <c r="S34" s="660"/>
      <c r="T34" s="660"/>
      <c r="U34" s="660"/>
      <c r="V34" s="661"/>
      <c r="W34" s="454" t="s">
        <v>194</v>
      </c>
      <c r="X34" s="455"/>
      <c r="Y34" s="455"/>
      <c r="Z34" s="456"/>
      <c r="AA34" s="659" t="s">
        <v>195</v>
      </c>
      <c r="AB34" s="660"/>
      <c r="AC34" s="660"/>
      <c r="AD34" s="665"/>
      <c r="AG34" s="226"/>
      <c r="AH34" s="226"/>
      <c r="AI34" s="226"/>
      <c r="AJ34" s="226"/>
      <c r="AK34" s="226"/>
      <c r="AL34" s="226"/>
      <c r="AM34" s="226"/>
      <c r="AN34" s="226"/>
      <c r="AO34" s="226"/>
    </row>
    <row r="35" spans="1:41" ht="67.5" customHeight="1" thickBot="1" x14ac:dyDescent="0.3">
      <c r="A35" s="658"/>
      <c r="B35" s="447"/>
      <c r="C35" s="91" t="s">
        <v>67</v>
      </c>
      <c r="D35" s="218">
        <f>D64</f>
        <v>3.7500000000000006E-2</v>
      </c>
      <c r="E35" s="218">
        <f t="shared" ref="E35:O35" si="1">E64</f>
        <v>5.000000000000001E-2</v>
      </c>
      <c r="F35" s="218">
        <f t="shared" si="1"/>
        <v>6.2500000000000014E-2</v>
      </c>
      <c r="G35" s="218">
        <f t="shared" si="1"/>
        <v>7.5000000000000011E-2</v>
      </c>
      <c r="H35" s="218">
        <v>0.05</v>
      </c>
      <c r="I35" s="218">
        <v>0.11</v>
      </c>
      <c r="J35" s="327">
        <f>J64</f>
        <v>0.13750000000000001</v>
      </c>
      <c r="K35" s="218">
        <f t="shared" si="1"/>
        <v>0</v>
      </c>
      <c r="L35" s="218">
        <f t="shared" si="1"/>
        <v>0</v>
      </c>
      <c r="M35" s="218">
        <f t="shared" si="1"/>
        <v>0</v>
      </c>
      <c r="N35" s="218">
        <f t="shared" si="1"/>
        <v>0</v>
      </c>
      <c r="O35" s="218">
        <f t="shared" si="1"/>
        <v>0</v>
      </c>
      <c r="P35" s="216">
        <f>SUM(D35:O35)</f>
        <v>0.52249999999999996</v>
      </c>
      <c r="Q35" s="662"/>
      <c r="R35" s="663"/>
      <c r="S35" s="663"/>
      <c r="T35" s="663"/>
      <c r="U35" s="663"/>
      <c r="V35" s="664"/>
      <c r="W35" s="457"/>
      <c r="X35" s="458"/>
      <c r="Y35" s="458"/>
      <c r="Z35" s="459"/>
      <c r="AA35" s="662"/>
      <c r="AB35" s="663"/>
      <c r="AC35" s="663"/>
      <c r="AD35" s="666"/>
      <c r="AE35" s="227"/>
      <c r="AG35" s="226"/>
      <c r="AH35" s="226"/>
      <c r="AI35" s="226"/>
      <c r="AJ35" s="226"/>
      <c r="AK35" s="226"/>
      <c r="AL35" s="226"/>
      <c r="AM35" s="226"/>
      <c r="AN35" s="226"/>
      <c r="AO35" s="226"/>
    </row>
    <row r="36" spans="1:41" ht="26.25" customHeight="1" x14ac:dyDescent="0.25">
      <c r="A36" s="667" t="s">
        <v>68</v>
      </c>
      <c r="B36" s="437" t="s">
        <v>69</v>
      </c>
      <c r="C36" s="439" t="s">
        <v>70</v>
      </c>
      <c r="D36" s="439"/>
      <c r="E36" s="439"/>
      <c r="F36" s="439"/>
      <c r="G36" s="439"/>
      <c r="H36" s="439"/>
      <c r="I36" s="439"/>
      <c r="J36" s="439"/>
      <c r="K36" s="439"/>
      <c r="L36" s="439"/>
      <c r="M36" s="439"/>
      <c r="N36" s="439"/>
      <c r="O36" s="439"/>
      <c r="P36" s="439"/>
      <c r="Q36" s="669" t="s">
        <v>71</v>
      </c>
      <c r="R36" s="670"/>
      <c r="S36" s="670"/>
      <c r="T36" s="670"/>
      <c r="U36" s="670"/>
      <c r="V36" s="670"/>
      <c r="W36" s="670"/>
      <c r="X36" s="670"/>
      <c r="Y36" s="670"/>
      <c r="Z36" s="670"/>
      <c r="AA36" s="670"/>
      <c r="AB36" s="670"/>
      <c r="AC36" s="670"/>
      <c r="AD36" s="671"/>
      <c r="AG36" s="226"/>
      <c r="AH36" s="226"/>
      <c r="AI36" s="226"/>
      <c r="AJ36" s="226"/>
      <c r="AK36" s="226"/>
      <c r="AL36" s="226"/>
      <c r="AM36" s="226"/>
      <c r="AN36" s="226"/>
      <c r="AO36" s="226"/>
    </row>
    <row r="37" spans="1:41" ht="26.25" customHeight="1" x14ac:dyDescent="0.25">
      <c r="A37" s="668"/>
      <c r="B37" s="438"/>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672" t="s">
        <v>86</v>
      </c>
      <c r="R37" s="673"/>
      <c r="S37" s="673"/>
      <c r="T37" s="673"/>
      <c r="U37" s="673"/>
      <c r="V37" s="673"/>
      <c r="W37" s="673"/>
      <c r="X37" s="673"/>
      <c r="Y37" s="673"/>
      <c r="Z37" s="673"/>
      <c r="AA37" s="673"/>
      <c r="AB37" s="673"/>
      <c r="AC37" s="673"/>
      <c r="AD37" s="674"/>
      <c r="AG37" s="228"/>
      <c r="AH37" s="228"/>
      <c r="AI37" s="228"/>
      <c r="AJ37" s="228"/>
      <c r="AK37" s="228"/>
      <c r="AL37" s="228"/>
      <c r="AM37" s="228"/>
      <c r="AN37" s="228"/>
      <c r="AO37" s="228"/>
    </row>
    <row r="38" spans="1:41" ht="60.75" customHeight="1" x14ac:dyDescent="0.25">
      <c r="A38" s="471" t="s">
        <v>196</v>
      </c>
      <c r="B38" s="561">
        <v>0.05</v>
      </c>
      <c r="C38" s="90" t="s">
        <v>63</v>
      </c>
      <c r="D38" s="95">
        <v>0</v>
      </c>
      <c r="E38" s="95">
        <v>0.05</v>
      </c>
      <c r="F38" s="95">
        <v>0.05</v>
      </c>
      <c r="G38" s="95">
        <v>0.05</v>
      </c>
      <c r="H38" s="95">
        <v>0.05</v>
      </c>
      <c r="I38" s="95">
        <v>0.1</v>
      </c>
      <c r="J38" s="95">
        <v>0.1</v>
      </c>
      <c r="K38" s="95">
        <v>0.15</v>
      </c>
      <c r="L38" s="95">
        <v>0.15</v>
      </c>
      <c r="M38" s="95">
        <v>0.15</v>
      </c>
      <c r="N38" s="95">
        <v>0.1</v>
      </c>
      <c r="O38" s="95">
        <v>0.05</v>
      </c>
      <c r="P38" s="96">
        <f t="shared" ref="P38:P43" si="2">SUM(D38:O38)</f>
        <v>1</v>
      </c>
      <c r="Q38" s="652" t="s">
        <v>197</v>
      </c>
      <c r="R38" s="653"/>
      <c r="S38" s="653"/>
      <c r="T38" s="653"/>
      <c r="U38" s="653"/>
      <c r="V38" s="653"/>
      <c r="W38" s="653"/>
      <c r="X38" s="653"/>
      <c r="Y38" s="653"/>
      <c r="Z38" s="653"/>
      <c r="AA38" s="653"/>
      <c r="AB38" s="653"/>
      <c r="AC38" s="653"/>
      <c r="AD38" s="654"/>
      <c r="AE38" s="97"/>
      <c r="AG38" s="229"/>
      <c r="AH38" s="229"/>
      <c r="AI38" s="229"/>
      <c r="AJ38" s="229"/>
      <c r="AK38" s="229"/>
      <c r="AL38" s="229"/>
      <c r="AM38" s="229"/>
      <c r="AN38" s="229"/>
      <c r="AO38" s="229"/>
    </row>
    <row r="39" spans="1:41" ht="60.75" customHeight="1" x14ac:dyDescent="0.25">
      <c r="A39" s="468"/>
      <c r="B39" s="524"/>
      <c r="C39" s="99" t="s">
        <v>67</v>
      </c>
      <c r="D39" s="100">
        <v>0.05</v>
      </c>
      <c r="E39" s="100">
        <v>0.05</v>
      </c>
      <c r="F39" s="100">
        <v>0.05</v>
      </c>
      <c r="G39" s="100">
        <v>0.05</v>
      </c>
      <c r="H39" s="100">
        <v>0.05</v>
      </c>
      <c r="I39" s="100">
        <v>0.1</v>
      </c>
      <c r="J39" s="100">
        <v>0.1</v>
      </c>
      <c r="K39" s="100"/>
      <c r="L39" s="100"/>
      <c r="M39" s="100"/>
      <c r="N39" s="100"/>
      <c r="O39" s="100"/>
      <c r="P39" s="101">
        <f t="shared" si="2"/>
        <v>0.44999999999999996</v>
      </c>
      <c r="Q39" s="655"/>
      <c r="R39" s="656"/>
      <c r="S39" s="656"/>
      <c r="T39" s="656"/>
      <c r="U39" s="656"/>
      <c r="V39" s="656"/>
      <c r="W39" s="656"/>
      <c r="X39" s="656"/>
      <c r="Y39" s="656"/>
      <c r="Z39" s="656"/>
      <c r="AA39" s="656"/>
      <c r="AB39" s="656"/>
      <c r="AC39" s="656"/>
      <c r="AD39" s="657"/>
      <c r="AE39" s="97"/>
    </row>
    <row r="40" spans="1:41" ht="109.5" customHeight="1" x14ac:dyDescent="0.25">
      <c r="A40" s="468" t="s">
        <v>198</v>
      </c>
      <c r="B40" s="675">
        <v>2.5000000000000001E-2</v>
      </c>
      <c r="C40" s="102" t="s">
        <v>63</v>
      </c>
      <c r="D40" s="103">
        <v>0</v>
      </c>
      <c r="E40" s="103">
        <v>0.05</v>
      </c>
      <c r="F40" s="103">
        <v>0.1</v>
      </c>
      <c r="G40" s="103">
        <v>0.1</v>
      </c>
      <c r="H40" s="103">
        <v>0.1</v>
      </c>
      <c r="I40" s="103">
        <v>0.1</v>
      </c>
      <c r="J40" s="103">
        <v>0.2</v>
      </c>
      <c r="K40" s="103">
        <v>0.1</v>
      </c>
      <c r="L40" s="103">
        <v>0.1</v>
      </c>
      <c r="M40" s="103">
        <v>0.1</v>
      </c>
      <c r="N40" s="103">
        <v>0.05</v>
      </c>
      <c r="O40" s="103">
        <v>0</v>
      </c>
      <c r="P40" s="101">
        <f t="shared" si="2"/>
        <v>0.99999999999999989</v>
      </c>
      <c r="Q40" s="652" t="s">
        <v>199</v>
      </c>
      <c r="R40" s="653"/>
      <c r="S40" s="653"/>
      <c r="T40" s="653"/>
      <c r="U40" s="653"/>
      <c r="V40" s="653"/>
      <c r="W40" s="653"/>
      <c r="X40" s="653"/>
      <c r="Y40" s="653"/>
      <c r="Z40" s="653"/>
      <c r="AA40" s="653"/>
      <c r="AB40" s="653"/>
      <c r="AC40" s="653"/>
      <c r="AD40" s="654"/>
      <c r="AE40" s="97"/>
    </row>
    <row r="41" spans="1:41" ht="85.5" customHeight="1" x14ac:dyDescent="0.25">
      <c r="A41" s="468"/>
      <c r="B41" s="676"/>
      <c r="C41" s="99" t="s">
        <v>67</v>
      </c>
      <c r="D41" s="100">
        <v>0.05</v>
      </c>
      <c r="E41" s="100">
        <v>0.05</v>
      </c>
      <c r="F41" s="100">
        <v>0.1</v>
      </c>
      <c r="G41" s="100">
        <v>0.1</v>
      </c>
      <c r="H41" s="100">
        <v>0.1</v>
      </c>
      <c r="I41" s="100">
        <v>0.1</v>
      </c>
      <c r="J41" s="100">
        <v>0.2</v>
      </c>
      <c r="K41" s="100"/>
      <c r="L41" s="104"/>
      <c r="M41" s="104"/>
      <c r="N41" s="104"/>
      <c r="O41" s="104"/>
      <c r="P41" s="101">
        <f t="shared" si="2"/>
        <v>0.7</v>
      </c>
      <c r="Q41" s="655"/>
      <c r="R41" s="656"/>
      <c r="S41" s="656"/>
      <c r="T41" s="656"/>
      <c r="U41" s="656"/>
      <c r="V41" s="656"/>
      <c r="W41" s="656"/>
      <c r="X41" s="656"/>
      <c r="Y41" s="656"/>
      <c r="Z41" s="656"/>
      <c r="AA41" s="656"/>
      <c r="AB41" s="656"/>
      <c r="AC41" s="656"/>
      <c r="AD41" s="657"/>
      <c r="AE41" s="97"/>
    </row>
    <row r="42" spans="1:41" ht="90" customHeight="1" x14ac:dyDescent="0.25">
      <c r="A42" s="525" t="s">
        <v>200</v>
      </c>
      <c r="B42" s="675">
        <v>2.5000000000000001E-2</v>
      </c>
      <c r="C42" s="102" t="s">
        <v>63</v>
      </c>
      <c r="D42" s="103">
        <v>0</v>
      </c>
      <c r="E42" s="103">
        <v>0.05</v>
      </c>
      <c r="F42" s="103">
        <v>0.05</v>
      </c>
      <c r="G42" s="103">
        <v>0.1</v>
      </c>
      <c r="H42" s="103">
        <v>0.1</v>
      </c>
      <c r="I42" s="103">
        <v>0.15</v>
      </c>
      <c r="J42" s="103">
        <v>0.15</v>
      </c>
      <c r="K42" s="103">
        <v>0.15</v>
      </c>
      <c r="L42" s="103">
        <v>0.15</v>
      </c>
      <c r="M42" s="103">
        <v>0.05</v>
      </c>
      <c r="N42" s="103">
        <v>0.05</v>
      </c>
      <c r="O42" s="103">
        <v>0</v>
      </c>
      <c r="P42" s="101">
        <f t="shared" si="2"/>
        <v>1.0000000000000002</v>
      </c>
      <c r="Q42" s="678" t="s">
        <v>201</v>
      </c>
      <c r="R42" s="653"/>
      <c r="S42" s="653"/>
      <c r="T42" s="653"/>
      <c r="U42" s="653"/>
      <c r="V42" s="653"/>
      <c r="W42" s="653"/>
      <c r="X42" s="653"/>
      <c r="Y42" s="653"/>
      <c r="Z42" s="653"/>
      <c r="AA42" s="653"/>
      <c r="AB42" s="653"/>
      <c r="AC42" s="653"/>
      <c r="AD42" s="654"/>
      <c r="AE42" s="97"/>
    </row>
    <row r="43" spans="1:41" ht="116.25" customHeight="1" thickBot="1" x14ac:dyDescent="0.3">
      <c r="A43" s="658"/>
      <c r="B43" s="677"/>
      <c r="C43" s="91" t="s">
        <v>67</v>
      </c>
      <c r="D43" s="105">
        <v>0</v>
      </c>
      <c r="E43" s="105">
        <v>0.05</v>
      </c>
      <c r="F43" s="105">
        <v>0.05</v>
      </c>
      <c r="G43" s="105">
        <v>0.1</v>
      </c>
      <c r="H43" s="105">
        <v>0.1</v>
      </c>
      <c r="I43" s="105">
        <v>0.15</v>
      </c>
      <c r="J43" s="105">
        <v>0.15</v>
      </c>
      <c r="K43" s="105"/>
      <c r="L43" s="106"/>
      <c r="M43" s="106"/>
      <c r="N43" s="106"/>
      <c r="O43" s="106"/>
      <c r="P43" s="107">
        <f t="shared" si="2"/>
        <v>0.60000000000000009</v>
      </c>
      <c r="Q43" s="679"/>
      <c r="R43" s="680"/>
      <c r="S43" s="680"/>
      <c r="T43" s="680"/>
      <c r="U43" s="680"/>
      <c r="V43" s="680"/>
      <c r="W43" s="680"/>
      <c r="X43" s="680"/>
      <c r="Y43" s="680"/>
      <c r="Z43" s="680"/>
      <c r="AA43" s="680"/>
      <c r="AB43" s="680"/>
      <c r="AC43" s="680"/>
      <c r="AD43" s="681"/>
      <c r="AE43" s="97"/>
    </row>
    <row r="55" spans="1:51" s="276" customFormat="1" ht="21.75" customHeight="1" x14ac:dyDescent="0.25">
      <c r="A55" s="488" t="s">
        <v>102</v>
      </c>
      <c r="B55" s="488" t="s">
        <v>69</v>
      </c>
      <c r="C55" s="490" t="s">
        <v>70</v>
      </c>
      <c r="D55" s="685"/>
      <c r="E55" s="685"/>
      <c r="F55" s="685"/>
      <c r="G55" s="685"/>
      <c r="H55" s="685"/>
      <c r="I55" s="685"/>
      <c r="J55" s="685"/>
      <c r="K55" s="685"/>
      <c r="L55" s="685"/>
      <c r="M55" s="685"/>
      <c r="N55" s="685"/>
      <c r="O55" s="685"/>
      <c r="P55" s="686"/>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75"/>
      <c r="AR55" s="275"/>
      <c r="AS55" s="275"/>
      <c r="AT55" s="275"/>
      <c r="AU55" s="275"/>
      <c r="AV55" s="275"/>
      <c r="AW55" s="275"/>
      <c r="AX55" s="275"/>
      <c r="AY55" s="275"/>
    </row>
    <row r="56" spans="1:51" s="276" customFormat="1" ht="21.75" customHeight="1" x14ac:dyDescent="0.25">
      <c r="A56" s="684"/>
      <c r="B56" s="684"/>
      <c r="C56" s="198" t="s">
        <v>72</v>
      </c>
      <c r="D56" s="198" t="s">
        <v>73</v>
      </c>
      <c r="E56" s="198" t="s">
        <v>74</v>
      </c>
      <c r="F56" s="198" t="s">
        <v>75</v>
      </c>
      <c r="G56" s="198" t="s">
        <v>76</v>
      </c>
      <c r="H56" s="198" t="s">
        <v>77</v>
      </c>
      <c r="I56" s="198" t="s">
        <v>78</v>
      </c>
      <c r="J56" s="198" t="s">
        <v>79</v>
      </c>
      <c r="K56" s="198" t="s">
        <v>80</v>
      </c>
      <c r="L56" s="198" t="s">
        <v>81</v>
      </c>
      <c r="M56" s="198" t="s">
        <v>82</v>
      </c>
      <c r="N56" s="198" t="s">
        <v>83</v>
      </c>
      <c r="O56" s="198" t="s">
        <v>84</v>
      </c>
      <c r="P56" s="198" t="s">
        <v>85</v>
      </c>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75"/>
      <c r="AR56" s="275"/>
      <c r="AS56" s="275"/>
      <c r="AT56" s="275"/>
      <c r="AU56" s="275"/>
      <c r="AV56" s="275"/>
      <c r="AW56" s="275"/>
      <c r="AX56" s="275"/>
      <c r="AY56" s="275"/>
    </row>
    <row r="57" spans="1:51" s="276" customFormat="1" ht="12.75" customHeight="1" x14ac:dyDescent="0.25">
      <c r="A57" s="484" t="str">
        <f>A38</f>
        <v>36. Planear, articular y desarrollar  las distintas conmemoraciones de mujeres en sus diferencias y diversidad, que permitan visibilizar sus luchas y biografías desde el enfoque diferencial.</v>
      </c>
      <c r="B57" s="494">
        <f>B38</f>
        <v>0.05</v>
      </c>
      <c r="C57" s="199" t="s">
        <v>63</v>
      </c>
      <c r="D57" s="200">
        <f>D38*$B$38/$P$38</f>
        <v>0</v>
      </c>
      <c r="E57" s="200">
        <f t="shared" ref="E57:O58" si="3">E38*$B$38/$P$38</f>
        <v>2.5000000000000005E-3</v>
      </c>
      <c r="F57" s="200">
        <f t="shared" si="3"/>
        <v>2.5000000000000005E-3</v>
      </c>
      <c r="G57" s="200">
        <f t="shared" si="3"/>
        <v>2.5000000000000005E-3</v>
      </c>
      <c r="H57" s="200">
        <f t="shared" si="3"/>
        <v>2.5000000000000005E-3</v>
      </c>
      <c r="I57" s="200">
        <f t="shared" si="3"/>
        <v>5.000000000000001E-3</v>
      </c>
      <c r="J57" s="200">
        <f t="shared" si="3"/>
        <v>5.000000000000001E-3</v>
      </c>
      <c r="K57" s="200">
        <f t="shared" si="3"/>
        <v>7.4999999999999997E-3</v>
      </c>
      <c r="L57" s="200">
        <f t="shared" si="3"/>
        <v>7.4999999999999997E-3</v>
      </c>
      <c r="M57" s="200">
        <f t="shared" si="3"/>
        <v>7.4999999999999997E-3</v>
      </c>
      <c r="N57" s="200">
        <f t="shared" si="3"/>
        <v>5.000000000000001E-3</v>
      </c>
      <c r="O57" s="200">
        <f t="shared" si="3"/>
        <v>2.5000000000000005E-3</v>
      </c>
      <c r="P57" s="201">
        <f t="shared" ref="P57:P60" si="4">SUM(D57:O57)</f>
        <v>0.05</v>
      </c>
      <c r="Q57" s="50">
        <v>0.05</v>
      </c>
      <c r="R57" s="202">
        <f>+P57-Q57</f>
        <v>0</v>
      </c>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75"/>
      <c r="AR57" s="275"/>
      <c r="AS57" s="275"/>
      <c r="AT57" s="275"/>
      <c r="AU57" s="275"/>
      <c r="AV57" s="275"/>
      <c r="AW57" s="275"/>
      <c r="AX57" s="275"/>
      <c r="AY57" s="275"/>
    </row>
    <row r="58" spans="1:51" s="276" customFormat="1" ht="12.75" customHeight="1" x14ac:dyDescent="0.25">
      <c r="A58" s="687"/>
      <c r="B58" s="688"/>
      <c r="C58" s="204" t="s">
        <v>67</v>
      </c>
      <c r="D58" s="205">
        <f>D39*$B$38/$P$38</f>
        <v>2.5000000000000005E-3</v>
      </c>
      <c r="E58" s="205">
        <f t="shared" si="3"/>
        <v>2.5000000000000005E-3</v>
      </c>
      <c r="F58" s="205">
        <f t="shared" si="3"/>
        <v>2.5000000000000005E-3</v>
      </c>
      <c r="G58" s="205">
        <f t="shared" si="3"/>
        <v>2.5000000000000005E-3</v>
      </c>
      <c r="H58" s="205">
        <f t="shared" si="3"/>
        <v>2.5000000000000005E-3</v>
      </c>
      <c r="I58" s="205">
        <f t="shared" si="3"/>
        <v>5.000000000000001E-3</v>
      </c>
      <c r="J58" s="205">
        <f t="shared" si="3"/>
        <v>5.000000000000001E-3</v>
      </c>
      <c r="K58" s="205">
        <f t="shared" si="3"/>
        <v>0</v>
      </c>
      <c r="L58" s="205">
        <f t="shared" si="3"/>
        <v>0</v>
      </c>
      <c r="M58" s="205">
        <f t="shared" si="3"/>
        <v>0</v>
      </c>
      <c r="N58" s="205">
        <f t="shared" si="3"/>
        <v>0</v>
      </c>
      <c r="O58" s="205">
        <f t="shared" si="3"/>
        <v>0</v>
      </c>
      <c r="P58" s="206">
        <f t="shared" si="4"/>
        <v>2.2500000000000003E-2</v>
      </c>
      <c r="Q58" s="207">
        <f>+P58</f>
        <v>2.2500000000000003E-2</v>
      </c>
      <c r="R58" s="202">
        <f t="shared" ref="R58:R62" si="5">+P58-Q58</f>
        <v>0</v>
      </c>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75"/>
      <c r="AR58" s="275"/>
      <c r="AS58" s="275"/>
      <c r="AT58" s="275"/>
      <c r="AU58" s="275"/>
      <c r="AV58" s="275"/>
      <c r="AW58" s="275"/>
      <c r="AX58" s="275"/>
      <c r="AY58" s="275"/>
    </row>
    <row r="59" spans="1:51" s="276" customFormat="1" ht="12.75" customHeight="1" x14ac:dyDescent="0.25">
      <c r="A59" s="484" t="str">
        <f>A40</f>
        <v xml:space="preserve">37. Diseñar, articular e implementar jornadas de información  con las Oficinas de Atención a la Ciudadanía, con el objetivo de transversalizar el enfoque de género y diferencial con los sectores de la Administración Distrital, generando un cambio comunicacional acerca del lenguaje incluyente y no  sexista, que promueven los estereotipos, inmaginarios yrepresentaciones y fomentas los sistemas de opresión y discriminación contra las mujeres en sus diferencias y diversidad. </v>
      </c>
      <c r="B59" s="486">
        <f>B40</f>
        <v>2.5000000000000001E-2</v>
      </c>
      <c r="C59" s="199" t="s">
        <v>63</v>
      </c>
      <c r="D59" s="200">
        <f>D40*$B$40/$P$40</f>
        <v>0</v>
      </c>
      <c r="E59" s="200">
        <f t="shared" ref="E59:O60" si="6">E40*$B$40/$P$40</f>
        <v>1.2500000000000005E-3</v>
      </c>
      <c r="F59" s="200">
        <f t="shared" si="6"/>
        <v>2.5000000000000009E-3</v>
      </c>
      <c r="G59" s="200">
        <f t="shared" si="6"/>
        <v>2.5000000000000009E-3</v>
      </c>
      <c r="H59" s="200">
        <f t="shared" si="6"/>
        <v>2.5000000000000009E-3</v>
      </c>
      <c r="I59" s="200">
        <f t="shared" si="6"/>
        <v>2.5000000000000009E-3</v>
      </c>
      <c r="J59" s="200">
        <f t="shared" si="6"/>
        <v>5.0000000000000018E-3</v>
      </c>
      <c r="K59" s="200">
        <f t="shared" si="6"/>
        <v>2.5000000000000009E-3</v>
      </c>
      <c r="L59" s="200">
        <f t="shared" si="6"/>
        <v>2.5000000000000009E-3</v>
      </c>
      <c r="M59" s="200">
        <f t="shared" si="6"/>
        <v>2.5000000000000009E-3</v>
      </c>
      <c r="N59" s="200">
        <f t="shared" si="6"/>
        <v>1.2500000000000005E-3</v>
      </c>
      <c r="O59" s="200">
        <f t="shared" si="6"/>
        <v>0</v>
      </c>
      <c r="P59" s="201">
        <f t="shared" si="4"/>
        <v>2.5000000000000012E-2</v>
      </c>
      <c r="Q59" s="50">
        <v>2.5000000000000001E-2</v>
      </c>
      <c r="R59" s="202">
        <f t="shared" si="5"/>
        <v>0</v>
      </c>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75"/>
      <c r="AR59" s="275"/>
      <c r="AS59" s="275"/>
      <c r="AT59" s="275"/>
      <c r="AU59" s="275"/>
      <c r="AV59" s="275"/>
      <c r="AW59" s="275"/>
      <c r="AX59" s="275"/>
      <c r="AY59" s="275"/>
    </row>
    <row r="60" spans="1:51" s="276" customFormat="1" ht="12.75" customHeight="1" x14ac:dyDescent="0.25">
      <c r="A60" s="682"/>
      <c r="B60" s="683"/>
      <c r="C60" s="204" t="s">
        <v>67</v>
      </c>
      <c r="D60" s="205">
        <f>D41*$B$40/$P$40</f>
        <v>1.2500000000000005E-3</v>
      </c>
      <c r="E60" s="205">
        <f t="shared" si="6"/>
        <v>1.2500000000000005E-3</v>
      </c>
      <c r="F60" s="205">
        <f t="shared" si="6"/>
        <v>2.5000000000000009E-3</v>
      </c>
      <c r="G60" s="205">
        <f t="shared" si="6"/>
        <v>2.5000000000000009E-3</v>
      </c>
      <c r="H60" s="205">
        <f t="shared" si="6"/>
        <v>2.5000000000000009E-3</v>
      </c>
      <c r="I60" s="205">
        <f t="shared" si="6"/>
        <v>2.5000000000000009E-3</v>
      </c>
      <c r="J60" s="205">
        <f t="shared" si="6"/>
        <v>5.0000000000000018E-3</v>
      </c>
      <c r="K60" s="205">
        <f t="shared" si="6"/>
        <v>0</v>
      </c>
      <c r="L60" s="205">
        <f t="shared" si="6"/>
        <v>0</v>
      </c>
      <c r="M60" s="205">
        <f t="shared" si="6"/>
        <v>0</v>
      </c>
      <c r="N60" s="205">
        <f t="shared" si="6"/>
        <v>0</v>
      </c>
      <c r="O60" s="205">
        <f t="shared" si="6"/>
        <v>0</v>
      </c>
      <c r="P60" s="206">
        <f t="shared" si="4"/>
        <v>1.7500000000000005E-2</v>
      </c>
      <c r="Q60" s="207">
        <f>+P60</f>
        <v>1.7500000000000005E-2</v>
      </c>
      <c r="R60" s="202">
        <f t="shared" si="5"/>
        <v>0</v>
      </c>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75"/>
      <c r="AR60" s="275"/>
      <c r="AS60" s="275"/>
      <c r="AT60" s="275"/>
      <c r="AU60" s="275"/>
      <c r="AV60" s="275"/>
      <c r="AW60" s="275"/>
      <c r="AX60" s="275"/>
      <c r="AY60" s="275"/>
    </row>
    <row r="61" spans="1:51" s="276" customFormat="1" ht="12.75" customHeight="1" x14ac:dyDescent="0.25">
      <c r="A61" s="484" t="str">
        <f>A42</f>
        <v xml:space="preserve">38. Apoyar y articular acciones para la transformación cultural, con diferentes sectores de la administración distrital, organizaciones sociales y grupos de mujeres en sus diferencias y diversidad . </v>
      </c>
      <c r="B61" s="486">
        <f>B42</f>
        <v>2.5000000000000001E-2</v>
      </c>
      <c r="C61" s="199" t="s">
        <v>63</v>
      </c>
      <c r="D61" s="200">
        <f>D42*$B$42/$P$42</f>
        <v>0</v>
      </c>
      <c r="E61" s="200">
        <f t="shared" ref="E61:O62" si="7">E42*$B$42/$P$42</f>
        <v>1.25E-3</v>
      </c>
      <c r="F61" s="200">
        <f t="shared" si="7"/>
        <v>1.25E-3</v>
      </c>
      <c r="G61" s="200">
        <f t="shared" si="7"/>
        <v>2.5000000000000001E-3</v>
      </c>
      <c r="H61" s="200">
        <f t="shared" si="7"/>
        <v>2.5000000000000001E-3</v>
      </c>
      <c r="I61" s="200">
        <f t="shared" si="7"/>
        <v>3.749999999999999E-3</v>
      </c>
      <c r="J61" s="200">
        <f t="shared" si="7"/>
        <v>3.749999999999999E-3</v>
      </c>
      <c r="K61" s="200">
        <f t="shared" si="7"/>
        <v>3.749999999999999E-3</v>
      </c>
      <c r="L61" s="200">
        <f t="shared" si="7"/>
        <v>3.749999999999999E-3</v>
      </c>
      <c r="M61" s="200">
        <f t="shared" si="7"/>
        <v>1.25E-3</v>
      </c>
      <c r="N61" s="200">
        <f t="shared" si="7"/>
        <v>1.25E-3</v>
      </c>
      <c r="O61" s="200">
        <f t="shared" si="7"/>
        <v>0</v>
      </c>
      <c r="P61" s="201">
        <f t="shared" ref="P61:P62" si="8">SUM(D61:O61)</f>
        <v>2.5000000000000001E-2</v>
      </c>
      <c r="Q61" s="50">
        <v>2.5000000000000001E-2</v>
      </c>
      <c r="R61" s="202">
        <f t="shared" si="5"/>
        <v>0</v>
      </c>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75"/>
      <c r="AR61" s="275"/>
      <c r="AS61" s="275"/>
      <c r="AT61" s="275"/>
      <c r="AU61" s="275"/>
      <c r="AV61" s="275"/>
      <c r="AW61" s="275"/>
      <c r="AX61" s="275"/>
      <c r="AY61" s="275"/>
    </row>
    <row r="62" spans="1:51" s="276" customFormat="1" ht="12.75" customHeight="1" x14ac:dyDescent="0.25">
      <c r="A62" s="682"/>
      <c r="B62" s="683"/>
      <c r="C62" s="204" t="s">
        <v>67</v>
      </c>
      <c r="D62" s="205">
        <f>D43*$B$42/$P$42</f>
        <v>0</v>
      </c>
      <c r="E62" s="205">
        <f t="shared" si="7"/>
        <v>1.25E-3</v>
      </c>
      <c r="F62" s="205">
        <f t="shared" si="7"/>
        <v>1.25E-3</v>
      </c>
      <c r="G62" s="205">
        <f t="shared" si="7"/>
        <v>2.5000000000000001E-3</v>
      </c>
      <c r="H62" s="205">
        <f t="shared" si="7"/>
        <v>2.5000000000000001E-3</v>
      </c>
      <c r="I62" s="205">
        <f t="shared" si="7"/>
        <v>3.749999999999999E-3</v>
      </c>
      <c r="J62" s="205">
        <f t="shared" si="7"/>
        <v>3.749999999999999E-3</v>
      </c>
      <c r="K62" s="205">
        <f t="shared" si="7"/>
        <v>0</v>
      </c>
      <c r="L62" s="205">
        <f t="shared" si="7"/>
        <v>0</v>
      </c>
      <c r="M62" s="205">
        <f t="shared" si="7"/>
        <v>0</v>
      </c>
      <c r="N62" s="205">
        <f t="shared" si="7"/>
        <v>0</v>
      </c>
      <c r="O62" s="205">
        <f t="shared" si="7"/>
        <v>0</v>
      </c>
      <c r="P62" s="206">
        <f t="shared" si="8"/>
        <v>1.4999999999999999E-2</v>
      </c>
      <c r="Q62" s="207">
        <f>+P62</f>
        <v>1.4999999999999999E-2</v>
      </c>
      <c r="R62" s="202">
        <f t="shared" si="5"/>
        <v>0</v>
      </c>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75"/>
      <c r="AR62" s="275"/>
      <c r="AS62" s="275"/>
      <c r="AT62" s="275"/>
      <c r="AU62" s="275"/>
      <c r="AV62" s="275"/>
      <c r="AW62" s="275"/>
      <c r="AX62" s="275"/>
      <c r="AY62" s="275"/>
    </row>
    <row r="63" spans="1:51" s="276" customFormat="1" ht="15.75" customHeight="1" x14ac:dyDescent="0.25">
      <c r="A63" s="203"/>
      <c r="B63" s="203"/>
      <c r="C63" s="208"/>
      <c r="D63" s="209">
        <f>D58+D60+D62</f>
        <v>3.7500000000000007E-3</v>
      </c>
      <c r="E63" s="209">
        <f t="shared" ref="E63:N63" si="9">E58+E60+E62</f>
        <v>5.000000000000001E-3</v>
      </c>
      <c r="F63" s="209">
        <f t="shared" si="9"/>
        <v>6.2500000000000012E-3</v>
      </c>
      <c r="G63" s="209">
        <f t="shared" si="9"/>
        <v>7.5000000000000015E-3</v>
      </c>
      <c r="H63" s="209">
        <f t="shared" si="9"/>
        <v>7.5000000000000015E-3</v>
      </c>
      <c r="I63" s="209">
        <f t="shared" si="9"/>
        <v>1.125E-2</v>
      </c>
      <c r="J63" s="209">
        <f t="shared" si="9"/>
        <v>1.3750000000000002E-2</v>
      </c>
      <c r="K63" s="209">
        <f t="shared" si="9"/>
        <v>0</v>
      </c>
      <c r="L63" s="209">
        <f t="shared" si="9"/>
        <v>0</v>
      </c>
      <c r="M63" s="209">
        <f t="shared" si="9"/>
        <v>0</v>
      </c>
      <c r="N63" s="209">
        <f t="shared" si="9"/>
        <v>0</v>
      </c>
      <c r="O63" s="209">
        <f>O58+O60+O62</f>
        <v>0</v>
      </c>
      <c r="P63" s="209">
        <f>P58+P60+P62</f>
        <v>5.5000000000000007E-2</v>
      </c>
      <c r="Q63" s="203"/>
      <c r="R63" s="202">
        <f>+P63-Q63</f>
        <v>5.5000000000000007E-2</v>
      </c>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75"/>
      <c r="AR63" s="275"/>
      <c r="AS63" s="275"/>
      <c r="AT63" s="275"/>
      <c r="AU63" s="275"/>
      <c r="AV63" s="275"/>
      <c r="AW63" s="275"/>
      <c r="AX63" s="275"/>
      <c r="AY63" s="275"/>
    </row>
    <row r="64" spans="1:51" s="276" customFormat="1" ht="15.75" customHeight="1" x14ac:dyDescent="0.25">
      <c r="A64" s="275"/>
      <c r="B64" s="275"/>
      <c r="C64" s="217" t="s">
        <v>67</v>
      </c>
      <c r="D64" s="210">
        <f>D63*$W$17/$B$34</f>
        <v>3.7500000000000006E-2</v>
      </c>
      <c r="E64" s="210">
        <f t="shared" ref="E64:O64" si="10">E63*$W$17/$B$34</f>
        <v>5.000000000000001E-2</v>
      </c>
      <c r="F64" s="210">
        <f t="shared" si="10"/>
        <v>6.2500000000000014E-2</v>
      </c>
      <c r="G64" s="210">
        <f t="shared" si="10"/>
        <v>7.5000000000000011E-2</v>
      </c>
      <c r="H64" s="210">
        <f t="shared" si="10"/>
        <v>7.5000000000000011E-2</v>
      </c>
      <c r="I64" s="210">
        <f t="shared" si="10"/>
        <v>0.11249999999999999</v>
      </c>
      <c r="J64" s="210">
        <f t="shared" si="10"/>
        <v>0.13750000000000001</v>
      </c>
      <c r="K64" s="210">
        <f t="shared" si="10"/>
        <v>0</v>
      </c>
      <c r="L64" s="210">
        <f t="shared" si="10"/>
        <v>0</v>
      </c>
      <c r="M64" s="210">
        <f t="shared" si="10"/>
        <v>0</v>
      </c>
      <c r="N64" s="210">
        <f t="shared" si="10"/>
        <v>0</v>
      </c>
      <c r="O64" s="210">
        <f t="shared" si="10"/>
        <v>0</v>
      </c>
      <c r="P64" s="211">
        <f>SUM(D64:O64)</f>
        <v>0.55000000000000004</v>
      </c>
      <c r="Q64" s="212"/>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275"/>
      <c r="AW64" s="275"/>
      <c r="AX64" s="275"/>
      <c r="AY64" s="275"/>
    </row>
    <row r="65" spans="1:51" s="276" customFormat="1" ht="13.5" customHeight="1" x14ac:dyDescent="0.25">
      <c r="A65" s="212"/>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3"/>
      <c r="AE65" s="213"/>
      <c r="AF65" s="213"/>
      <c r="AG65" s="213"/>
      <c r="AH65" s="213"/>
      <c r="AI65" s="213"/>
      <c r="AJ65" s="213"/>
      <c r="AK65" s="213"/>
      <c r="AL65" s="213"/>
      <c r="AM65" s="213"/>
      <c r="AN65" s="213"/>
      <c r="AO65" s="275"/>
      <c r="AP65" s="275"/>
      <c r="AQ65" s="275"/>
      <c r="AR65" s="275"/>
      <c r="AS65" s="275"/>
      <c r="AT65" s="275"/>
      <c r="AU65" s="275"/>
      <c r="AV65" s="275"/>
      <c r="AW65" s="275"/>
      <c r="AX65" s="275"/>
      <c r="AY65" s="275"/>
    </row>
    <row r="66" spans="1:51" x14ac:dyDescent="0.25">
      <c r="D66" s="238">
        <f>D57+D59+D61</f>
        <v>0</v>
      </c>
      <c r="E66" s="238">
        <f t="shared" ref="E66:O66" si="11">E57+E59+E61</f>
        <v>5.000000000000001E-3</v>
      </c>
      <c r="F66" s="238">
        <f t="shared" si="11"/>
        <v>6.2500000000000012E-3</v>
      </c>
      <c r="G66" s="238">
        <f t="shared" si="11"/>
        <v>7.5000000000000015E-3</v>
      </c>
      <c r="H66" s="238">
        <f t="shared" si="11"/>
        <v>7.5000000000000015E-3</v>
      </c>
      <c r="I66" s="238">
        <f t="shared" si="11"/>
        <v>1.125E-2</v>
      </c>
      <c r="J66" s="238">
        <f t="shared" si="11"/>
        <v>1.3750000000000002E-2</v>
      </c>
      <c r="K66" s="238">
        <f t="shared" si="11"/>
        <v>1.3749999999999998E-2</v>
      </c>
      <c r="L66" s="238">
        <f t="shared" si="11"/>
        <v>1.3749999999999998E-2</v>
      </c>
      <c r="M66" s="238">
        <f t="shared" si="11"/>
        <v>1.125E-2</v>
      </c>
      <c r="N66" s="238">
        <f t="shared" si="11"/>
        <v>7.5000000000000015E-3</v>
      </c>
      <c r="O66" s="238">
        <f t="shared" si="11"/>
        <v>2.5000000000000005E-3</v>
      </c>
      <c r="P66" s="238">
        <f>SUM(D66:O66)</f>
        <v>0.1</v>
      </c>
    </row>
    <row r="67" spans="1:51" x14ac:dyDescent="0.25">
      <c r="C67" s="217" t="s">
        <v>63</v>
      </c>
      <c r="D67" s="239">
        <f>D66*$W$17/$B$34</f>
        <v>0</v>
      </c>
      <c r="E67" s="239">
        <f t="shared" ref="E67:O67" si="12">E66*$W$17/$B$34</f>
        <v>5.000000000000001E-2</v>
      </c>
      <c r="F67" s="239">
        <f t="shared" si="12"/>
        <v>6.2500000000000014E-2</v>
      </c>
      <c r="G67" s="239">
        <f t="shared" si="12"/>
        <v>7.5000000000000011E-2</v>
      </c>
      <c r="H67" s="239">
        <f t="shared" si="12"/>
        <v>7.5000000000000011E-2</v>
      </c>
      <c r="I67" s="239">
        <f t="shared" si="12"/>
        <v>0.11249999999999999</v>
      </c>
      <c r="J67" s="239">
        <f t="shared" si="12"/>
        <v>0.13750000000000001</v>
      </c>
      <c r="K67" s="239">
        <f t="shared" si="12"/>
        <v>0.13749999999999998</v>
      </c>
      <c r="L67" s="239">
        <f t="shared" si="12"/>
        <v>0.13749999999999998</v>
      </c>
      <c r="M67" s="239">
        <f t="shared" si="12"/>
        <v>0.11249999999999999</v>
      </c>
      <c r="N67" s="239">
        <f t="shared" si="12"/>
        <v>7.5000000000000011E-2</v>
      </c>
      <c r="O67" s="239">
        <f t="shared" si="12"/>
        <v>2.5000000000000005E-2</v>
      </c>
      <c r="P67" s="240">
        <f>SUM(D67:O67)</f>
        <v>0.99999999999999989</v>
      </c>
    </row>
    <row r="68" spans="1:51" s="50" customFormat="1" x14ac:dyDescent="0.25"/>
    <row r="69" spans="1:51" s="50" customFormat="1" x14ac:dyDescent="0.25"/>
  </sheetData>
  <mergeCells count="82">
    <mergeCell ref="A61:A62"/>
    <mergeCell ref="B61:B62"/>
    <mergeCell ref="A55:A56"/>
    <mergeCell ref="B55:B56"/>
    <mergeCell ref="C55:P55"/>
    <mergeCell ref="A57:A58"/>
    <mergeCell ref="B57:B58"/>
    <mergeCell ref="A59:A60"/>
    <mergeCell ref="B59:B60"/>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C17:AD17"/>
    <mergeCell ref="A19:AD19"/>
    <mergeCell ref="C20:P20"/>
    <mergeCell ref="Q20:AD20"/>
    <mergeCell ref="A27:AD27"/>
    <mergeCell ref="A28:A29"/>
    <mergeCell ref="B28:C29"/>
    <mergeCell ref="D28:O28"/>
    <mergeCell ref="P28:P29"/>
    <mergeCell ref="Q28:AD29"/>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phoneticPr fontId="50" type="noConversion"/>
  <dataValidations count="3">
    <dataValidation type="textLength" operator="lessThanOrEqual" allowBlank="1" showInputMessage="1" showErrorMessage="1" errorTitle="Máximo 2.000 caracteres" error="Máximo 2.000 caracteres" sqref="Q38:AD43 Q34 W34 AA34" xr:uid="{00000000-0002-0000-0600-000000000000}">
      <formula1>2000</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list" allowBlank="1" showInputMessage="1" showErrorMessage="1" sqref="C7:C9" xr:uid="{00000000-0002-0000-0600-000002000000}">
      <formula1>$C$21:$N$21</formula1>
    </dataValidation>
  </dataValidations>
  <printOptions horizontalCentered="1"/>
  <pageMargins left="0.19685039370078741" right="0.19685039370078741" top="0.19685039370078741" bottom="0.19685039370078741" header="0" footer="0"/>
  <pageSetup scale="28" orientation="landscape" r:id="rId1"/>
  <colBreaks count="1" manualBreakCount="1">
    <brk id="30"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7030A0"/>
  </sheetPr>
  <dimension ref="A1:AY23"/>
  <sheetViews>
    <sheetView tabSelected="1" view="pageBreakPreview" zoomScale="60" zoomScaleNormal="80" workbookViewId="0">
      <selection sqref="A1:AV1"/>
    </sheetView>
  </sheetViews>
  <sheetFormatPr baseColWidth="10" defaultColWidth="10.85546875" defaultRowHeight="15" x14ac:dyDescent="0.25"/>
  <cols>
    <col min="1" max="1" width="25.42578125" style="108" customWidth="1"/>
    <col min="2" max="2" width="14" style="108" customWidth="1"/>
    <col min="3" max="3" width="15.42578125" style="108" customWidth="1"/>
    <col min="4" max="6" width="14" style="108" customWidth="1"/>
    <col min="7" max="8" width="14.42578125" style="108" customWidth="1"/>
    <col min="9" max="9" width="38.42578125" style="108" customWidth="1"/>
    <col min="10" max="10" width="29.42578125" style="108" customWidth="1"/>
    <col min="11" max="13" width="15.42578125" style="108" customWidth="1"/>
    <col min="14" max="14" width="24.42578125" style="108" customWidth="1"/>
    <col min="15" max="19" width="8.85546875" style="248" customWidth="1"/>
    <col min="20" max="20" width="15.140625" style="108" customWidth="1"/>
    <col min="21" max="21" width="17" style="108" customWidth="1"/>
    <col min="22" max="35" width="5.85546875" style="248" customWidth="1"/>
    <col min="36" max="38" width="7.42578125" style="248" customWidth="1"/>
    <col min="39" max="45" width="5.85546875" style="248" customWidth="1"/>
    <col min="46" max="46" width="10.85546875" style="248"/>
    <col min="47" max="47" width="11.42578125" style="108" customWidth="1"/>
    <col min="48" max="48" width="27.42578125" style="108" customWidth="1"/>
    <col min="49" max="50" width="24.42578125" style="108" customWidth="1"/>
    <col min="51" max="51" width="13.42578125" style="108" bestFit="1" customWidth="1"/>
    <col min="52" max="16384" width="10.85546875" style="108"/>
  </cols>
  <sheetData>
    <row r="1" spans="1:51" ht="15.95" customHeight="1" x14ac:dyDescent="0.25">
      <c r="A1" s="733" t="s">
        <v>0</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4"/>
      <c r="AG1" s="734"/>
      <c r="AH1" s="734"/>
      <c r="AI1" s="734"/>
      <c r="AJ1" s="734"/>
      <c r="AK1" s="734"/>
      <c r="AL1" s="734"/>
      <c r="AM1" s="734"/>
      <c r="AN1" s="734"/>
      <c r="AO1" s="734"/>
      <c r="AP1" s="734"/>
      <c r="AQ1" s="734"/>
      <c r="AR1" s="734"/>
      <c r="AS1" s="734"/>
      <c r="AT1" s="734"/>
      <c r="AU1" s="734"/>
      <c r="AV1" s="735"/>
      <c r="AW1" s="736" t="s">
        <v>1</v>
      </c>
      <c r="AX1" s="737"/>
    </row>
    <row r="2" spans="1:51" ht="15.95" customHeight="1" x14ac:dyDescent="0.25">
      <c r="A2" s="727" t="s">
        <v>2</v>
      </c>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9"/>
      <c r="AW2" s="736" t="s">
        <v>3</v>
      </c>
      <c r="AX2" s="737"/>
    </row>
    <row r="3" spans="1:51" ht="15" customHeight="1" x14ac:dyDescent="0.25">
      <c r="A3" s="730" t="s">
        <v>202</v>
      </c>
      <c r="B3" s="731"/>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731"/>
      <c r="AO3" s="731"/>
      <c r="AP3" s="731"/>
      <c r="AQ3" s="731"/>
      <c r="AR3" s="731"/>
      <c r="AS3" s="731"/>
      <c r="AT3" s="731"/>
      <c r="AU3" s="731"/>
      <c r="AV3" s="732"/>
      <c r="AW3" s="736" t="s">
        <v>203</v>
      </c>
      <c r="AX3" s="737"/>
    </row>
    <row r="4" spans="1:51" ht="15.95" customHeight="1" x14ac:dyDescent="0.25">
      <c r="A4" s="733"/>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c r="AN4" s="734"/>
      <c r="AO4" s="734"/>
      <c r="AP4" s="734"/>
      <c r="AQ4" s="734"/>
      <c r="AR4" s="734"/>
      <c r="AS4" s="734"/>
      <c r="AT4" s="734"/>
      <c r="AU4" s="734"/>
      <c r="AV4" s="735"/>
      <c r="AW4" s="738" t="s">
        <v>204</v>
      </c>
      <c r="AX4" s="739"/>
    </row>
    <row r="5" spans="1:51" ht="15" customHeight="1" x14ac:dyDescent="0.25">
      <c r="A5" s="693" t="s">
        <v>205</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5"/>
      <c r="AH5" s="740" t="s">
        <v>13</v>
      </c>
      <c r="AI5" s="741"/>
      <c r="AJ5" s="741"/>
      <c r="AK5" s="741"/>
      <c r="AL5" s="741"/>
      <c r="AM5" s="741"/>
      <c r="AN5" s="741"/>
      <c r="AO5" s="741"/>
      <c r="AP5" s="741"/>
      <c r="AQ5" s="741"/>
      <c r="AR5" s="741"/>
      <c r="AS5" s="741"/>
      <c r="AT5" s="741"/>
      <c r="AU5" s="742"/>
      <c r="AV5" s="711" t="s">
        <v>206</v>
      </c>
      <c r="AW5" s="711" t="s">
        <v>207</v>
      </c>
      <c r="AX5" s="711" t="s">
        <v>208</v>
      </c>
    </row>
    <row r="6" spans="1:51" ht="15" customHeight="1" x14ac:dyDescent="0.25">
      <c r="A6" s="696" t="s">
        <v>9</v>
      </c>
      <c r="B6" s="696"/>
      <c r="C6" s="696"/>
      <c r="D6" s="697">
        <v>44776</v>
      </c>
      <c r="E6" s="698"/>
      <c r="F6" s="696" t="s">
        <v>10</v>
      </c>
      <c r="G6" s="696"/>
      <c r="H6" s="699" t="s">
        <v>11</v>
      </c>
      <c r="I6" s="699"/>
      <c r="J6" s="110"/>
      <c r="K6" s="740"/>
      <c r="L6" s="741"/>
      <c r="M6" s="741"/>
      <c r="N6" s="741"/>
      <c r="O6" s="741"/>
      <c r="P6" s="741"/>
      <c r="Q6" s="741"/>
      <c r="R6" s="741"/>
      <c r="S6" s="741"/>
      <c r="T6" s="741"/>
      <c r="U6" s="741"/>
      <c r="V6" s="253"/>
      <c r="W6" s="253"/>
      <c r="X6" s="253"/>
      <c r="Y6" s="253"/>
      <c r="Z6" s="253"/>
      <c r="AA6" s="253"/>
      <c r="AB6" s="253"/>
      <c r="AC6" s="253"/>
      <c r="AD6" s="253"/>
      <c r="AE6" s="253"/>
      <c r="AF6" s="253"/>
      <c r="AG6" s="254"/>
      <c r="AH6" s="743"/>
      <c r="AI6" s="744"/>
      <c r="AJ6" s="744"/>
      <c r="AK6" s="744"/>
      <c r="AL6" s="744"/>
      <c r="AM6" s="744"/>
      <c r="AN6" s="744"/>
      <c r="AO6" s="744"/>
      <c r="AP6" s="744"/>
      <c r="AQ6" s="744"/>
      <c r="AR6" s="744"/>
      <c r="AS6" s="744"/>
      <c r="AT6" s="744"/>
      <c r="AU6" s="745"/>
      <c r="AV6" s="712"/>
      <c r="AW6" s="712"/>
      <c r="AX6" s="712"/>
    </row>
    <row r="7" spans="1:51" ht="15" customHeight="1" x14ac:dyDescent="0.25">
      <c r="A7" s="696"/>
      <c r="B7" s="696"/>
      <c r="C7" s="696"/>
      <c r="D7" s="698"/>
      <c r="E7" s="698"/>
      <c r="F7" s="696"/>
      <c r="G7" s="696"/>
      <c r="H7" s="699" t="s">
        <v>12</v>
      </c>
      <c r="I7" s="699"/>
      <c r="J7" s="110"/>
      <c r="K7" s="743"/>
      <c r="L7" s="744"/>
      <c r="M7" s="744"/>
      <c r="N7" s="744"/>
      <c r="O7" s="744"/>
      <c r="P7" s="744"/>
      <c r="Q7" s="744"/>
      <c r="R7" s="744"/>
      <c r="S7" s="744"/>
      <c r="T7" s="744"/>
      <c r="U7" s="744"/>
      <c r="V7" s="255"/>
      <c r="W7" s="255"/>
      <c r="X7" s="255"/>
      <c r="Y7" s="255"/>
      <c r="Z7" s="255"/>
      <c r="AA7" s="255"/>
      <c r="AB7" s="255"/>
      <c r="AC7" s="255"/>
      <c r="AD7" s="255"/>
      <c r="AE7" s="255"/>
      <c r="AF7" s="255"/>
      <c r="AG7" s="256"/>
      <c r="AH7" s="743"/>
      <c r="AI7" s="744"/>
      <c r="AJ7" s="744"/>
      <c r="AK7" s="744"/>
      <c r="AL7" s="744"/>
      <c r="AM7" s="744"/>
      <c r="AN7" s="744"/>
      <c r="AO7" s="744"/>
      <c r="AP7" s="744"/>
      <c r="AQ7" s="744"/>
      <c r="AR7" s="744"/>
      <c r="AS7" s="744"/>
      <c r="AT7" s="744"/>
      <c r="AU7" s="745"/>
      <c r="AV7" s="712"/>
      <c r="AW7" s="712"/>
      <c r="AX7" s="712"/>
    </row>
    <row r="8" spans="1:51" ht="15" customHeight="1" x14ac:dyDescent="0.25">
      <c r="A8" s="696"/>
      <c r="B8" s="696"/>
      <c r="C8" s="696"/>
      <c r="D8" s="698"/>
      <c r="E8" s="698"/>
      <c r="F8" s="696"/>
      <c r="G8" s="696"/>
      <c r="H8" s="699" t="s">
        <v>13</v>
      </c>
      <c r="I8" s="699"/>
      <c r="J8" s="110" t="s">
        <v>14</v>
      </c>
      <c r="K8" s="746"/>
      <c r="L8" s="747"/>
      <c r="M8" s="747"/>
      <c r="N8" s="747"/>
      <c r="O8" s="747"/>
      <c r="P8" s="747"/>
      <c r="Q8" s="747"/>
      <c r="R8" s="747"/>
      <c r="S8" s="747"/>
      <c r="T8" s="747"/>
      <c r="U8" s="747"/>
      <c r="V8" s="257"/>
      <c r="W8" s="257"/>
      <c r="X8" s="257"/>
      <c r="Y8" s="257"/>
      <c r="Z8" s="257"/>
      <c r="AA8" s="257"/>
      <c r="AB8" s="257"/>
      <c r="AC8" s="257"/>
      <c r="AD8" s="257"/>
      <c r="AE8" s="257"/>
      <c r="AF8" s="257"/>
      <c r="AG8" s="258"/>
      <c r="AH8" s="743"/>
      <c r="AI8" s="744"/>
      <c r="AJ8" s="744"/>
      <c r="AK8" s="744"/>
      <c r="AL8" s="744"/>
      <c r="AM8" s="744"/>
      <c r="AN8" s="744"/>
      <c r="AO8" s="744"/>
      <c r="AP8" s="744"/>
      <c r="AQ8" s="744"/>
      <c r="AR8" s="744"/>
      <c r="AS8" s="744"/>
      <c r="AT8" s="744"/>
      <c r="AU8" s="745"/>
      <c r="AV8" s="712"/>
      <c r="AW8" s="712"/>
      <c r="AX8" s="712"/>
    </row>
    <row r="9" spans="1:51" ht="15" customHeight="1" x14ac:dyDescent="0.25">
      <c r="A9" s="690" t="s">
        <v>209</v>
      </c>
      <c r="B9" s="691"/>
      <c r="C9" s="692"/>
      <c r="D9" s="749" t="s">
        <v>210</v>
      </c>
      <c r="E9" s="750"/>
      <c r="F9" s="750"/>
      <c r="G9" s="750"/>
      <c r="H9" s="750"/>
      <c r="I9" s="750"/>
      <c r="J9" s="750"/>
      <c r="K9" s="708"/>
      <c r="L9" s="708"/>
      <c r="M9" s="708"/>
      <c r="N9" s="708"/>
      <c r="O9" s="708"/>
      <c r="P9" s="708"/>
      <c r="Q9" s="708"/>
      <c r="R9" s="708"/>
      <c r="S9" s="708"/>
      <c r="T9" s="708"/>
      <c r="U9" s="708"/>
      <c r="V9" s="708"/>
      <c r="W9" s="708"/>
      <c r="X9" s="708"/>
      <c r="Y9" s="708"/>
      <c r="Z9" s="708"/>
      <c r="AA9" s="708"/>
      <c r="AB9" s="708"/>
      <c r="AC9" s="708"/>
      <c r="AD9" s="708"/>
      <c r="AE9" s="708"/>
      <c r="AF9" s="708"/>
      <c r="AG9" s="709"/>
      <c r="AH9" s="743"/>
      <c r="AI9" s="744"/>
      <c r="AJ9" s="744"/>
      <c r="AK9" s="744"/>
      <c r="AL9" s="744"/>
      <c r="AM9" s="744"/>
      <c r="AN9" s="744"/>
      <c r="AO9" s="744"/>
      <c r="AP9" s="744"/>
      <c r="AQ9" s="744"/>
      <c r="AR9" s="744"/>
      <c r="AS9" s="744"/>
      <c r="AT9" s="744"/>
      <c r="AU9" s="745"/>
      <c r="AV9" s="712"/>
      <c r="AW9" s="712"/>
      <c r="AX9" s="712"/>
    </row>
    <row r="10" spans="1:51" ht="15" customHeight="1" x14ac:dyDescent="0.25">
      <c r="A10" s="704" t="s">
        <v>211</v>
      </c>
      <c r="B10" s="705"/>
      <c r="C10" s="706"/>
      <c r="D10" s="707" t="s">
        <v>212</v>
      </c>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c r="AG10" s="709"/>
      <c r="AH10" s="746"/>
      <c r="AI10" s="747"/>
      <c r="AJ10" s="747"/>
      <c r="AK10" s="747"/>
      <c r="AL10" s="747"/>
      <c r="AM10" s="747"/>
      <c r="AN10" s="747"/>
      <c r="AO10" s="747"/>
      <c r="AP10" s="747"/>
      <c r="AQ10" s="747"/>
      <c r="AR10" s="747"/>
      <c r="AS10" s="747"/>
      <c r="AT10" s="747"/>
      <c r="AU10" s="748"/>
      <c r="AV10" s="712"/>
      <c r="AW10" s="712"/>
      <c r="AX10" s="712"/>
    </row>
    <row r="11" spans="1:51" ht="39.950000000000003" customHeight="1" x14ac:dyDescent="0.25">
      <c r="A11" s="719" t="s">
        <v>213</v>
      </c>
      <c r="B11" s="720"/>
      <c r="C11" s="720"/>
      <c r="D11" s="720"/>
      <c r="E11" s="720"/>
      <c r="F11" s="721"/>
      <c r="G11" s="719" t="s">
        <v>214</v>
      </c>
      <c r="H11" s="721"/>
      <c r="I11" s="711" t="s">
        <v>215</v>
      </c>
      <c r="J11" s="711" t="s">
        <v>216</v>
      </c>
      <c r="K11" s="711" t="s">
        <v>217</v>
      </c>
      <c r="L11" s="711" t="s">
        <v>218</v>
      </c>
      <c r="M11" s="711" t="s">
        <v>219</v>
      </c>
      <c r="N11" s="711" t="s">
        <v>220</v>
      </c>
      <c r="O11" s="716" t="s">
        <v>221</v>
      </c>
      <c r="P11" s="717"/>
      <c r="Q11" s="717"/>
      <c r="R11" s="717"/>
      <c r="S11" s="718"/>
      <c r="T11" s="711" t="s">
        <v>222</v>
      </c>
      <c r="U11" s="711" t="s">
        <v>223</v>
      </c>
      <c r="V11" s="723" t="s">
        <v>224</v>
      </c>
      <c r="W11" s="724"/>
      <c r="X11" s="724"/>
      <c r="Y11" s="724"/>
      <c r="Z11" s="724"/>
      <c r="AA11" s="724"/>
      <c r="AB11" s="724"/>
      <c r="AC11" s="724"/>
      <c r="AD11" s="724"/>
      <c r="AE11" s="724"/>
      <c r="AF11" s="724"/>
      <c r="AG11" s="725"/>
      <c r="AH11" s="723" t="s">
        <v>225</v>
      </c>
      <c r="AI11" s="724"/>
      <c r="AJ11" s="724"/>
      <c r="AK11" s="724"/>
      <c r="AL11" s="724"/>
      <c r="AM11" s="724"/>
      <c r="AN11" s="724"/>
      <c r="AO11" s="724"/>
      <c r="AP11" s="724"/>
      <c r="AQ11" s="724"/>
      <c r="AR11" s="724"/>
      <c r="AS11" s="725"/>
      <c r="AT11" s="719" t="s">
        <v>41</v>
      </c>
      <c r="AU11" s="721"/>
      <c r="AV11" s="712"/>
      <c r="AW11" s="712"/>
      <c r="AX11" s="712"/>
    </row>
    <row r="12" spans="1:51" ht="42.75" x14ac:dyDescent="0.25">
      <c r="A12" s="109" t="s">
        <v>226</v>
      </c>
      <c r="B12" s="109" t="s">
        <v>227</v>
      </c>
      <c r="C12" s="109" t="s">
        <v>228</v>
      </c>
      <c r="D12" s="109" t="s">
        <v>229</v>
      </c>
      <c r="E12" s="109" t="s">
        <v>230</v>
      </c>
      <c r="F12" s="109" t="s">
        <v>231</v>
      </c>
      <c r="G12" s="109" t="s">
        <v>232</v>
      </c>
      <c r="H12" s="109" t="s">
        <v>233</v>
      </c>
      <c r="I12" s="713"/>
      <c r="J12" s="713"/>
      <c r="K12" s="713"/>
      <c r="L12" s="713"/>
      <c r="M12" s="713"/>
      <c r="N12" s="713"/>
      <c r="O12" s="249">
        <v>2020</v>
      </c>
      <c r="P12" s="249">
        <v>2021</v>
      </c>
      <c r="Q12" s="249">
        <v>2022</v>
      </c>
      <c r="R12" s="249">
        <v>2023</v>
      </c>
      <c r="S12" s="249">
        <v>2024</v>
      </c>
      <c r="T12" s="713"/>
      <c r="U12" s="713"/>
      <c r="V12" s="252" t="s">
        <v>30</v>
      </c>
      <c r="W12" s="252" t="s">
        <v>31</v>
      </c>
      <c r="X12" s="252" t="s">
        <v>32</v>
      </c>
      <c r="Y12" s="252" t="s">
        <v>33</v>
      </c>
      <c r="Z12" s="252" t="s">
        <v>34</v>
      </c>
      <c r="AA12" s="252" t="s">
        <v>35</v>
      </c>
      <c r="AB12" s="252" t="s">
        <v>8</v>
      </c>
      <c r="AC12" s="252" t="s">
        <v>36</v>
      </c>
      <c r="AD12" s="252" t="s">
        <v>37</v>
      </c>
      <c r="AE12" s="252" t="s">
        <v>38</v>
      </c>
      <c r="AF12" s="252" t="s">
        <v>39</v>
      </c>
      <c r="AG12" s="252" t="s">
        <v>40</v>
      </c>
      <c r="AH12" s="252" t="s">
        <v>30</v>
      </c>
      <c r="AI12" s="252" t="s">
        <v>31</v>
      </c>
      <c r="AJ12" s="252" t="s">
        <v>32</v>
      </c>
      <c r="AK12" s="252" t="s">
        <v>33</v>
      </c>
      <c r="AL12" s="252" t="s">
        <v>34</v>
      </c>
      <c r="AM12" s="252" t="s">
        <v>35</v>
      </c>
      <c r="AN12" s="252" t="s">
        <v>8</v>
      </c>
      <c r="AO12" s="252" t="s">
        <v>36</v>
      </c>
      <c r="AP12" s="252" t="s">
        <v>37</v>
      </c>
      <c r="AQ12" s="252" t="s">
        <v>38</v>
      </c>
      <c r="AR12" s="252" t="s">
        <v>39</v>
      </c>
      <c r="AS12" s="252" t="s">
        <v>40</v>
      </c>
      <c r="AT12" s="244" t="s">
        <v>234</v>
      </c>
      <c r="AU12" s="109" t="s">
        <v>235</v>
      </c>
      <c r="AV12" s="713"/>
      <c r="AW12" s="713"/>
      <c r="AX12" s="713"/>
    </row>
    <row r="13" spans="1:51" ht="58.5" customHeight="1" x14ac:dyDescent="0.25">
      <c r="A13" s="132">
        <v>37</v>
      </c>
      <c r="B13" s="110" t="s">
        <v>46</v>
      </c>
      <c r="C13" s="110" t="s">
        <v>46</v>
      </c>
      <c r="D13" s="110" t="s">
        <v>46</v>
      </c>
      <c r="E13" s="110" t="s">
        <v>46</v>
      </c>
      <c r="F13" s="110" t="s">
        <v>46</v>
      </c>
      <c r="G13" s="110" t="s">
        <v>46</v>
      </c>
      <c r="H13" s="110" t="s">
        <v>46</v>
      </c>
      <c r="I13" s="241" t="s">
        <v>236</v>
      </c>
      <c r="J13" s="242" t="s">
        <v>237</v>
      </c>
      <c r="K13" s="111" t="s">
        <v>238</v>
      </c>
      <c r="L13" s="250">
        <v>15</v>
      </c>
      <c r="M13" s="111" t="s">
        <v>239</v>
      </c>
      <c r="N13" s="242" t="s">
        <v>240</v>
      </c>
      <c r="O13" s="245">
        <v>15</v>
      </c>
      <c r="P13" s="245">
        <v>15</v>
      </c>
      <c r="Q13" s="245">
        <v>15</v>
      </c>
      <c r="R13" s="245">
        <v>15</v>
      </c>
      <c r="S13" s="245">
        <v>15</v>
      </c>
      <c r="T13" s="112" t="s">
        <v>241</v>
      </c>
      <c r="U13" s="242" t="s">
        <v>242</v>
      </c>
      <c r="V13" s="246">
        <v>0</v>
      </c>
      <c r="W13" s="246">
        <v>1</v>
      </c>
      <c r="X13" s="246">
        <v>1</v>
      </c>
      <c r="Y13" s="246">
        <v>1</v>
      </c>
      <c r="Z13" s="246">
        <v>2</v>
      </c>
      <c r="AA13" s="246">
        <v>2</v>
      </c>
      <c r="AB13" s="246">
        <v>2</v>
      </c>
      <c r="AC13" s="246">
        <v>2</v>
      </c>
      <c r="AD13" s="246">
        <v>1</v>
      </c>
      <c r="AE13" s="246">
        <v>1</v>
      </c>
      <c r="AF13" s="246">
        <v>1</v>
      </c>
      <c r="AG13" s="246">
        <v>1</v>
      </c>
      <c r="AH13" s="246">
        <v>0</v>
      </c>
      <c r="AI13" s="246">
        <v>0</v>
      </c>
      <c r="AJ13" s="246">
        <v>5</v>
      </c>
      <c r="AK13" s="246">
        <v>1</v>
      </c>
      <c r="AL13" s="246">
        <v>1</v>
      </c>
      <c r="AM13" s="246">
        <v>1</v>
      </c>
      <c r="AN13" s="319">
        <v>1</v>
      </c>
      <c r="AO13" s="319"/>
      <c r="AP13" s="319"/>
      <c r="AQ13" s="319"/>
      <c r="AR13" s="319"/>
      <c r="AS13" s="319"/>
      <c r="AT13" s="319">
        <f>AH13+AI13+AJ13+AK13+AL13+AM13+AN13+AO13</f>
        <v>9</v>
      </c>
      <c r="AU13" s="320">
        <f>AT13/Q13</f>
        <v>0.6</v>
      </c>
      <c r="AV13" s="322" t="s">
        <v>243</v>
      </c>
      <c r="AW13" s="323" t="s">
        <v>244</v>
      </c>
      <c r="AX13" s="324" t="s">
        <v>245</v>
      </c>
      <c r="AY13" s="318">
        <f>SUM(AH13:AT13)</f>
        <v>18</v>
      </c>
    </row>
    <row r="14" spans="1:51" ht="58.5" customHeight="1" x14ac:dyDescent="0.25">
      <c r="A14" s="110" t="s">
        <v>46</v>
      </c>
      <c r="B14" s="110" t="s">
        <v>46</v>
      </c>
      <c r="C14" s="110" t="s">
        <v>46</v>
      </c>
      <c r="D14" s="129">
        <v>39</v>
      </c>
      <c r="E14" s="110" t="s">
        <v>46</v>
      </c>
      <c r="F14" s="110" t="s">
        <v>46</v>
      </c>
      <c r="G14" s="110" t="s">
        <v>46</v>
      </c>
      <c r="H14" s="110" t="s">
        <v>46</v>
      </c>
      <c r="I14" s="241" t="s">
        <v>246</v>
      </c>
      <c r="J14" s="241" t="s">
        <v>247</v>
      </c>
      <c r="K14" s="113" t="s">
        <v>248</v>
      </c>
      <c r="L14" s="251">
        <v>9300</v>
      </c>
      <c r="M14" s="113" t="s">
        <v>249</v>
      </c>
      <c r="N14" s="242" t="s">
        <v>250</v>
      </c>
      <c r="O14" s="246">
        <v>900</v>
      </c>
      <c r="P14" s="246">
        <v>3200</v>
      </c>
      <c r="Q14" s="246">
        <v>2500</v>
      </c>
      <c r="R14" s="246">
        <v>1800</v>
      </c>
      <c r="S14" s="246">
        <v>900</v>
      </c>
      <c r="T14" s="110" t="s">
        <v>251</v>
      </c>
      <c r="U14" s="242" t="s">
        <v>252</v>
      </c>
      <c r="V14" s="246">
        <v>100</v>
      </c>
      <c r="W14" s="246">
        <v>230</v>
      </c>
      <c r="X14" s="246">
        <v>230</v>
      </c>
      <c r="Y14" s="246">
        <v>230</v>
      </c>
      <c r="Z14" s="246">
        <v>230</v>
      </c>
      <c r="AA14" s="246">
        <v>230</v>
      </c>
      <c r="AB14" s="246">
        <v>230</v>
      </c>
      <c r="AC14" s="246">
        <v>230</v>
      </c>
      <c r="AD14" s="246">
        <v>230</v>
      </c>
      <c r="AE14" s="246">
        <v>230</v>
      </c>
      <c r="AF14" s="246">
        <v>230</v>
      </c>
      <c r="AG14" s="246">
        <v>100</v>
      </c>
      <c r="AH14" s="246">
        <v>221</v>
      </c>
      <c r="AI14" s="246">
        <v>300</v>
      </c>
      <c r="AJ14" s="246">
        <v>378</v>
      </c>
      <c r="AK14" s="246">
        <v>272</v>
      </c>
      <c r="AL14" s="246">
        <v>430</v>
      </c>
      <c r="AM14" s="246">
        <v>281</v>
      </c>
      <c r="AN14" s="319">
        <v>348</v>
      </c>
      <c r="AO14" s="319"/>
      <c r="AP14" s="319"/>
      <c r="AQ14" s="319"/>
      <c r="AR14" s="319"/>
      <c r="AS14" s="319"/>
      <c r="AT14" s="319">
        <f t="shared" ref="AT14:AT19" si="0">SUM(AH14:AS14)</f>
        <v>2230</v>
      </c>
      <c r="AU14" s="320">
        <f>AT14/Q14</f>
        <v>0.89200000000000002</v>
      </c>
      <c r="AV14" s="328" t="s">
        <v>253</v>
      </c>
      <c r="AW14" s="328" t="s">
        <v>254</v>
      </c>
      <c r="AX14" s="324" t="s">
        <v>255</v>
      </c>
    </row>
    <row r="15" spans="1:51" ht="58.5" customHeight="1" x14ac:dyDescent="0.25">
      <c r="A15" s="110" t="s">
        <v>46</v>
      </c>
      <c r="B15" s="110" t="s">
        <v>46</v>
      </c>
      <c r="C15" s="110" t="s">
        <v>46</v>
      </c>
      <c r="D15" s="129">
        <v>40</v>
      </c>
      <c r="E15" s="110" t="s">
        <v>46</v>
      </c>
      <c r="F15" s="110" t="s">
        <v>46</v>
      </c>
      <c r="G15" s="110" t="s">
        <v>46</v>
      </c>
      <c r="H15" s="110" t="s">
        <v>46</v>
      </c>
      <c r="I15" s="241" t="s">
        <v>256</v>
      </c>
      <c r="J15" s="241" t="s">
        <v>257</v>
      </c>
      <c r="K15" s="113" t="s">
        <v>248</v>
      </c>
      <c r="L15" s="251">
        <v>6800</v>
      </c>
      <c r="M15" s="113" t="s">
        <v>249</v>
      </c>
      <c r="N15" s="242" t="s">
        <v>258</v>
      </c>
      <c r="O15" s="246">
        <v>650</v>
      </c>
      <c r="P15" s="246">
        <v>2400</v>
      </c>
      <c r="Q15" s="246">
        <v>1800</v>
      </c>
      <c r="R15" s="246">
        <v>1300</v>
      </c>
      <c r="S15" s="246">
        <v>650</v>
      </c>
      <c r="T15" s="110" t="s">
        <v>251</v>
      </c>
      <c r="U15" s="242" t="s">
        <v>259</v>
      </c>
      <c r="V15" s="246">
        <v>70</v>
      </c>
      <c r="W15" s="246">
        <v>165</v>
      </c>
      <c r="X15" s="246">
        <v>165</v>
      </c>
      <c r="Y15" s="246">
        <v>165</v>
      </c>
      <c r="Z15" s="246">
        <v>165</v>
      </c>
      <c r="AA15" s="246">
        <v>165</v>
      </c>
      <c r="AB15" s="246">
        <v>165</v>
      </c>
      <c r="AC15" s="246">
        <v>165</v>
      </c>
      <c r="AD15" s="246">
        <v>165</v>
      </c>
      <c r="AE15" s="246">
        <v>165</v>
      </c>
      <c r="AF15" s="246">
        <v>165</v>
      </c>
      <c r="AG15" s="246">
        <v>80</v>
      </c>
      <c r="AH15" s="246">
        <v>104</v>
      </c>
      <c r="AI15" s="246">
        <v>177</v>
      </c>
      <c r="AJ15" s="246">
        <v>190</v>
      </c>
      <c r="AK15" s="246">
        <v>130</v>
      </c>
      <c r="AL15" s="246">
        <v>201</v>
      </c>
      <c r="AM15" s="246">
        <v>214</v>
      </c>
      <c r="AN15" s="319">
        <v>202</v>
      </c>
      <c r="AO15" s="319"/>
      <c r="AP15" s="319"/>
      <c r="AQ15" s="319"/>
      <c r="AR15" s="319"/>
      <c r="AS15" s="319"/>
      <c r="AT15" s="319">
        <f t="shared" si="0"/>
        <v>1218</v>
      </c>
      <c r="AU15" s="320">
        <f t="shared" ref="AU15:AU19" si="1">SUM(AH15:AS15)/Q15</f>
        <v>0.67666666666666664</v>
      </c>
      <c r="AV15" s="328" t="s">
        <v>260</v>
      </c>
      <c r="AW15" s="328" t="s">
        <v>261</v>
      </c>
      <c r="AX15" s="324" t="s">
        <v>262</v>
      </c>
    </row>
    <row r="16" spans="1:51" ht="58.5" customHeight="1" x14ac:dyDescent="0.25">
      <c r="A16" s="110" t="s">
        <v>46</v>
      </c>
      <c r="B16" s="110" t="s">
        <v>46</v>
      </c>
      <c r="C16" s="110" t="s">
        <v>46</v>
      </c>
      <c r="D16" s="129">
        <v>41</v>
      </c>
      <c r="E16" s="110" t="s">
        <v>46</v>
      </c>
      <c r="F16" s="110" t="s">
        <v>46</v>
      </c>
      <c r="G16" s="110" t="s">
        <v>46</v>
      </c>
      <c r="H16" s="110" t="s">
        <v>46</v>
      </c>
      <c r="I16" s="241" t="s">
        <v>263</v>
      </c>
      <c r="J16" s="241" t="s">
        <v>264</v>
      </c>
      <c r="K16" s="113" t="s">
        <v>248</v>
      </c>
      <c r="L16" s="251">
        <v>15000</v>
      </c>
      <c r="M16" s="113" t="s">
        <v>249</v>
      </c>
      <c r="N16" s="242" t="s">
        <v>265</v>
      </c>
      <c r="O16" s="246">
        <v>1500</v>
      </c>
      <c r="P16" s="246">
        <v>5000</v>
      </c>
      <c r="Q16" s="246">
        <v>4000</v>
      </c>
      <c r="R16" s="246">
        <v>3000</v>
      </c>
      <c r="S16" s="246">
        <v>1500</v>
      </c>
      <c r="T16" s="110" t="s">
        <v>251</v>
      </c>
      <c r="U16" s="242" t="s">
        <v>266</v>
      </c>
      <c r="V16" s="246">
        <v>150</v>
      </c>
      <c r="W16" s="246">
        <v>370</v>
      </c>
      <c r="X16" s="246">
        <v>370</v>
      </c>
      <c r="Y16" s="246">
        <v>370</v>
      </c>
      <c r="Z16" s="246">
        <v>370</v>
      </c>
      <c r="AA16" s="246">
        <v>370</v>
      </c>
      <c r="AB16" s="246">
        <v>370</v>
      </c>
      <c r="AC16" s="246">
        <v>370</v>
      </c>
      <c r="AD16" s="246">
        <v>370</v>
      </c>
      <c r="AE16" s="246">
        <v>370</v>
      </c>
      <c r="AF16" s="246">
        <v>370</v>
      </c>
      <c r="AG16" s="246">
        <v>150</v>
      </c>
      <c r="AH16" s="246">
        <v>338</v>
      </c>
      <c r="AI16" s="246">
        <v>578</v>
      </c>
      <c r="AJ16" s="246">
        <v>562</v>
      </c>
      <c r="AK16" s="246">
        <v>445</v>
      </c>
      <c r="AL16" s="246">
        <v>530</v>
      </c>
      <c r="AM16" s="246">
        <v>500</v>
      </c>
      <c r="AN16" s="319">
        <v>618</v>
      </c>
      <c r="AO16" s="319"/>
      <c r="AP16" s="319"/>
      <c r="AQ16" s="319"/>
      <c r="AR16" s="319"/>
      <c r="AS16" s="319"/>
      <c r="AT16" s="319">
        <f t="shared" si="0"/>
        <v>3571</v>
      </c>
      <c r="AU16" s="320">
        <f t="shared" si="1"/>
        <v>0.89275000000000004</v>
      </c>
      <c r="AV16" s="328" t="s">
        <v>267</v>
      </c>
      <c r="AW16" s="328" t="s">
        <v>268</v>
      </c>
      <c r="AX16" s="324" t="s">
        <v>269</v>
      </c>
    </row>
    <row r="17" spans="1:50" ht="58.5" customHeight="1" x14ac:dyDescent="0.25">
      <c r="A17" s="132">
        <v>37</v>
      </c>
      <c r="B17" s="110" t="s">
        <v>46</v>
      </c>
      <c r="C17" s="110" t="s">
        <v>46</v>
      </c>
      <c r="D17" s="110" t="s">
        <v>46</v>
      </c>
      <c r="E17" s="110" t="s">
        <v>46</v>
      </c>
      <c r="F17" s="110" t="s">
        <v>46</v>
      </c>
      <c r="G17" s="702" t="s">
        <v>270</v>
      </c>
      <c r="H17" s="702" t="s">
        <v>271</v>
      </c>
      <c r="I17" s="700" t="s">
        <v>272</v>
      </c>
      <c r="J17" s="243" t="s">
        <v>273</v>
      </c>
      <c r="K17" s="113" t="s">
        <v>274</v>
      </c>
      <c r="L17" s="289">
        <v>48</v>
      </c>
      <c r="M17" s="290" t="s">
        <v>275</v>
      </c>
      <c r="N17" s="241" t="s">
        <v>276</v>
      </c>
      <c r="O17" s="247" t="s">
        <v>277</v>
      </c>
      <c r="P17" s="246">
        <v>48</v>
      </c>
      <c r="Q17" s="246">
        <v>48</v>
      </c>
      <c r="R17" s="246">
        <v>48</v>
      </c>
      <c r="S17" s="246">
        <v>48</v>
      </c>
      <c r="T17" s="110" t="s">
        <v>251</v>
      </c>
      <c r="U17" s="242" t="s">
        <v>278</v>
      </c>
      <c r="V17" s="246">
        <v>4</v>
      </c>
      <c r="W17" s="246">
        <v>4</v>
      </c>
      <c r="X17" s="246">
        <v>4</v>
      </c>
      <c r="Y17" s="246">
        <v>4</v>
      </c>
      <c r="Z17" s="246">
        <v>4</v>
      </c>
      <c r="AA17" s="246">
        <v>4</v>
      </c>
      <c r="AB17" s="246">
        <v>4</v>
      </c>
      <c r="AC17" s="246">
        <v>4</v>
      </c>
      <c r="AD17" s="246">
        <v>4</v>
      </c>
      <c r="AE17" s="246">
        <v>4</v>
      </c>
      <c r="AF17" s="246">
        <v>4</v>
      </c>
      <c r="AG17" s="246">
        <v>4</v>
      </c>
      <c r="AH17" s="246">
        <v>4</v>
      </c>
      <c r="AI17" s="246">
        <v>4</v>
      </c>
      <c r="AJ17" s="246">
        <v>4</v>
      </c>
      <c r="AK17" s="246">
        <v>5</v>
      </c>
      <c r="AL17" s="246">
        <v>4</v>
      </c>
      <c r="AM17" s="246">
        <v>4</v>
      </c>
      <c r="AN17" s="319">
        <v>4</v>
      </c>
      <c r="AO17" s="319"/>
      <c r="AP17" s="319"/>
      <c r="AQ17" s="319"/>
      <c r="AR17" s="319"/>
      <c r="AS17" s="319"/>
      <c r="AT17" s="319">
        <f t="shared" si="0"/>
        <v>29</v>
      </c>
      <c r="AU17" s="888">
        <f>SUM(AG17:AS17)/Q17</f>
        <v>0.6875</v>
      </c>
      <c r="AV17" s="243" t="s">
        <v>279</v>
      </c>
      <c r="AW17" s="320" t="s">
        <v>280</v>
      </c>
      <c r="AX17" s="325" t="s">
        <v>245</v>
      </c>
    </row>
    <row r="18" spans="1:50" ht="58.5" customHeight="1" x14ac:dyDescent="0.25">
      <c r="A18" s="132">
        <v>37</v>
      </c>
      <c r="B18" s="110" t="s">
        <v>46</v>
      </c>
      <c r="C18" s="110" t="s">
        <v>46</v>
      </c>
      <c r="D18" s="110" t="s">
        <v>46</v>
      </c>
      <c r="E18" s="110" t="s">
        <v>46</v>
      </c>
      <c r="F18" s="110" t="s">
        <v>46</v>
      </c>
      <c r="G18" s="703"/>
      <c r="H18" s="703"/>
      <c r="I18" s="701"/>
      <c r="J18" s="243" t="s">
        <v>281</v>
      </c>
      <c r="K18" s="113" t="s">
        <v>274</v>
      </c>
      <c r="L18" s="289">
        <v>40</v>
      </c>
      <c r="M18" s="290" t="s">
        <v>282</v>
      </c>
      <c r="N18" s="241" t="s">
        <v>283</v>
      </c>
      <c r="O18" s="247">
        <v>0</v>
      </c>
      <c r="P18" s="247">
        <v>40</v>
      </c>
      <c r="Q18" s="247">
        <v>40</v>
      </c>
      <c r="R18" s="247">
        <v>40</v>
      </c>
      <c r="S18" s="247">
        <v>40</v>
      </c>
      <c r="T18" s="110" t="s">
        <v>251</v>
      </c>
      <c r="U18" s="242" t="s">
        <v>284</v>
      </c>
      <c r="V18" s="246">
        <v>0</v>
      </c>
      <c r="W18" s="246">
        <v>0</v>
      </c>
      <c r="X18" s="246">
        <v>0</v>
      </c>
      <c r="Y18" s="246">
        <v>2</v>
      </c>
      <c r="Z18" s="246">
        <v>4</v>
      </c>
      <c r="AA18" s="246">
        <v>4</v>
      </c>
      <c r="AB18" s="246">
        <v>5</v>
      </c>
      <c r="AC18" s="246">
        <v>5</v>
      </c>
      <c r="AD18" s="246">
        <v>5</v>
      </c>
      <c r="AE18" s="246">
        <v>5</v>
      </c>
      <c r="AF18" s="246">
        <v>5</v>
      </c>
      <c r="AG18" s="246">
        <v>5</v>
      </c>
      <c r="AH18" s="246">
        <v>0</v>
      </c>
      <c r="AI18" s="246">
        <v>0</v>
      </c>
      <c r="AJ18" s="246">
        <v>0</v>
      </c>
      <c r="AK18" s="246">
        <v>2</v>
      </c>
      <c r="AL18" s="246">
        <v>4</v>
      </c>
      <c r="AM18" s="246">
        <v>4</v>
      </c>
      <c r="AN18" s="319">
        <v>5</v>
      </c>
      <c r="AO18" s="319"/>
      <c r="AP18" s="319"/>
      <c r="AQ18" s="319"/>
      <c r="AR18" s="319"/>
      <c r="AS18" s="319"/>
      <c r="AT18" s="319">
        <f t="shared" si="0"/>
        <v>15</v>
      </c>
      <c r="AU18" s="320">
        <f t="shared" si="1"/>
        <v>0.375</v>
      </c>
      <c r="AV18" s="243" t="s">
        <v>285</v>
      </c>
      <c r="AW18" s="320" t="s">
        <v>280</v>
      </c>
      <c r="AX18" s="325" t="s">
        <v>245</v>
      </c>
    </row>
    <row r="19" spans="1:50" ht="168" customHeight="1" x14ac:dyDescent="0.25">
      <c r="A19" s="129">
        <v>37</v>
      </c>
      <c r="B19" s="110" t="s">
        <v>46</v>
      </c>
      <c r="C19" s="110" t="s">
        <v>46</v>
      </c>
      <c r="D19" s="110" t="s">
        <v>46</v>
      </c>
      <c r="E19" s="110" t="s">
        <v>46</v>
      </c>
      <c r="F19" s="129" t="s">
        <v>14</v>
      </c>
      <c r="G19" s="110" t="s">
        <v>46</v>
      </c>
      <c r="H19" s="110" t="s">
        <v>46</v>
      </c>
      <c r="I19" s="242" t="s">
        <v>286</v>
      </c>
      <c r="J19" s="242" t="s">
        <v>287</v>
      </c>
      <c r="K19" s="113" t="s">
        <v>248</v>
      </c>
      <c r="L19" s="251">
        <v>1632</v>
      </c>
      <c r="M19" s="113" t="s">
        <v>288</v>
      </c>
      <c r="N19" s="242" t="s">
        <v>289</v>
      </c>
      <c r="O19" s="246">
        <v>0</v>
      </c>
      <c r="P19" s="247">
        <v>1632</v>
      </c>
      <c r="Q19" s="247">
        <v>1632</v>
      </c>
      <c r="R19" s="247">
        <v>1632</v>
      </c>
      <c r="S19" s="247">
        <v>1632</v>
      </c>
      <c r="T19" s="110" t="s">
        <v>241</v>
      </c>
      <c r="U19" s="111" t="s">
        <v>290</v>
      </c>
      <c r="V19" s="246">
        <v>20</v>
      </c>
      <c r="W19" s="246">
        <v>160</v>
      </c>
      <c r="X19" s="246">
        <v>160</v>
      </c>
      <c r="Y19" s="246">
        <v>160</v>
      </c>
      <c r="Z19" s="246">
        <v>160</v>
      </c>
      <c r="AA19" s="246">
        <v>160</v>
      </c>
      <c r="AB19" s="246">
        <v>160</v>
      </c>
      <c r="AC19" s="246">
        <v>160</v>
      </c>
      <c r="AD19" s="246">
        <v>160</v>
      </c>
      <c r="AE19" s="246">
        <v>160</v>
      </c>
      <c r="AF19" s="246">
        <v>160</v>
      </c>
      <c r="AG19" s="246">
        <v>12</v>
      </c>
      <c r="AH19" s="319">
        <v>0</v>
      </c>
      <c r="AI19" s="319">
        <v>152</v>
      </c>
      <c r="AJ19" s="319">
        <v>623</v>
      </c>
      <c r="AK19" s="319">
        <v>119</v>
      </c>
      <c r="AL19" s="319">
        <f>225</f>
        <v>225</v>
      </c>
      <c r="AM19" s="246">
        <v>898</v>
      </c>
      <c r="AN19" s="331">
        <v>793</v>
      </c>
      <c r="AO19" s="319"/>
      <c r="AP19" s="319"/>
      <c r="AQ19" s="319"/>
      <c r="AR19" s="319"/>
      <c r="AS19" s="319"/>
      <c r="AT19" s="246">
        <f t="shared" si="0"/>
        <v>2810</v>
      </c>
      <c r="AU19" s="320">
        <f t="shared" si="1"/>
        <v>1.7218137254901962</v>
      </c>
      <c r="AV19" s="330" t="s">
        <v>291</v>
      </c>
      <c r="AW19" s="329" t="s">
        <v>292</v>
      </c>
      <c r="AX19" s="133" t="s">
        <v>293</v>
      </c>
    </row>
    <row r="20" spans="1:50" x14ac:dyDescent="0.25">
      <c r="A20" s="707" t="s">
        <v>294</v>
      </c>
      <c r="B20" s="708"/>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8"/>
      <c r="AS20" s="708"/>
      <c r="AT20" s="708"/>
      <c r="AU20" s="708"/>
      <c r="AV20" s="708"/>
      <c r="AW20" s="708"/>
      <c r="AX20" s="709"/>
    </row>
    <row r="21" spans="1:50" ht="42.75" customHeight="1" x14ac:dyDescent="0.25">
      <c r="A21" s="714" t="s">
        <v>295</v>
      </c>
      <c r="B21" s="714"/>
      <c r="C21" s="714"/>
      <c r="D21" s="715" t="s">
        <v>296</v>
      </c>
      <c r="E21" s="715"/>
      <c r="F21" s="715"/>
      <c r="G21" s="715"/>
      <c r="H21" s="715"/>
      <c r="I21" s="715"/>
      <c r="J21" s="726" t="s">
        <v>297</v>
      </c>
      <c r="K21" s="726"/>
      <c r="L21" s="726"/>
      <c r="M21" s="726"/>
      <c r="N21" s="726"/>
      <c r="O21" s="726"/>
      <c r="P21" s="715" t="s">
        <v>298</v>
      </c>
      <c r="Q21" s="715"/>
      <c r="R21" s="715"/>
      <c r="S21" s="715"/>
      <c r="T21" s="715"/>
      <c r="U21" s="715"/>
      <c r="V21" s="722" t="s">
        <v>298</v>
      </c>
      <c r="W21" s="722"/>
      <c r="X21" s="722"/>
      <c r="Y21" s="722"/>
      <c r="Z21" s="722"/>
      <c r="AA21" s="722"/>
      <c r="AB21" s="722"/>
      <c r="AC21" s="722"/>
      <c r="AD21" s="722" t="s">
        <v>298</v>
      </c>
      <c r="AE21" s="722"/>
      <c r="AF21" s="722"/>
      <c r="AG21" s="722"/>
      <c r="AH21" s="722"/>
      <c r="AI21" s="722"/>
      <c r="AJ21" s="722"/>
      <c r="AK21" s="722"/>
      <c r="AL21" s="722"/>
      <c r="AM21" s="722"/>
      <c r="AN21" s="722"/>
      <c r="AO21" s="722"/>
      <c r="AP21" s="710" t="s">
        <v>299</v>
      </c>
      <c r="AQ21" s="710"/>
      <c r="AR21" s="710"/>
      <c r="AS21" s="710"/>
      <c r="AT21" s="689" t="s">
        <v>300</v>
      </c>
      <c r="AU21" s="689"/>
      <c r="AV21" s="689"/>
      <c r="AW21" s="689"/>
      <c r="AX21" s="689"/>
    </row>
    <row r="22" spans="1:50" ht="21" customHeight="1" x14ac:dyDescent="0.25">
      <c r="A22" s="714"/>
      <c r="B22" s="714"/>
      <c r="C22" s="714"/>
      <c r="D22" s="715" t="s">
        <v>301</v>
      </c>
      <c r="E22" s="715"/>
      <c r="F22" s="715"/>
      <c r="G22" s="715"/>
      <c r="H22" s="715"/>
      <c r="I22" s="715"/>
      <c r="J22" s="726"/>
      <c r="K22" s="726"/>
      <c r="L22" s="726"/>
      <c r="M22" s="726"/>
      <c r="N22" s="726"/>
      <c r="O22" s="726"/>
      <c r="P22" s="715" t="s">
        <v>302</v>
      </c>
      <c r="Q22" s="715"/>
      <c r="R22" s="715"/>
      <c r="S22" s="715"/>
      <c r="T22" s="715"/>
      <c r="U22" s="715"/>
      <c r="V22" s="722" t="s">
        <v>302</v>
      </c>
      <c r="W22" s="722"/>
      <c r="X22" s="722"/>
      <c r="Y22" s="722"/>
      <c r="Z22" s="722"/>
      <c r="AA22" s="722"/>
      <c r="AB22" s="722"/>
      <c r="AC22" s="722"/>
      <c r="AD22" s="722" t="s">
        <v>302</v>
      </c>
      <c r="AE22" s="722"/>
      <c r="AF22" s="722"/>
      <c r="AG22" s="722"/>
      <c r="AH22" s="722"/>
      <c r="AI22" s="722"/>
      <c r="AJ22" s="722"/>
      <c r="AK22" s="722"/>
      <c r="AL22" s="722"/>
      <c r="AM22" s="722"/>
      <c r="AN22" s="722"/>
      <c r="AO22" s="722"/>
      <c r="AP22" s="710"/>
      <c r="AQ22" s="710"/>
      <c r="AR22" s="710"/>
      <c r="AS22" s="710"/>
      <c r="AT22" s="689" t="s">
        <v>302</v>
      </c>
      <c r="AU22" s="689"/>
      <c r="AV22" s="689"/>
      <c r="AW22" s="689"/>
      <c r="AX22" s="689"/>
    </row>
    <row r="23" spans="1:50" ht="15.95" customHeight="1" x14ac:dyDescent="0.25">
      <c r="A23" s="714"/>
      <c r="B23" s="714"/>
      <c r="C23" s="714"/>
      <c r="D23" s="715" t="s">
        <v>303</v>
      </c>
      <c r="E23" s="715"/>
      <c r="F23" s="715"/>
      <c r="G23" s="715"/>
      <c r="H23" s="715"/>
      <c r="I23" s="715"/>
      <c r="J23" s="726"/>
      <c r="K23" s="726"/>
      <c r="L23" s="726"/>
      <c r="M23" s="726"/>
      <c r="N23" s="726"/>
      <c r="O23" s="726"/>
      <c r="P23" s="715" t="s">
        <v>304</v>
      </c>
      <c r="Q23" s="715"/>
      <c r="R23" s="715"/>
      <c r="S23" s="715"/>
      <c r="T23" s="715"/>
      <c r="U23" s="715"/>
      <c r="V23" s="722" t="s">
        <v>304</v>
      </c>
      <c r="W23" s="722"/>
      <c r="X23" s="722"/>
      <c r="Y23" s="722"/>
      <c r="Z23" s="722"/>
      <c r="AA23" s="722"/>
      <c r="AB23" s="722"/>
      <c r="AC23" s="722"/>
      <c r="AD23" s="722" t="s">
        <v>304</v>
      </c>
      <c r="AE23" s="722"/>
      <c r="AF23" s="722"/>
      <c r="AG23" s="722"/>
      <c r="AH23" s="722"/>
      <c r="AI23" s="722"/>
      <c r="AJ23" s="722"/>
      <c r="AK23" s="722"/>
      <c r="AL23" s="722"/>
      <c r="AM23" s="722"/>
      <c r="AN23" s="722"/>
      <c r="AO23" s="722"/>
      <c r="AP23" s="710"/>
      <c r="AQ23" s="710"/>
      <c r="AR23" s="710"/>
      <c r="AS23" s="710"/>
      <c r="AT23" s="689" t="s">
        <v>305</v>
      </c>
      <c r="AU23" s="689"/>
      <c r="AV23" s="689"/>
      <c r="AW23" s="689"/>
      <c r="AX23" s="689"/>
    </row>
  </sheetData>
  <mergeCells count="59">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3:AO23"/>
    <mergeCell ref="AH11:AS11"/>
    <mergeCell ref="P21:U21"/>
    <mergeCell ref="I11:I12"/>
    <mergeCell ref="J11:J12"/>
    <mergeCell ref="K11:K12"/>
    <mergeCell ref="V11:AG11"/>
    <mergeCell ref="V22:AC22"/>
    <mergeCell ref="V23:AC23"/>
    <mergeCell ref="J21:O23"/>
    <mergeCell ref="P22:U22"/>
    <mergeCell ref="P23:U23"/>
    <mergeCell ref="V21:AC21"/>
    <mergeCell ref="M11:M12"/>
    <mergeCell ref="D22:I22"/>
    <mergeCell ref="A20:AX20"/>
    <mergeCell ref="AT23:AX23"/>
    <mergeCell ref="A10:C10"/>
    <mergeCell ref="D10:AG10"/>
    <mergeCell ref="AP21:AS23"/>
    <mergeCell ref="AW5:AW12"/>
    <mergeCell ref="A21:C23"/>
    <mergeCell ref="D21:I21"/>
    <mergeCell ref="L11:L12"/>
    <mergeCell ref="U11:U12"/>
    <mergeCell ref="O11:S11"/>
    <mergeCell ref="T11:T12"/>
    <mergeCell ref="N11:N12"/>
    <mergeCell ref="A11:F11"/>
    <mergeCell ref="D23:I23"/>
    <mergeCell ref="AD21:AO21"/>
    <mergeCell ref="AD22:AO22"/>
    <mergeCell ref="AT22:AX22"/>
    <mergeCell ref="AT21:AX21"/>
    <mergeCell ref="A9:C9"/>
    <mergeCell ref="A5:AG5"/>
    <mergeCell ref="A6:C8"/>
    <mergeCell ref="D6:E8"/>
    <mergeCell ref="F6:G8"/>
    <mergeCell ref="H6:I6"/>
    <mergeCell ref="I17:I18"/>
    <mergeCell ref="G17:G18"/>
    <mergeCell ref="H17:H18"/>
  </mergeCells>
  <phoneticPr fontId="50" type="noConversion"/>
  <printOptions horizontalCentered="1"/>
  <pageMargins left="0.19685039370078741" right="0.19685039370078741" top="0.19685039370078741" bottom="0.19685039370078741" header="0" footer="0"/>
  <pageSetup scale="2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42578125" style="50" customWidth="1"/>
    <col min="4" max="6" width="7" style="50" customWidth="1"/>
    <col min="7" max="15" width="7.42578125" style="50" customWidth="1"/>
    <col min="16" max="16" width="13.425781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425781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42578125" style="50" customWidth="1"/>
    <col min="35" max="35" width="18.42578125" style="50" bestFit="1" customWidth="1"/>
    <col min="36" max="36" width="4.4257812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7"/>
      <c r="Z1" s="792" t="s">
        <v>1</v>
      </c>
      <c r="AA1" s="793"/>
      <c r="AB1" s="794"/>
    </row>
    <row r="2" spans="1:28" ht="30.75" customHeight="1" x14ac:dyDescent="0.25">
      <c r="A2" s="333"/>
      <c r="B2" s="341" t="s">
        <v>2</v>
      </c>
      <c r="C2" s="342"/>
      <c r="D2" s="342"/>
      <c r="E2" s="342"/>
      <c r="F2" s="342"/>
      <c r="G2" s="342"/>
      <c r="H2" s="342"/>
      <c r="I2" s="342"/>
      <c r="J2" s="342"/>
      <c r="K2" s="342"/>
      <c r="L2" s="342"/>
      <c r="M2" s="342"/>
      <c r="N2" s="342"/>
      <c r="O2" s="342"/>
      <c r="P2" s="342"/>
      <c r="Q2" s="342"/>
      <c r="R2" s="342"/>
      <c r="S2" s="342"/>
      <c r="T2" s="342"/>
      <c r="U2" s="342"/>
      <c r="V2" s="342"/>
      <c r="W2" s="342"/>
      <c r="X2" s="342"/>
      <c r="Y2" s="343"/>
      <c r="Z2" s="772" t="s">
        <v>306</v>
      </c>
      <c r="AA2" s="773"/>
      <c r="AB2" s="774"/>
    </row>
    <row r="3" spans="1:28" ht="24" customHeight="1" x14ac:dyDescent="0.25">
      <c r="A3" s="333"/>
      <c r="B3" s="347" t="s">
        <v>4</v>
      </c>
      <c r="C3" s="348"/>
      <c r="D3" s="348"/>
      <c r="E3" s="348"/>
      <c r="F3" s="348"/>
      <c r="G3" s="348"/>
      <c r="H3" s="348"/>
      <c r="I3" s="348"/>
      <c r="J3" s="348"/>
      <c r="K3" s="348"/>
      <c r="L3" s="348"/>
      <c r="M3" s="348"/>
      <c r="N3" s="348"/>
      <c r="O3" s="348"/>
      <c r="P3" s="348"/>
      <c r="Q3" s="348"/>
      <c r="R3" s="348"/>
      <c r="S3" s="348"/>
      <c r="T3" s="348"/>
      <c r="U3" s="348"/>
      <c r="V3" s="348"/>
      <c r="W3" s="348"/>
      <c r="X3" s="348"/>
      <c r="Y3" s="349"/>
      <c r="Z3" s="772" t="s">
        <v>307</v>
      </c>
      <c r="AA3" s="773"/>
      <c r="AB3" s="774"/>
    </row>
    <row r="4" spans="1:28" ht="15.75" customHeight="1" thickBot="1" x14ac:dyDescent="0.3">
      <c r="A4" s="334"/>
      <c r="B4" s="350"/>
      <c r="C4" s="351"/>
      <c r="D4" s="351"/>
      <c r="E4" s="351"/>
      <c r="F4" s="351"/>
      <c r="G4" s="351"/>
      <c r="H4" s="351"/>
      <c r="I4" s="351"/>
      <c r="J4" s="351"/>
      <c r="K4" s="351"/>
      <c r="L4" s="351"/>
      <c r="M4" s="351"/>
      <c r="N4" s="351"/>
      <c r="O4" s="351"/>
      <c r="P4" s="351"/>
      <c r="Q4" s="351"/>
      <c r="R4" s="351"/>
      <c r="S4" s="351"/>
      <c r="T4" s="351"/>
      <c r="U4" s="351"/>
      <c r="V4" s="351"/>
      <c r="W4" s="351"/>
      <c r="X4" s="351"/>
      <c r="Y4" s="352"/>
      <c r="Z4" s="775" t="s">
        <v>308</v>
      </c>
      <c r="AA4" s="776"/>
      <c r="AB4" s="77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58" t="s">
        <v>15</v>
      </c>
      <c r="B7" s="359"/>
      <c r="C7" s="356"/>
      <c r="D7" s="357"/>
      <c r="E7" s="357"/>
      <c r="F7" s="357"/>
      <c r="G7" s="357"/>
      <c r="H7" s="357"/>
      <c r="I7" s="357"/>
      <c r="J7" s="357"/>
      <c r="K7" s="791"/>
      <c r="L7" s="62"/>
      <c r="M7" s="63"/>
      <c r="N7" s="63"/>
      <c r="O7" s="63"/>
      <c r="P7" s="63"/>
      <c r="Q7" s="64"/>
      <c r="R7" s="778" t="s">
        <v>9</v>
      </c>
      <c r="S7" s="779"/>
      <c r="T7" s="780"/>
      <c r="U7" s="840" t="s">
        <v>309</v>
      </c>
      <c r="V7" s="841"/>
      <c r="W7" s="778" t="s">
        <v>10</v>
      </c>
      <c r="X7" s="780"/>
      <c r="Y7" s="836" t="s">
        <v>11</v>
      </c>
      <c r="Z7" s="837"/>
      <c r="AA7" s="787"/>
      <c r="AB7" s="788"/>
    </row>
    <row r="8" spans="1:28" ht="15" customHeight="1" x14ac:dyDescent="0.25">
      <c r="A8" s="360"/>
      <c r="B8" s="361"/>
      <c r="C8" s="347"/>
      <c r="D8" s="348"/>
      <c r="E8" s="348"/>
      <c r="F8" s="348"/>
      <c r="G8" s="348"/>
      <c r="H8" s="348"/>
      <c r="I8" s="348"/>
      <c r="J8" s="348"/>
      <c r="K8" s="349"/>
      <c r="L8" s="62"/>
      <c r="M8" s="63"/>
      <c r="N8" s="63"/>
      <c r="O8" s="63"/>
      <c r="P8" s="63"/>
      <c r="Q8" s="64"/>
      <c r="R8" s="781"/>
      <c r="S8" s="782"/>
      <c r="T8" s="783"/>
      <c r="U8" s="842"/>
      <c r="V8" s="843"/>
      <c r="W8" s="781"/>
      <c r="X8" s="783"/>
      <c r="Y8" s="832" t="s">
        <v>12</v>
      </c>
      <c r="Z8" s="833"/>
      <c r="AA8" s="795"/>
      <c r="AB8" s="796"/>
    </row>
    <row r="9" spans="1:28" ht="15" customHeight="1" thickBot="1" x14ac:dyDescent="0.3">
      <c r="A9" s="362"/>
      <c r="B9" s="363"/>
      <c r="C9" s="350"/>
      <c r="D9" s="351"/>
      <c r="E9" s="351"/>
      <c r="F9" s="351"/>
      <c r="G9" s="351"/>
      <c r="H9" s="351"/>
      <c r="I9" s="351"/>
      <c r="J9" s="351"/>
      <c r="K9" s="352"/>
      <c r="L9" s="62"/>
      <c r="M9" s="63"/>
      <c r="N9" s="63"/>
      <c r="O9" s="63"/>
      <c r="P9" s="63"/>
      <c r="Q9" s="64"/>
      <c r="R9" s="784"/>
      <c r="S9" s="785"/>
      <c r="T9" s="786"/>
      <c r="U9" s="844"/>
      <c r="V9" s="845"/>
      <c r="W9" s="784"/>
      <c r="X9" s="786"/>
      <c r="Y9" s="789" t="s">
        <v>13</v>
      </c>
      <c r="Z9" s="790"/>
      <c r="AA9" s="797"/>
      <c r="AB9" s="798"/>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07" t="s">
        <v>17</v>
      </c>
      <c r="B11" s="408"/>
      <c r="C11" s="414"/>
      <c r="D11" s="415"/>
      <c r="E11" s="415"/>
      <c r="F11" s="415"/>
      <c r="G11" s="415"/>
      <c r="H11" s="415"/>
      <c r="I11" s="415"/>
      <c r="J11" s="415"/>
      <c r="K11" s="416"/>
      <c r="L11" s="72"/>
      <c r="M11" s="420" t="s">
        <v>19</v>
      </c>
      <c r="N11" s="424"/>
      <c r="O11" s="424"/>
      <c r="P11" s="424"/>
      <c r="Q11" s="421"/>
      <c r="R11" s="417"/>
      <c r="S11" s="418"/>
      <c r="T11" s="418"/>
      <c r="U11" s="418"/>
      <c r="V11" s="419"/>
      <c r="W11" s="420" t="s">
        <v>21</v>
      </c>
      <c r="X11" s="421"/>
      <c r="Y11" s="403"/>
      <c r="Z11" s="404"/>
      <c r="AA11" s="404"/>
      <c r="AB11" s="405"/>
    </row>
    <row r="12" spans="1:28" ht="9" customHeight="1" thickBot="1" x14ac:dyDescent="0.3">
      <c r="A12" s="59"/>
      <c r="B12" s="54"/>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73"/>
      <c r="AB12" s="74"/>
    </row>
    <row r="13" spans="1:28" s="76" customFormat="1" ht="37.5" customHeight="1" thickBot="1" x14ac:dyDescent="0.3">
      <c r="A13" s="407" t="s">
        <v>23</v>
      </c>
      <c r="B13" s="408"/>
      <c r="C13" s="409"/>
      <c r="D13" s="410"/>
      <c r="E13" s="410"/>
      <c r="F13" s="410"/>
      <c r="G13" s="410"/>
      <c r="H13" s="410"/>
      <c r="I13" s="410"/>
      <c r="J13" s="410"/>
      <c r="K13" s="410"/>
      <c r="L13" s="410"/>
      <c r="M13" s="410"/>
      <c r="N13" s="410"/>
      <c r="O13" s="410"/>
      <c r="P13" s="410"/>
      <c r="Q13" s="411"/>
      <c r="R13" s="54"/>
      <c r="S13" s="801" t="s">
        <v>310</v>
      </c>
      <c r="T13" s="801"/>
      <c r="U13" s="75"/>
      <c r="V13" s="800" t="s">
        <v>26</v>
      </c>
      <c r="W13" s="801"/>
      <c r="X13" s="801"/>
      <c r="Y13" s="801"/>
      <c r="Z13" s="54"/>
      <c r="AA13" s="412"/>
      <c r="AB13" s="413"/>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58" t="s">
        <v>7</v>
      </c>
      <c r="B15" s="359"/>
      <c r="C15" s="813" t="s">
        <v>311</v>
      </c>
      <c r="D15" s="80"/>
      <c r="E15" s="80"/>
      <c r="F15" s="80"/>
      <c r="G15" s="80"/>
      <c r="H15" s="80"/>
      <c r="I15" s="80"/>
      <c r="J15" s="70"/>
      <c r="K15" s="81"/>
      <c r="L15" s="70"/>
      <c r="M15" s="60"/>
      <c r="N15" s="60"/>
      <c r="O15" s="60"/>
      <c r="P15" s="60"/>
      <c r="Q15" s="802" t="s">
        <v>27</v>
      </c>
      <c r="R15" s="803"/>
      <c r="S15" s="803"/>
      <c r="T15" s="803"/>
      <c r="U15" s="803"/>
      <c r="V15" s="803"/>
      <c r="W15" s="803"/>
      <c r="X15" s="803"/>
      <c r="Y15" s="803"/>
      <c r="Z15" s="803"/>
      <c r="AA15" s="803"/>
      <c r="AB15" s="804"/>
    </row>
    <row r="16" spans="1:28" ht="35.25" customHeight="1" thickBot="1" x14ac:dyDescent="0.3">
      <c r="A16" s="362"/>
      <c r="B16" s="363"/>
      <c r="C16" s="814"/>
      <c r="D16" s="80"/>
      <c r="E16" s="80"/>
      <c r="F16" s="80"/>
      <c r="G16" s="80"/>
      <c r="H16" s="80"/>
      <c r="I16" s="80"/>
      <c r="J16" s="70"/>
      <c r="K16" s="70"/>
      <c r="L16" s="70"/>
      <c r="M16" s="60"/>
      <c r="N16" s="60"/>
      <c r="O16" s="60"/>
      <c r="P16" s="60"/>
      <c r="Q16" s="829" t="s">
        <v>312</v>
      </c>
      <c r="R16" s="830"/>
      <c r="S16" s="830"/>
      <c r="T16" s="830"/>
      <c r="U16" s="830"/>
      <c r="V16" s="831"/>
      <c r="W16" s="838" t="s">
        <v>313</v>
      </c>
      <c r="X16" s="830"/>
      <c r="Y16" s="830"/>
      <c r="Z16" s="830"/>
      <c r="AA16" s="830"/>
      <c r="AB16" s="839"/>
    </row>
    <row r="17" spans="1:39" ht="27" customHeight="1" x14ac:dyDescent="0.25">
      <c r="A17" s="82"/>
      <c r="B17" s="60"/>
      <c r="C17" s="60"/>
      <c r="D17" s="80"/>
      <c r="E17" s="80"/>
      <c r="F17" s="80"/>
      <c r="G17" s="80"/>
      <c r="H17" s="80"/>
      <c r="I17" s="80"/>
      <c r="J17" s="80"/>
      <c r="K17" s="80"/>
      <c r="L17" s="80"/>
      <c r="M17" s="60"/>
      <c r="N17" s="60"/>
      <c r="O17" s="60"/>
      <c r="P17" s="60"/>
      <c r="Q17" s="849" t="s">
        <v>314</v>
      </c>
      <c r="R17" s="673"/>
      <c r="S17" s="767"/>
      <c r="T17" s="768" t="s">
        <v>315</v>
      </c>
      <c r="U17" s="827"/>
      <c r="V17" s="828"/>
      <c r="W17" s="672" t="s">
        <v>314</v>
      </c>
      <c r="X17" s="767"/>
      <c r="Y17" s="672" t="s">
        <v>316</v>
      </c>
      <c r="Z17" s="767"/>
      <c r="AA17" s="768" t="s">
        <v>317</v>
      </c>
      <c r="AB17" s="769"/>
      <c r="AC17" s="83"/>
      <c r="AD17" s="83"/>
    </row>
    <row r="18" spans="1:39" ht="27" customHeight="1" x14ac:dyDescent="0.25">
      <c r="A18" s="82"/>
      <c r="B18" s="60"/>
      <c r="C18" s="60"/>
      <c r="D18" s="80"/>
      <c r="E18" s="80"/>
      <c r="F18" s="80"/>
      <c r="G18" s="80"/>
      <c r="H18" s="80"/>
      <c r="I18" s="80"/>
      <c r="J18" s="80"/>
      <c r="K18" s="80"/>
      <c r="L18" s="80"/>
      <c r="M18" s="60"/>
      <c r="N18" s="60"/>
      <c r="O18" s="60"/>
      <c r="P18" s="60"/>
      <c r="Q18" s="154"/>
      <c r="R18" s="155"/>
      <c r="S18" s="156"/>
      <c r="T18" s="768"/>
      <c r="U18" s="827"/>
      <c r="V18" s="828"/>
      <c r="W18" s="138"/>
      <c r="X18" s="139"/>
      <c r="Y18" s="138"/>
      <c r="Z18" s="139"/>
      <c r="AA18" s="140"/>
      <c r="AB18" s="141"/>
      <c r="AC18" s="83"/>
      <c r="AD18" s="83"/>
    </row>
    <row r="19" spans="1:39" ht="18" customHeight="1" thickBot="1" x14ac:dyDescent="0.3">
      <c r="A19" s="59"/>
      <c r="B19" s="54"/>
      <c r="C19" s="80"/>
      <c r="D19" s="80"/>
      <c r="E19" s="80"/>
      <c r="F19" s="80"/>
      <c r="G19" s="84"/>
      <c r="H19" s="84"/>
      <c r="I19" s="84"/>
      <c r="J19" s="84"/>
      <c r="K19" s="84"/>
      <c r="L19" s="84"/>
      <c r="M19" s="80"/>
      <c r="N19" s="80"/>
      <c r="O19" s="80"/>
      <c r="P19" s="80"/>
      <c r="Q19" s="846"/>
      <c r="R19" s="847"/>
      <c r="S19" s="848"/>
      <c r="T19" s="852"/>
      <c r="U19" s="847"/>
      <c r="V19" s="848"/>
      <c r="W19" s="805"/>
      <c r="X19" s="806"/>
      <c r="Y19" s="770"/>
      <c r="Z19" s="771"/>
      <c r="AA19" s="850"/>
      <c r="AB19" s="851"/>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9" t="s">
        <v>49</v>
      </c>
      <c r="B21" s="400"/>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2"/>
    </row>
    <row r="22" spans="1:39" ht="15" customHeight="1" x14ac:dyDescent="0.25">
      <c r="A22" s="388" t="s">
        <v>50</v>
      </c>
      <c r="B22" s="390" t="s">
        <v>51</v>
      </c>
      <c r="C22" s="391"/>
      <c r="D22" s="394" t="s">
        <v>52</v>
      </c>
      <c r="E22" s="395"/>
      <c r="F22" s="395"/>
      <c r="G22" s="395"/>
      <c r="H22" s="395"/>
      <c r="I22" s="395"/>
      <c r="J22" s="395"/>
      <c r="K22" s="395"/>
      <c r="L22" s="395"/>
      <c r="M22" s="395"/>
      <c r="N22" s="395"/>
      <c r="O22" s="396"/>
      <c r="P22" s="397" t="s">
        <v>41</v>
      </c>
      <c r="Q22" s="397" t="s">
        <v>53</v>
      </c>
      <c r="R22" s="397"/>
      <c r="S22" s="397"/>
      <c r="T22" s="397"/>
      <c r="U22" s="397"/>
      <c r="V22" s="397"/>
      <c r="W22" s="397"/>
      <c r="X22" s="397"/>
      <c r="Y22" s="397"/>
      <c r="Z22" s="397"/>
      <c r="AA22" s="397"/>
      <c r="AB22" s="398"/>
    </row>
    <row r="23" spans="1:39" ht="27" customHeight="1" x14ac:dyDescent="0.25">
      <c r="A23" s="389"/>
      <c r="B23" s="392"/>
      <c r="C23" s="393"/>
      <c r="D23" s="88" t="s">
        <v>30</v>
      </c>
      <c r="E23" s="88" t="s">
        <v>31</v>
      </c>
      <c r="F23" s="88" t="s">
        <v>32</v>
      </c>
      <c r="G23" s="88" t="s">
        <v>33</v>
      </c>
      <c r="H23" s="88" t="s">
        <v>34</v>
      </c>
      <c r="I23" s="88" t="s">
        <v>35</v>
      </c>
      <c r="J23" s="88" t="s">
        <v>8</v>
      </c>
      <c r="K23" s="88" t="s">
        <v>36</v>
      </c>
      <c r="L23" s="88" t="s">
        <v>37</v>
      </c>
      <c r="M23" s="88" t="s">
        <v>38</v>
      </c>
      <c r="N23" s="88" t="s">
        <v>39</v>
      </c>
      <c r="O23" s="88" t="s">
        <v>40</v>
      </c>
      <c r="P23" s="396"/>
      <c r="Q23" s="397"/>
      <c r="R23" s="397"/>
      <c r="S23" s="397"/>
      <c r="T23" s="397"/>
      <c r="U23" s="397"/>
      <c r="V23" s="397"/>
      <c r="W23" s="397"/>
      <c r="X23" s="397"/>
      <c r="Y23" s="397"/>
      <c r="Z23" s="397"/>
      <c r="AA23" s="397"/>
      <c r="AB23" s="398"/>
    </row>
    <row r="24" spans="1:39" ht="42" customHeight="1" thickBot="1" x14ac:dyDescent="0.3">
      <c r="A24" s="85"/>
      <c r="B24" s="512"/>
      <c r="C24" s="513"/>
      <c r="D24" s="89"/>
      <c r="E24" s="89"/>
      <c r="F24" s="89"/>
      <c r="G24" s="89"/>
      <c r="H24" s="89"/>
      <c r="I24" s="89"/>
      <c r="J24" s="89"/>
      <c r="K24" s="89"/>
      <c r="L24" s="89"/>
      <c r="M24" s="89"/>
      <c r="N24" s="89"/>
      <c r="O24" s="89"/>
      <c r="P24" s="86">
        <f>SUM(D24:O24)</f>
        <v>0</v>
      </c>
      <c r="Q24" s="759" t="s">
        <v>318</v>
      </c>
      <c r="R24" s="759"/>
      <c r="S24" s="759"/>
      <c r="T24" s="759"/>
      <c r="U24" s="759"/>
      <c r="V24" s="759"/>
      <c r="W24" s="759"/>
      <c r="X24" s="759"/>
      <c r="Y24" s="759"/>
      <c r="Z24" s="759"/>
      <c r="AA24" s="759"/>
      <c r="AB24" s="760"/>
    </row>
    <row r="25" spans="1:39" ht="21.95" customHeight="1" x14ac:dyDescent="0.25">
      <c r="A25" s="429" t="s">
        <v>55</v>
      </c>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1"/>
    </row>
    <row r="26" spans="1:39" ht="23.25" customHeight="1" x14ac:dyDescent="0.25">
      <c r="A26" s="432" t="s">
        <v>56</v>
      </c>
      <c r="B26" s="397" t="s">
        <v>57</v>
      </c>
      <c r="C26" s="397" t="s">
        <v>51</v>
      </c>
      <c r="D26" s="397" t="s">
        <v>58</v>
      </c>
      <c r="E26" s="397"/>
      <c r="F26" s="397"/>
      <c r="G26" s="397"/>
      <c r="H26" s="397"/>
      <c r="I26" s="397"/>
      <c r="J26" s="397"/>
      <c r="K26" s="397"/>
      <c r="L26" s="397"/>
      <c r="M26" s="397"/>
      <c r="N26" s="397"/>
      <c r="O26" s="397"/>
      <c r="P26" s="397"/>
      <c r="Q26" s="397" t="s">
        <v>59</v>
      </c>
      <c r="R26" s="397"/>
      <c r="S26" s="397"/>
      <c r="T26" s="397"/>
      <c r="U26" s="397"/>
      <c r="V26" s="397"/>
      <c r="W26" s="397"/>
      <c r="X26" s="397"/>
      <c r="Y26" s="397"/>
      <c r="Z26" s="397"/>
      <c r="AA26" s="397"/>
      <c r="AB26" s="398"/>
      <c r="AE26" s="87"/>
      <c r="AF26" s="87"/>
      <c r="AG26" s="87"/>
      <c r="AH26" s="87"/>
      <c r="AI26" s="87"/>
      <c r="AJ26" s="87"/>
      <c r="AK26" s="87"/>
      <c r="AL26" s="87"/>
      <c r="AM26" s="87"/>
    </row>
    <row r="27" spans="1:39" ht="23.25" customHeight="1" x14ac:dyDescent="0.25">
      <c r="A27" s="432"/>
      <c r="B27" s="397"/>
      <c r="C27" s="433"/>
      <c r="D27" s="88" t="s">
        <v>30</v>
      </c>
      <c r="E27" s="88" t="s">
        <v>31</v>
      </c>
      <c r="F27" s="88" t="s">
        <v>32</v>
      </c>
      <c r="G27" s="88" t="s">
        <v>33</v>
      </c>
      <c r="H27" s="88" t="s">
        <v>34</v>
      </c>
      <c r="I27" s="88" t="s">
        <v>35</v>
      </c>
      <c r="J27" s="88" t="s">
        <v>8</v>
      </c>
      <c r="K27" s="88" t="s">
        <v>36</v>
      </c>
      <c r="L27" s="88" t="s">
        <v>37</v>
      </c>
      <c r="M27" s="88" t="s">
        <v>38</v>
      </c>
      <c r="N27" s="88" t="s">
        <v>39</v>
      </c>
      <c r="O27" s="88" t="s">
        <v>40</v>
      </c>
      <c r="P27" s="88" t="s">
        <v>41</v>
      </c>
      <c r="Q27" s="392" t="s">
        <v>60</v>
      </c>
      <c r="R27" s="434"/>
      <c r="S27" s="434"/>
      <c r="T27" s="393"/>
      <c r="U27" s="392" t="s">
        <v>61</v>
      </c>
      <c r="V27" s="434"/>
      <c r="W27" s="434"/>
      <c r="X27" s="393"/>
      <c r="Y27" s="392" t="s">
        <v>62</v>
      </c>
      <c r="Z27" s="434"/>
      <c r="AA27" s="434"/>
      <c r="AB27" s="435"/>
      <c r="AE27" s="87"/>
      <c r="AF27" s="87"/>
      <c r="AG27" s="87"/>
      <c r="AH27" s="87"/>
      <c r="AI27" s="87"/>
      <c r="AJ27" s="87"/>
      <c r="AK27" s="87"/>
      <c r="AL27" s="87"/>
      <c r="AM27" s="87"/>
    </row>
    <row r="28" spans="1:39" ht="33" customHeight="1" x14ac:dyDescent="0.25">
      <c r="A28" s="757"/>
      <c r="B28" s="834"/>
      <c r="C28" s="90" t="s">
        <v>63</v>
      </c>
      <c r="D28" s="89"/>
      <c r="E28" s="89"/>
      <c r="F28" s="89"/>
      <c r="G28" s="89"/>
      <c r="H28" s="89"/>
      <c r="I28" s="89"/>
      <c r="J28" s="89"/>
      <c r="K28" s="89"/>
      <c r="L28" s="89"/>
      <c r="M28" s="89"/>
      <c r="N28" s="89"/>
      <c r="O28" s="89"/>
      <c r="P28" s="152">
        <f>SUM(D28:O28)</f>
        <v>0</v>
      </c>
      <c r="Q28" s="761" t="s">
        <v>319</v>
      </c>
      <c r="R28" s="762"/>
      <c r="S28" s="762"/>
      <c r="T28" s="763"/>
      <c r="U28" s="761" t="s">
        <v>320</v>
      </c>
      <c r="V28" s="762"/>
      <c r="W28" s="762"/>
      <c r="X28" s="763"/>
      <c r="Y28" s="761" t="s">
        <v>321</v>
      </c>
      <c r="Z28" s="762"/>
      <c r="AA28" s="762"/>
      <c r="AB28" s="825"/>
      <c r="AE28" s="87"/>
      <c r="AF28" s="87"/>
      <c r="AG28" s="87"/>
      <c r="AH28" s="87"/>
      <c r="AI28" s="87"/>
      <c r="AJ28" s="87"/>
      <c r="AK28" s="87"/>
      <c r="AL28" s="87"/>
      <c r="AM28" s="87"/>
    </row>
    <row r="29" spans="1:39" ht="33.950000000000003" customHeight="1" thickBot="1" x14ac:dyDescent="0.3">
      <c r="A29" s="758"/>
      <c r="B29" s="835"/>
      <c r="C29" s="91" t="s">
        <v>67</v>
      </c>
      <c r="D29" s="92"/>
      <c r="E29" s="92"/>
      <c r="F29" s="92"/>
      <c r="G29" s="93"/>
      <c r="H29" s="93"/>
      <c r="I29" s="93"/>
      <c r="J29" s="93"/>
      <c r="K29" s="93"/>
      <c r="L29" s="93"/>
      <c r="M29" s="93"/>
      <c r="N29" s="93"/>
      <c r="O29" s="93"/>
      <c r="P29" s="153">
        <f>SUM(D29:O29)</f>
        <v>0</v>
      </c>
      <c r="Q29" s="764"/>
      <c r="R29" s="765"/>
      <c r="S29" s="765"/>
      <c r="T29" s="766"/>
      <c r="U29" s="764"/>
      <c r="V29" s="765"/>
      <c r="W29" s="765"/>
      <c r="X29" s="766"/>
      <c r="Y29" s="764"/>
      <c r="Z29" s="765"/>
      <c r="AA29" s="765"/>
      <c r="AB29" s="826"/>
      <c r="AC29" s="49"/>
      <c r="AE29" s="87"/>
      <c r="AF29" s="87"/>
      <c r="AG29" s="87"/>
      <c r="AH29" s="87"/>
      <c r="AI29" s="87"/>
      <c r="AJ29" s="87"/>
      <c r="AK29" s="87"/>
      <c r="AL29" s="87"/>
      <c r="AM29" s="87"/>
    </row>
    <row r="30" spans="1:39" ht="26.25" customHeight="1" x14ac:dyDescent="0.25">
      <c r="A30" s="436" t="s">
        <v>68</v>
      </c>
      <c r="B30" s="437" t="s">
        <v>69</v>
      </c>
      <c r="C30" s="439" t="s">
        <v>70</v>
      </c>
      <c r="D30" s="439"/>
      <c r="E30" s="439"/>
      <c r="F30" s="439"/>
      <c r="G30" s="439"/>
      <c r="H30" s="439"/>
      <c r="I30" s="439"/>
      <c r="J30" s="439"/>
      <c r="K30" s="439"/>
      <c r="L30" s="439"/>
      <c r="M30" s="439"/>
      <c r="N30" s="439"/>
      <c r="O30" s="439"/>
      <c r="P30" s="439"/>
      <c r="Q30" s="440" t="s">
        <v>71</v>
      </c>
      <c r="R30" s="441"/>
      <c r="S30" s="441"/>
      <c r="T30" s="441"/>
      <c r="U30" s="441"/>
      <c r="V30" s="441"/>
      <c r="W30" s="441"/>
      <c r="X30" s="441"/>
      <c r="Y30" s="441"/>
      <c r="Z30" s="441"/>
      <c r="AA30" s="441"/>
      <c r="AB30" s="442"/>
      <c r="AE30" s="87"/>
      <c r="AF30" s="87"/>
      <c r="AG30" s="87"/>
      <c r="AH30" s="87"/>
      <c r="AI30" s="87"/>
      <c r="AJ30" s="87"/>
      <c r="AK30" s="87"/>
      <c r="AL30" s="87"/>
      <c r="AM30" s="87"/>
    </row>
    <row r="31" spans="1:39" ht="26.25" customHeight="1" x14ac:dyDescent="0.25">
      <c r="A31" s="432"/>
      <c r="B31" s="438"/>
      <c r="C31" s="88" t="s">
        <v>72</v>
      </c>
      <c r="D31" s="88" t="s">
        <v>73</v>
      </c>
      <c r="E31" s="88" t="s">
        <v>74</v>
      </c>
      <c r="F31" s="88" t="s">
        <v>75</v>
      </c>
      <c r="G31" s="88" t="s">
        <v>76</v>
      </c>
      <c r="H31" s="88" t="s">
        <v>77</v>
      </c>
      <c r="I31" s="88" t="s">
        <v>78</v>
      </c>
      <c r="J31" s="88" t="s">
        <v>79</v>
      </c>
      <c r="K31" s="88" t="s">
        <v>80</v>
      </c>
      <c r="L31" s="88" t="s">
        <v>81</v>
      </c>
      <c r="M31" s="88" t="s">
        <v>82</v>
      </c>
      <c r="N31" s="88" t="s">
        <v>83</v>
      </c>
      <c r="O31" s="88" t="s">
        <v>84</v>
      </c>
      <c r="P31" s="88" t="s">
        <v>85</v>
      </c>
      <c r="Q31" s="394" t="s">
        <v>86</v>
      </c>
      <c r="R31" s="395"/>
      <c r="S31" s="395"/>
      <c r="T31" s="395"/>
      <c r="U31" s="395"/>
      <c r="V31" s="395"/>
      <c r="W31" s="395"/>
      <c r="X31" s="395"/>
      <c r="Y31" s="395"/>
      <c r="Z31" s="395"/>
      <c r="AA31" s="395"/>
      <c r="AB31" s="443"/>
      <c r="AE31" s="94"/>
      <c r="AF31" s="94"/>
      <c r="AG31" s="94"/>
      <c r="AH31" s="94"/>
      <c r="AI31" s="94"/>
      <c r="AJ31" s="94"/>
      <c r="AK31" s="94"/>
      <c r="AL31" s="94"/>
      <c r="AM31" s="94"/>
    </row>
    <row r="32" spans="1:39" ht="28.5" customHeight="1" x14ac:dyDescent="0.25">
      <c r="A32" s="756"/>
      <c r="B32" s="753"/>
      <c r="C32" s="90" t="s">
        <v>63</v>
      </c>
      <c r="D32" s="95"/>
      <c r="E32" s="95"/>
      <c r="F32" s="95"/>
      <c r="G32" s="95"/>
      <c r="H32" s="95"/>
      <c r="I32" s="95"/>
      <c r="J32" s="95"/>
      <c r="K32" s="95"/>
      <c r="L32" s="95"/>
      <c r="M32" s="95"/>
      <c r="N32" s="95"/>
      <c r="O32" s="95"/>
      <c r="P32" s="96">
        <f t="shared" ref="P32:P39" si="0">SUM(D32:O32)</f>
        <v>0</v>
      </c>
      <c r="Q32" s="807" t="s">
        <v>322</v>
      </c>
      <c r="R32" s="808"/>
      <c r="S32" s="808"/>
      <c r="T32" s="808"/>
      <c r="U32" s="808"/>
      <c r="V32" s="808"/>
      <c r="W32" s="808"/>
      <c r="X32" s="808"/>
      <c r="Y32" s="808"/>
      <c r="Z32" s="808"/>
      <c r="AA32" s="808"/>
      <c r="AB32" s="809"/>
      <c r="AC32" s="97"/>
      <c r="AE32" s="98"/>
      <c r="AF32" s="98"/>
      <c r="AG32" s="98"/>
      <c r="AH32" s="98"/>
      <c r="AI32" s="98"/>
      <c r="AJ32" s="98"/>
      <c r="AK32" s="98"/>
      <c r="AL32" s="98"/>
      <c r="AM32" s="98"/>
    </row>
    <row r="33" spans="1:29" ht="28.5" customHeight="1" x14ac:dyDescent="0.25">
      <c r="A33" s="557"/>
      <c r="B33" s="754"/>
      <c r="C33" s="99" t="s">
        <v>67</v>
      </c>
      <c r="D33" s="100"/>
      <c r="E33" s="100"/>
      <c r="F33" s="100"/>
      <c r="G33" s="100"/>
      <c r="H33" s="100"/>
      <c r="I33" s="100"/>
      <c r="J33" s="100"/>
      <c r="K33" s="100"/>
      <c r="L33" s="100"/>
      <c r="M33" s="100"/>
      <c r="N33" s="100"/>
      <c r="O33" s="100"/>
      <c r="P33" s="101">
        <f t="shared" si="0"/>
        <v>0</v>
      </c>
      <c r="Q33" s="810"/>
      <c r="R33" s="811"/>
      <c r="S33" s="811"/>
      <c r="T33" s="811"/>
      <c r="U33" s="811"/>
      <c r="V33" s="811"/>
      <c r="W33" s="811"/>
      <c r="X33" s="811"/>
      <c r="Y33" s="811"/>
      <c r="Z33" s="811"/>
      <c r="AA33" s="811"/>
      <c r="AB33" s="812"/>
      <c r="AC33" s="97"/>
    </row>
    <row r="34" spans="1:29" ht="28.5" customHeight="1" x14ac:dyDescent="0.25">
      <c r="A34" s="557"/>
      <c r="B34" s="755"/>
      <c r="C34" s="102" t="s">
        <v>63</v>
      </c>
      <c r="D34" s="103"/>
      <c r="E34" s="103"/>
      <c r="F34" s="103"/>
      <c r="G34" s="103"/>
      <c r="H34" s="103"/>
      <c r="I34" s="103"/>
      <c r="J34" s="103"/>
      <c r="K34" s="103"/>
      <c r="L34" s="103"/>
      <c r="M34" s="103"/>
      <c r="N34" s="103"/>
      <c r="O34" s="103"/>
      <c r="P34" s="101">
        <f t="shared" si="0"/>
        <v>0</v>
      </c>
      <c r="Q34" s="816"/>
      <c r="R34" s="817"/>
      <c r="S34" s="817"/>
      <c r="T34" s="817"/>
      <c r="U34" s="817"/>
      <c r="V34" s="817"/>
      <c r="W34" s="817"/>
      <c r="X34" s="817"/>
      <c r="Y34" s="817"/>
      <c r="Z34" s="817"/>
      <c r="AA34" s="817"/>
      <c r="AB34" s="818"/>
      <c r="AC34" s="97"/>
    </row>
    <row r="35" spans="1:29" ht="28.5" customHeight="1" x14ac:dyDescent="0.25">
      <c r="A35" s="557"/>
      <c r="B35" s="754"/>
      <c r="C35" s="99" t="s">
        <v>67</v>
      </c>
      <c r="D35" s="100"/>
      <c r="E35" s="100"/>
      <c r="F35" s="100"/>
      <c r="G35" s="100"/>
      <c r="H35" s="100"/>
      <c r="I35" s="100"/>
      <c r="J35" s="100"/>
      <c r="K35" s="100"/>
      <c r="L35" s="104"/>
      <c r="M35" s="104"/>
      <c r="N35" s="104"/>
      <c r="O35" s="104"/>
      <c r="P35" s="101">
        <f t="shared" si="0"/>
        <v>0</v>
      </c>
      <c r="Q35" s="822"/>
      <c r="R35" s="823"/>
      <c r="S35" s="823"/>
      <c r="T35" s="823"/>
      <c r="U35" s="823"/>
      <c r="V35" s="823"/>
      <c r="W35" s="823"/>
      <c r="X35" s="823"/>
      <c r="Y35" s="823"/>
      <c r="Z35" s="823"/>
      <c r="AA35" s="823"/>
      <c r="AB35" s="824"/>
      <c r="AC35" s="97"/>
    </row>
    <row r="36" spans="1:29" ht="28.5" customHeight="1" x14ac:dyDescent="0.25">
      <c r="A36" s="751"/>
      <c r="B36" s="755"/>
      <c r="C36" s="102" t="s">
        <v>63</v>
      </c>
      <c r="D36" s="103"/>
      <c r="E36" s="103"/>
      <c r="F36" s="103"/>
      <c r="G36" s="103"/>
      <c r="H36" s="103"/>
      <c r="I36" s="103"/>
      <c r="J36" s="103"/>
      <c r="K36" s="103"/>
      <c r="L36" s="103"/>
      <c r="M36" s="103"/>
      <c r="N36" s="103"/>
      <c r="O36" s="103"/>
      <c r="P36" s="101">
        <f t="shared" si="0"/>
        <v>0</v>
      </c>
      <c r="Q36" s="816"/>
      <c r="R36" s="817"/>
      <c r="S36" s="817"/>
      <c r="T36" s="817"/>
      <c r="U36" s="817"/>
      <c r="V36" s="817"/>
      <c r="W36" s="817"/>
      <c r="X36" s="817"/>
      <c r="Y36" s="817"/>
      <c r="Z36" s="817"/>
      <c r="AA36" s="817"/>
      <c r="AB36" s="818"/>
      <c r="AC36" s="97"/>
    </row>
    <row r="37" spans="1:29" ht="28.5" customHeight="1" x14ac:dyDescent="0.25">
      <c r="A37" s="752"/>
      <c r="B37" s="754"/>
      <c r="C37" s="99" t="s">
        <v>67</v>
      </c>
      <c r="D37" s="100"/>
      <c r="E37" s="100"/>
      <c r="F37" s="100"/>
      <c r="G37" s="100"/>
      <c r="H37" s="100"/>
      <c r="I37" s="100"/>
      <c r="J37" s="100"/>
      <c r="K37" s="100"/>
      <c r="L37" s="104"/>
      <c r="M37" s="104"/>
      <c r="N37" s="104"/>
      <c r="O37" s="104"/>
      <c r="P37" s="101">
        <f t="shared" si="0"/>
        <v>0</v>
      </c>
      <c r="Q37" s="822"/>
      <c r="R37" s="823"/>
      <c r="S37" s="823"/>
      <c r="T37" s="823"/>
      <c r="U37" s="823"/>
      <c r="V37" s="823"/>
      <c r="W37" s="823"/>
      <c r="X37" s="823"/>
      <c r="Y37" s="823"/>
      <c r="Z37" s="823"/>
      <c r="AA37" s="823"/>
      <c r="AB37" s="824"/>
      <c r="AC37" s="97"/>
    </row>
    <row r="38" spans="1:29" ht="28.5" customHeight="1" x14ac:dyDescent="0.25">
      <c r="A38" s="559"/>
      <c r="B38" s="755"/>
      <c r="C38" s="102" t="s">
        <v>63</v>
      </c>
      <c r="D38" s="103"/>
      <c r="E38" s="103"/>
      <c r="F38" s="103"/>
      <c r="G38" s="103"/>
      <c r="H38" s="103"/>
      <c r="I38" s="103"/>
      <c r="J38" s="103"/>
      <c r="K38" s="103"/>
      <c r="L38" s="103"/>
      <c r="M38" s="103"/>
      <c r="N38" s="103"/>
      <c r="O38" s="103"/>
      <c r="P38" s="101">
        <f t="shared" si="0"/>
        <v>0</v>
      </c>
      <c r="Q38" s="816"/>
      <c r="R38" s="817"/>
      <c r="S38" s="817"/>
      <c r="T38" s="817"/>
      <c r="U38" s="817"/>
      <c r="V38" s="817"/>
      <c r="W38" s="817"/>
      <c r="X38" s="817"/>
      <c r="Y38" s="817"/>
      <c r="Z38" s="817"/>
      <c r="AA38" s="817"/>
      <c r="AB38" s="818"/>
      <c r="AC38" s="97"/>
    </row>
    <row r="39" spans="1:29" ht="28.5" customHeight="1" thickBot="1" x14ac:dyDescent="0.3">
      <c r="A39" s="799"/>
      <c r="B39" s="815"/>
      <c r="C39" s="91" t="s">
        <v>67</v>
      </c>
      <c r="D39" s="105"/>
      <c r="E39" s="105"/>
      <c r="F39" s="105"/>
      <c r="G39" s="105"/>
      <c r="H39" s="105"/>
      <c r="I39" s="105"/>
      <c r="J39" s="105"/>
      <c r="K39" s="105"/>
      <c r="L39" s="106"/>
      <c r="M39" s="106"/>
      <c r="N39" s="106"/>
      <c r="O39" s="106"/>
      <c r="P39" s="107">
        <f t="shared" si="0"/>
        <v>0</v>
      </c>
      <c r="Q39" s="819"/>
      <c r="R39" s="820"/>
      <c r="S39" s="820"/>
      <c r="T39" s="820"/>
      <c r="U39" s="820"/>
      <c r="V39" s="820"/>
      <c r="W39" s="820"/>
      <c r="X39" s="820"/>
      <c r="Y39" s="820"/>
      <c r="Z39" s="820"/>
      <c r="AA39" s="820"/>
      <c r="AB39" s="821"/>
      <c r="AC39" s="97"/>
    </row>
    <row r="40" spans="1:29" x14ac:dyDescent="0.25">
      <c r="A40" s="50" t="s">
        <v>294</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800-000000000000}">
      <formula1>2000</formula1>
    </dataValidation>
    <dataValidation type="textLength" operator="lessThanOrEqual" allowBlank="1" showInputMessage="1" showErrorMessage="1" errorTitle="Máximo 2.000 caracteres" error="Máximo 2.000 caracteres" sqref="Q32:AB39 Q28 U28 Y28" xr:uid="{00000000-0002-0000-0800-000001000000}">
      <formula1>2000</formula1>
    </dataValidation>
  </dataValidations>
  <pageMargins left="0" right="0" top="0" bottom="0" header="0" footer="0"/>
  <pageSetup paperSize="41" scale="48" fitToHeight="0"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3" ma:contentTypeDescription="Crear nuevo documento." ma:contentTypeScope="" ma:versionID="088431767ceebc0847586a0f112f3e01">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896deb7edc2afb896f8caa68ca3f611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ED18C-E6D7-468D-ABF8-E90A4C564D9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42D0F38E-94EE-4969-B887-6CD28E755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Meta 1 DED. SCPI</vt:lpstr>
      <vt:lpstr>Meta 2 DED</vt:lpstr>
      <vt:lpstr>Meta 3 DED</vt:lpstr>
      <vt:lpstr>Meta 4 DED</vt:lpstr>
      <vt:lpstr>Meta 5 SCPI</vt:lpstr>
      <vt:lpstr>Meta 6 SCPI</vt:lpstr>
      <vt:lpstr>Meta 7 DED</vt:lpstr>
      <vt:lpstr>Indicadores PA</vt:lpstr>
      <vt:lpstr>Meta 1..n</vt:lpstr>
      <vt:lpstr>Territorialización PA</vt:lpstr>
      <vt:lpstr>Instructivo</vt:lpstr>
      <vt:lpstr>Generalidades</vt:lpstr>
      <vt:lpstr>Hoja2</vt:lpstr>
      <vt:lpstr>Hoja13</vt:lpstr>
      <vt:lpstr>Hoja1</vt:lpstr>
      <vt:lpstr>'Meta 1 DED. SCPI'!Área_de_impresión</vt:lpstr>
      <vt:lpstr>'Meta 2 DED'!Área_de_impresión</vt:lpstr>
      <vt:lpstr>'Meta 3 DED'!Área_de_impresión</vt:lpstr>
      <vt:lpstr>'Meta 5 SCPI'!Área_de_impresión</vt:lpstr>
      <vt:lpstr>'Meta 6 SCPI'!Área_de_impresión</vt:lpstr>
      <vt:lpstr>'Meta 7 DED'!Área_de_impresión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2022-08-10T14:22:44Z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ies>
</file>