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secretariadistritald-my.sharepoint.com/personal/sorjuela_sdmujer_gov_co/Documents/SD MUJER/PLAN DE ACCION/2022/05. MAYO/"/>
    </mc:Choice>
  </mc:AlternateContent>
  <xr:revisionPtr revIDLastSave="6" documentId="8_{73A312FE-E4F8-48D8-9F7E-113FC555B14C}" xr6:coauthVersionLast="47" xr6:coauthVersionMax="47" xr10:uidLastSave="{DB1B9DDE-E46E-44BE-BFBD-05F18FDB666E}"/>
  <bookViews>
    <workbookView xWindow="-120" yWindow="-120" windowWidth="20730" windowHeight="11160" tabRatio="790" activeTab="8" xr2:uid="{00000000-000D-0000-FFFF-FFFF00000000}"/>
  </bookViews>
  <sheets>
    <sheet name="VALIDACION" sheetId="24" r:id="rId1"/>
    <sheet name="Indicadores PA" sheetId="17" r:id="rId2"/>
    <sheet name="Metas 1" sheetId="1" r:id="rId3"/>
    <sheet name="Meta 1..n" sheetId="2" state="hidden" r:id="rId4"/>
    <sheet name="Metas 2" sheetId="3" r:id="rId5"/>
    <sheet name="Metas 3" sheetId="4" r:id="rId6"/>
    <sheet name="Metas 4 (Contrato relevos)" sheetId="5" r:id="rId7"/>
    <sheet name="Metas 5" sheetId="6" r:id="rId8"/>
    <sheet name="Metas 6 (ONU Mujeres)" sheetId="7" r:id="rId9"/>
    <sheet name="Metas 7 (Unidades Moviles)" sheetId="8" r:id="rId10"/>
    <sheet name="Ptto2022" sheetId="16" state="hidden" r:id="rId11"/>
    <sheet name="Indic Gestión SPI" sheetId="15" state="hidden" r:id="rId12"/>
    <sheet name="ejec31may" sheetId="23" state="hidden" r:id="rId13"/>
    <sheet name="Territorialización PA - PMR" sheetId="21" r:id="rId14"/>
    <sheet name="Relevos 2021-2022" sheetId="18" state="hidden" r:id="rId15"/>
    <sheet name="Manzanas2020-2022" sheetId="19" state="hidden" r:id="rId16"/>
    <sheet name="Formación 2020-2022" sheetId="20" state="hidden" r:id="rId17"/>
    <sheet name="Instructivo" sheetId="11" state="hidden" r:id="rId18"/>
    <sheet name="Generalidades" sheetId="12" state="hidden" r:id="rId19"/>
    <sheet name="Hoja13" sheetId="13" state="hidden" r:id="rId20"/>
    <sheet name="Hoja1" sheetId="14" state="hidden" r:id="rId21"/>
  </sheets>
  <externalReferences>
    <externalReference r:id="rId22"/>
    <externalReference r:id="rId23"/>
    <externalReference r:id="rId24"/>
  </externalReferences>
  <definedNames>
    <definedName name="_xlnm._FilterDatabase" localSheetId="0" hidden="1">VALIDACION!$A$9:$AL$51</definedName>
    <definedName name="_xlnm.Print_Area" localSheetId="11">'Indic Gestión SPI'!$A$1:$L$111</definedName>
    <definedName name="_xlnm.Print_Area" localSheetId="1">'Indicadores PA'!$A$1:$AZ$32</definedName>
    <definedName name="_xlnm.Print_Area" localSheetId="2">'Metas 1'!$A$1:$AD$43</definedName>
    <definedName name="_xlnm.Print_Area" localSheetId="4">'Metas 2'!$A$1:$AD$43</definedName>
    <definedName name="_xlnm.Print_Area" localSheetId="5">'Metas 3'!$A$1:$AD$43</definedName>
    <definedName name="_xlnm.Print_Area" localSheetId="6">'Metas 4 (Contrato relevos)'!$A$1:$AD$43</definedName>
    <definedName name="_xlnm.Print_Area" localSheetId="7">'Metas 5'!$A$1:$AD$41</definedName>
    <definedName name="_xlnm.Print_Area" localSheetId="8">'Metas 6 (ONU Mujeres)'!$A$1:$AD$45</definedName>
    <definedName name="_xlnm.Print_Area" localSheetId="9">'Metas 7 (Unidades Moviles)'!$A$1:$AD$43</definedName>
    <definedName name="_xlnm.Print_Area" localSheetId="10">Ptto2022!$A$1:$K$15</definedName>
    <definedName name="_xlnm.Print_Area" localSheetId="13">'Territorialización PA - PMR'!$A$1:$BZ$89</definedName>
    <definedName name="PROGRAMAS">'[1]Sectores y Programas'!$C$4:$D$175</definedName>
    <definedName name="sectores">'[1]Sectores y Programas'!$H$5:$I$37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5" i="7" l="1"/>
  <c r="P35" i="5"/>
  <c r="D101" i="24" l="1"/>
  <c r="B101" i="24"/>
  <c r="D99" i="24"/>
  <c r="B99" i="24"/>
  <c r="D97" i="24"/>
  <c r="B97" i="24"/>
  <c r="D95" i="24"/>
  <c r="B95" i="24"/>
  <c r="D93" i="24"/>
  <c r="B93" i="24"/>
  <c r="D91" i="24"/>
  <c r="B91" i="24"/>
  <c r="D89" i="24"/>
  <c r="B89" i="24"/>
  <c r="D87" i="24"/>
  <c r="B87" i="24"/>
  <c r="D85" i="24"/>
  <c r="B85" i="24"/>
  <c r="D83" i="24"/>
  <c r="B83" i="24"/>
  <c r="D81" i="24"/>
  <c r="B81" i="24"/>
  <c r="Q80" i="24"/>
  <c r="P80" i="24"/>
  <c r="O80" i="24"/>
  <c r="N80" i="24"/>
  <c r="M80" i="24"/>
  <c r="L80" i="24"/>
  <c r="K80" i="24"/>
  <c r="J80" i="24"/>
  <c r="I80" i="24"/>
  <c r="H80" i="24"/>
  <c r="G80" i="24"/>
  <c r="F80" i="24"/>
  <c r="Q79" i="24"/>
  <c r="P79" i="24"/>
  <c r="O79" i="24"/>
  <c r="N79" i="24"/>
  <c r="M79" i="24"/>
  <c r="L79" i="24"/>
  <c r="K79" i="24"/>
  <c r="J79" i="24"/>
  <c r="I79" i="24"/>
  <c r="H79" i="24"/>
  <c r="R79" i="24" s="1"/>
  <c r="G79" i="24"/>
  <c r="F79" i="24"/>
  <c r="D79" i="24"/>
  <c r="B79" i="24"/>
  <c r="Q78" i="24"/>
  <c r="P78" i="24"/>
  <c r="O78" i="24"/>
  <c r="N78" i="24"/>
  <c r="M78" i="24"/>
  <c r="L78" i="24"/>
  <c r="K78" i="24"/>
  <c r="J78" i="24"/>
  <c r="I78" i="24"/>
  <c r="H78" i="24"/>
  <c r="G78" i="24"/>
  <c r="F78" i="24"/>
  <c r="Q77" i="24"/>
  <c r="P77" i="24"/>
  <c r="O77" i="24"/>
  <c r="N77" i="24"/>
  <c r="M77" i="24"/>
  <c r="L77" i="24"/>
  <c r="K77" i="24"/>
  <c r="J77" i="24"/>
  <c r="I77" i="24"/>
  <c r="H77" i="24"/>
  <c r="G77" i="24"/>
  <c r="F77" i="24"/>
  <c r="D77" i="24"/>
  <c r="B77" i="24"/>
  <c r="Q76" i="24"/>
  <c r="P76" i="24"/>
  <c r="O76" i="24"/>
  <c r="N76" i="24"/>
  <c r="M76" i="24"/>
  <c r="L76" i="24"/>
  <c r="K76" i="24"/>
  <c r="J76" i="24"/>
  <c r="I76" i="24"/>
  <c r="H76" i="24"/>
  <c r="R76" i="24" s="1"/>
  <c r="G76" i="24"/>
  <c r="F76" i="24"/>
  <c r="Q75" i="24"/>
  <c r="P75" i="24"/>
  <c r="O75" i="24"/>
  <c r="N75" i="24"/>
  <c r="M75" i="24"/>
  <c r="L75" i="24"/>
  <c r="K75" i="24"/>
  <c r="J75" i="24"/>
  <c r="I75" i="24"/>
  <c r="H75" i="24"/>
  <c r="G75" i="24"/>
  <c r="F75" i="24"/>
  <c r="D75" i="24"/>
  <c r="B75" i="24"/>
  <c r="Q74" i="24"/>
  <c r="P74" i="24"/>
  <c r="O74" i="24"/>
  <c r="N74" i="24"/>
  <c r="M74" i="24"/>
  <c r="L74" i="24"/>
  <c r="K74" i="24"/>
  <c r="J74" i="24"/>
  <c r="I74" i="24"/>
  <c r="H74" i="24"/>
  <c r="G74" i="24"/>
  <c r="F74" i="24"/>
  <c r="Q73" i="24"/>
  <c r="P73" i="24"/>
  <c r="O73" i="24"/>
  <c r="N73" i="24"/>
  <c r="M73" i="24"/>
  <c r="L73" i="24"/>
  <c r="K73" i="24"/>
  <c r="J73" i="24"/>
  <c r="I73" i="24"/>
  <c r="H73" i="24"/>
  <c r="G73" i="24"/>
  <c r="F73" i="24"/>
  <c r="R73" i="24" s="1"/>
  <c r="D73" i="24"/>
  <c r="B73" i="24"/>
  <c r="U51" i="24"/>
  <c r="T51" i="24"/>
  <c r="S51" i="24"/>
  <c r="R51" i="24"/>
  <c r="Q51" i="24"/>
  <c r="P51" i="24"/>
  <c r="O51" i="24"/>
  <c r="N51" i="24"/>
  <c r="M51" i="24"/>
  <c r="L51" i="24"/>
  <c r="K51" i="24"/>
  <c r="J51" i="24"/>
  <c r="I51" i="24"/>
  <c r="H51" i="24"/>
  <c r="U50" i="24"/>
  <c r="T50" i="24"/>
  <c r="S50" i="24"/>
  <c r="R50" i="24"/>
  <c r="Q50" i="24"/>
  <c r="P50" i="24"/>
  <c r="O50" i="24"/>
  <c r="N50" i="24"/>
  <c r="M50" i="24"/>
  <c r="L50" i="24"/>
  <c r="K50" i="24"/>
  <c r="J50" i="24"/>
  <c r="I50" i="24"/>
  <c r="H50" i="24"/>
  <c r="F50" i="24"/>
  <c r="E50" i="24"/>
  <c r="G50" i="24" s="1"/>
  <c r="AK49" i="24"/>
  <c r="AJ49" i="24"/>
  <c r="AI49" i="24"/>
  <c r="AH49" i="24"/>
  <c r="AG49" i="24"/>
  <c r="AF49" i="24"/>
  <c r="AE49" i="24"/>
  <c r="AD49" i="24"/>
  <c r="AC49" i="24"/>
  <c r="AB49" i="24"/>
  <c r="AA49" i="24"/>
  <c r="Z49" i="24"/>
  <c r="Y49" i="24"/>
  <c r="X49" i="24"/>
  <c r="U49" i="24"/>
  <c r="T49" i="24"/>
  <c r="S49" i="24"/>
  <c r="R49" i="24"/>
  <c r="Q49" i="24"/>
  <c r="P49" i="24"/>
  <c r="O49" i="24"/>
  <c r="N49" i="24"/>
  <c r="M49" i="24"/>
  <c r="L49" i="24"/>
  <c r="K49" i="24"/>
  <c r="J49" i="24"/>
  <c r="I49" i="24"/>
  <c r="H49" i="24"/>
  <c r="AK48" i="24"/>
  <c r="AJ48" i="24"/>
  <c r="AI48" i="24"/>
  <c r="AH48" i="24"/>
  <c r="AG48" i="24"/>
  <c r="AF48" i="24"/>
  <c r="AE48" i="24"/>
  <c r="AD48" i="24"/>
  <c r="AC48" i="24"/>
  <c r="AB48" i="24"/>
  <c r="AA48" i="24"/>
  <c r="Z48" i="24"/>
  <c r="Y48" i="24"/>
  <c r="X48" i="24"/>
  <c r="U48" i="24"/>
  <c r="T48" i="24"/>
  <c r="S48" i="24"/>
  <c r="R48" i="24"/>
  <c r="Q48" i="24"/>
  <c r="P48" i="24"/>
  <c r="O48" i="24"/>
  <c r="N48" i="24"/>
  <c r="M48" i="24"/>
  <c r="L48" i="24"/>
  <c r="K48" i="24"/>
  <c r="J48" i="24"/>
  <c r="I48" i="24"/>
  <c r="H48" i="24"/>
  <c r="AK47" i="24"/>
  <c r="AJ47" i="24"/>
  <c r="AI47" i="24"/>
  <c r="AH47" i="24"/>
  <c r="AG47" i="24"/>
  <c r="AF47" i="24"/>
  <c r="AE47" i="24"/>
  <c r="AD47" i="24"/>
  <c r="AC47" i="24"/>
  <c r="AB47" i="24"/>
  <c r="AA47" i="24"/>
  <c r="Z47" i="24"/>
  <c r="Y47" i="24"/>
  <c r="X47" i="24"/>
  <c r="U47" i="24"/>
  <c r="T47" i="24"/>
  <c r="V47" i="24" s="1"/>
  <c r="S47" i="24"/>
  <c r="R47" i="24"/>
  <c r="Q47" i="24"/>
  <c r="P47" i="24"/>
  <c r="O47" i="24"/>
  <c r="N47" i="24"/>
  <c r="M47" i="24"/>
  <c r="L47" i="24"/>
  <c r="K47" i="24"/>
  <c r="J47" i="24"/>
  <c r="I47" i="24"/>
  <c r="H47" i="24"/>
  <c r="AK46" i="24"/>
  <c r="AJ46" i="24"/>
  <c r="AI46" i="24"/>
  <c r="AH46" i="24"/>
  <c r="AG46" i="24"/>
  <c r="AF46" i="24"/>
  <c r="AE46" i="24"/>
  <c r="AD46" i="24"/>
  <c r="AC46" i="24"/>
  <c r="AB46" i="24"/>
  <c r="AA46" i="24"/>
  <c r="Z46" i="24"/>
  <c r="Y46" i="24"/>
  <c r="X46" i="24"/>
  <c r="U46" i="24"/>
  <c r="T46" i="24"/>
  <c r="F46" i="24" s="1"/>
  <c r="G46" i="24" s="1"/>
  <c r="S46" i="24"/>
  <c r="R46" i="24"/>
  <c r="Q46" i="24"/>
  <c r="P46" i="24"/>
  <c r="O46" i="24"/>
  <c r="N46" i="24"/>
  <c r="M46" i="24"/>
  <c r="L46" i="24"/>
  <c r="K46" i="24"/>
  <c r="J46" i="24"/>
  <c r="I46" i="24"/>
  <c r="H46" i="24"/>
  <c r="C46" i="24"/>
  <c r="B46" i="24"/>
  <c r="U45" i="24"/>
  <c r="T45" i="24"/>
  <c r="S45" i="24"/>
  <c r="R45" i="24"/>
  <c r="Q45" i="24"/>
  <c r="P45" i="24"/>
  <c r="O45" i="24"/>
  <c r="N45" i="24"/>
  <c r="M45" i="24"/>
  <c r="L45" i="24"/>
  <c r="K45" i="24"/>
  <c r="J45" i="24"/>
  <c r="I45" i="24"/>
  <c r="H45" i="24"/>
  <c r="U44" i="24"/>
  <c r="T44" i="24"/>
  <c r="S44" i="24"/>
  <c r="R44" i="24"/>
  <c r="Q44" i="24"/>
  <c r="P44" i="24"/>
  <c r="O44" i="24"/>
  <c r="N44" i="24"/>
  <c r="M44" i="24"/>
  <c r="L44" i="24"/>
  <c r="K44" i="24"/>
  <c r="J44" i="24"/>
  <c r="I44" i="24"/>
  <c r="H44" i="24"/>
  <c r="F44" i="24"/>
  <c r="E44" i="24"/>
  <c r="G44" i="24" s="1"/>
  <c r="AK43" i="24"/>
  <c r="AJ43" i="24"/>
  <c r="AI43" i="24"/>
  <c r="AH43" i="24"/>
  <c r="AG43" i="24"/>
  <c r="AF43" i="24"/>
  <c r="AE43" i="24"/>
  <c r="AD43" i="24"/>
  <c r="AC43" i="24"/>
  <c r="AB43" i="24"/>
  <c r="AA43" i="24"/>
  <c r="Z43" i="24"/>
  <c r="Y43" i="24"/>
  <c r="X43" i="24"/>
  <c r="U43" i="24"/>
  <c r="T43" i="24"/>
  <c r="S43" i="24"/>
  <c r="R43" i="24"/>
  <c r="Q43" i="24"/>
  <c r="P43" i="24"/>
  <c r="O43" i="24"/>
  <c r="N43" i="24"/>
  <c r="M43" i="24"/>
  <c r="L43" i="24"/>
  <c r="K43" i="24"/>
  <c r="J43" i="24"/>
  <c r="I43" i="24"/>
  <c r="H43" i="24"/>
  <c r="AK42" i="24"/>
  <c r="AJ42" i="24"/>
  <c r="AI42" i="24"/>
  <c r="AH42" i="24"/>
  <c r="AG42" i="24"/>
  <c r="AF42" i="24"/>
  <c r="AE42" i="24"/>
  <c r="AD42" i="24"/>
  <c r="AC42" i="24"/>
  <c r="AB42" i="24"/>
  <c r="AA42" i="24"/>
  <c r="Z42" i="24"/>
  <c r="Y42" i="24"/>
  <c r="X42" i="24"/>
  <c r="U42" i="24"/>
  <c r="T42" i="24"/>
  <c r="F42" i="24" s="1"/>
  <c r="G42" i="24" s="1"/>
  <c r="S42" i="24"/>
  <c r="R42" i="24"/>
  <c r="Q42" i="24"/>
  <c r="P42" i="24"/>
  <c r="O42" i="24"/>
  <c r="N42" i="24"/>
  <c r="M42" i="24"/>
  <c r="L42" i="24"/>
  <c r="K42" i="24"/>
  <c r="J42" i="24"/>
  <c r="I42" i="24"/>
  <c r="H42" i="24"/>
  <c r="AK41" i="24"/>
  <c r="AJ41" i="24"/>
  <c r="AI41" i="24"/>
  <c r="AH41" i="24"/>
  <c r="AG41" i="24"/>
  <c r="AF41" i="24"/>
  <c r="AE41" i="24"/>
  <c r="AD41" i="24"/>
  <c r="AC41" i="24"/>
  <c r="AB41" i="24"/>
  <c r="AA41" i="24"/>
  <c r="Z41" i="24"/>
  <c r="Y41" i="24"/>
  <c r="X41" i="24"/>
  <c r="U41" i="24"/>
  <c r="T41" i="24"/>
  <c r="S41" i="24"/>
  <c r="R41" i="24"/>
  <c r="Q41" i="24"/>
  <c r="P41" i="24"/>
  <c r="O41" i="24"/>
  <c r="N41" i="24"/>
  <c r="M41" i="24"/>
  <c r="L41" i="24"/>
  <c r="K41" i="24"/>
  <c r="J41" i="24"/>
  <c r="I41" i="24"/>
  <c r="H41" i="24"/>
  <c r="AK40" i="24"/>
  <c r="AJ40" i="24"/>
  <c r="AI40" i="24"/>
  <c r="AH40" i="24"/>
  <c r="AG40" i="24"/>
  <c r="AF40" i="24"/>
  <c r="AE40" i="24"/>
  <c r="AD40" i="24"/>
  <c r="AC40" i="24"/>
  <c r="AB40" i="24"/>
  <c r="AA40" i="24"/>
  <c r="Z40" i="24"/>
  <c r="Y40" i="24"/>
  <c r="X40" i="24"/>
  <c r="U40" i="24"/>
  <c r="T40" i="24"/>
  <c r="F40" i="24" s="1"/>
  <c r="G40" i="24" s="1"/>
  <c r="S40" i="24"/>
  <c r="R40" i="24"/>
  <c r="Q40" i="24"/>
  <c r="P40" i="24"/>
  <c r="O40" i="24"/>
  <c r="N40" i="24"/>
  <c r="M40" i="24"/>
  <c r="L40" i="24"/>
  <c r="K40" i="24"/>
  <c r="J40" i="24"/>
  <c r="I40" i="24"/>
  <c r="H40" i="24"/>
  <c r="C40" i="24"/>
  <c r="B40" i="24"/>
  <c r="U39" i="24"/>
  <c r="T39" i="24"/>
  <c r="S39" i="24"/>
  <c r="R39" i="24"/>
  <c r="Q39" i="24"/>
  <c r="P39" i="24"/>
  <c r="O39" i="24"/>
  <c r="N39" i="24"/>
  <c r="M39" i="24"/>
  <c r="L39" i="24"/>
  <c r="K39" i="24"/>
  <c r="J39" i="24"/>
  <c r="I39" i="24"/>
  <c r="H39" i="24"/>
  <c r="U38" i="24"/>
  <c r="T38" i="24"/>
  <c r="S38" i="24"/>
  <c r="R38" i="24"/>
  <c r="Q38" i="24"/>
  <c r="P38" i="24"/>
  <c r="O38" i="24"/>
  <c r="N38" i="24"/>
  <c r="M38" i="24"/>
  <c r="L38" i="24"/>
  <c r="K38" i="24"/>
  <c r="J38" i="24"/>
  <c r="I38" i="24"/>
  <c r="H38" i="24"/>
  <c r="F38" i="24"/>
  <c r="E38" i="24"/>
  <c r="G38" i="24" s="1"/>
  <c r="AK37" i="24"/>
  <c r="AJ37" i="24"/>
  <c r="AI37" i="24"/>
  <c r="AH37" i="24"/>
  <c r="AG37" i="24"/>
  <c r="AF37" i="24"/>
  <c r="AE37" i="24"/>
  <c r="AD37" i="24"/>
  <c r="AC37" i="24"/>
  <c r="AB37" i="24"/>
  <c r="AA37" i="24"/>
  <c r="Z37" i="24"/>
  <c r="Y37" i="24"/>
  <c r="X37" i="24"/>
  <c r="U37" i="24"/>
  <c r="T37" i="24"/>
  <c r="S37" i="24"/>
  <c r="R37" i="24"/>
  <c r="Q37" i="24"/>
  <c r="P37" i="24"/>
  <c r="O37" i="24"/>
  <c r="N37" i="24"/>
  <c r="M37" i="24"/>
  <c r="L37" i="24"/>
  <c r="K37" i="24"/>
  <c r="J37" i="24"/>
  <c r="I37" i="24"/>
  <c r="H37" i="24"/>
  <c r="AK36" i="24"/>
  <c r="AJ36" i="24"/>
  <c r="AI36" i="24"/>
  <c r="AH36" i="24"/>
  <c r="AG36" i="24"/>
  <c r="AF36" i="24"/>
  <c r="AE36" i="24"/>
  <c r="AD36" i="24"/>
  <c r="AC36" i="24"/>
  <c r="AB36" i="24"/>
  <c r="AA36" i="24"/>
  <c r="Z36" i="24"/>
  <c r="Y36" i="24"/>
  <c r="X36" i="24"/>
  <c r="U36" i="24"/>
  <c r="T36" i="24"/>
  <c r="F36" i="24" s="1"/>
  <c r="G36" i="24" s="1"/>
  <c r="S36" i="24"/>
  <c r="R36" i="24"/>
  <c r="Q36" i="24"/>
  <c r="P36" i="24"/>
  <c r="O36" i="24"/>
  <c r="N36" i="24"/>
  <c r="M36" i="24"/>
  <c r="L36" i="24"/>
  <c r="K36" i="24"/>
  <c r="J36" i="24"/>
  <c r="I36" i="24"/>
  <c r="H36" i="24"/>
  <c r="AK35" i="24"/>
  <c r="AJ35" i="24"/>
  <c r="AI35" i="24"/>
  <c r="AH35" i="24"/>
  <c r="AG35" i="24"/>
  <c r="AF35" i="24"/>
  <c r="AE35" i="24"/>
  <c r="AD35" i="24"/>
  <c r="AC35" i="24"/>
  <c r="AB35" i="24"/>
  <c r="AA35" i="24"/>
  <c r="Z35" i="24"/>
  <c r="Y35" i="24"/>
  <c r="X35" i="24"/>
  <c r="U35" i="24"/>
  <c r="T35" i="24"/>
  <c r="S35" i="24"/>
  <c r="R35" i="24"/>
  <c r="Q35" i="24"/>
  <c r="P35" i="24"/>
  <c r="O35" i="24"/>
  <c r="N35" i="24"/>
  <c r="M35" i="24"/>
  <c r="L35" i="24"/>
  <c r="K35" i="24"/>
  <c r="J35" i="24"/>
  <c r="I35" i="24"/>
  <c r="H35" i="24"/>
  <c r="AK34" i="24"/>
  <c r="AJ34" i="24"/>
  <c r="AI34" i="24"/>
  <c r="AH34" i="24"/>
  <c r="AG34" i="24"/>
  <c r="AF34" i="24"/>
  <c r="AE34" i="24"/>
  <c r="AD34" i="24"/>
  <c r="AC34" i="24"/>
  <c r="AB34" i="24"/>
  <c r="AA34" i="24"/>
  <c r="Z34" i="24"/>
  <c r="Y34" i="24"/>
  <c r="X34" i="24"/>
  <c r="U34" i="24"/>
  <c r="T34" i="24"/>
  <c r="F34" i="24" s="1"/>
  <c r="G34" i="24" s="1"/>
  <c r="S34" i="24"/>
  <c r="R34" i="24"/>
  <c r="Q34" i="24"/>
  <c r="P34" i="24"/>
  <c r="O34" i="24"/>
  <c r="N34" i="24"/>
  <c r="M34" i="24"/>
  <c r="L34" i="24"/>
  <c r="K34" i="24"/>
  <c r="J34" i="24"/>
  <c r="I34" i="24"/>
  <c r="H34" i="24"/>
  <c r="C34" i="24"/>
  <c r="B34" i="24"/>
  <c r="U33" i="24"/>
  <c r="T33" i="24"/>
  <c r="S33" i="24"/>
  <c r="R33" i="24"/>
  <c r="Q33" i="24"/>
  <c r="P33" i="24"/>
  <c r="O33" i="24"/>
  <c r="N33" i="24"/>
  <c r="M33" i="24"/>
  <c r="L33" i="24"/>
  <c r="K33" i="24"/>
  <c r="J33" i="24"/>
  <c r="I33" i="24"/>
  <c r="H33" i="24"/>
  <c r="U32" i="24"/>
  <c r="T32" i="24"/>
  <c r="S32" i="24"/>
  <c r="R32" i="24"/>
  <c r="Q32" i="24"/>
  <c r="P32" i="24"/>
  <c r="O32" i="24"/>
  <c r="N32" i="24"/>
  <c r="M32" i="24"/>
  <c r="L32" i="24"/>
  <c r="K32" i="24"/>
  <c r="J32" i="24"/>
  <c r="I32" i="24"/>
  <c r="H32" i="24"/>
  <c r="F32" i="24"/>
  <c r="E32" i="24"/>
  <c r="G32" i="24" s="1"/>
  <c r="AK31" i="24"/>
  <c r="AJ31" i="24"/>
  <c r="AI31" i="24"/>
  <c r="AH31" i="24"/>
  <c r="AG31" i="24"/>
  <c r="AF31" i="24"/>
  <c r="AE31" i="24"/>
  <c r="AD31" i="24"/>
  <c r="AC31" i="24"/>
  <c r="AB31" i="24"/>
  <c r="AA31" i="24"/>
  <c r="Z31" i="24"/>
  <c r="Y31" i="24"/>
  <c r="X31" i="24"/>
  <c r="U31" i="24"/>
  <c r="T31" i="24"/>
  <c r="S31" i="24"/>
  <c r="R31" i="24"/>
  <c r="Q31" i="24"/>
  <c r="P31" i="24"/>
  <c r="O31" i="24"/>
  <c r="N31" i="24"/>
  <c r="M31" i="24"/>
  <c r="L31" i="24"/>
  <c r="K31" i="24"/>
  <c r="J31" i="24"/>
  <c r="I31" i="24"/>
  <c r="H31" i="24"/>
  <c r="AK30" i="24"/>
  <c r="AJ30" i="24"/>
  <c r="AI30" i="24"/>
  <c r="AH30" i="24"/>
  <c r="AG30" i="24"/>
  <c r="AF30" i="24"/>
  <c r="AE30" i="24"/>
  <c r="AD30" i="24"/>
  <c r="AC30" i="24"/>
  <c r="AB30" i="24"/>
  <c r="AA30" i="24"/>
  <c r="Z30" i="24"/>
  <c r="Y30" i="24"/>
  <c r="X30" i="24"/>
  <c r="U30" i="24"/>
  <c r="T30" i="24"/>
  <c r="F30" i="24" s="1"/>
  <c r="G30" i="24" s="1"/>
  <c r="S30" i="24"/>
  <c r="R30" i="24"/>
  <c r="Q30" i="24"/>
  <c r="P30" i="24"/>
  <c r="O30" i="24"/>
  <c r="N30" i="24"/>
  <c r="M30" i="24"/>
  <c r="L30" i="24"/>
  <c r="K30" i="24"/>
  <c r="J30" i="24"/>
  <c r="I30" i="24"/>
  <c r="H30" i="24"/>
  <c r="AK29" i="24"/>
  <c r="AJ29" i="24"/>
  <c r="AI29" i="24"/>
  <c r="AH29" i="24"/>
  <c r="AG29" i="24"/>
  <c r="AF29" i="24"/>
  <c r="AE29" i="24"/>
  <c r="AD29" i="24"/>
  <c r="AC29" i="24"/>
  <c r="AB29" i="24"/>
  <c r="AA29" i="24"/>
  <c r="Z29" i="24"/>
  <c r="Y29" i="24"/>
  <c r="X29" i="24"/>
  <c r="U29" i="24"/>
  <c r="T29" i="24"/>
  <c r="S29" i="24"/>
  <c r="R29" i="24"/>
  <c r="Q29" i="24"/>
  <c r="P29" i="24"/>
  <c r="O29" i="24"/>
  <c r="N29" i="24"/>
  <c r="M29" i="24"/>
  <c r="L29" i="24"/>
  <c r="K29" i="24"/>
  <c r="J29" i="24"/>
  <c r="I29" i="24"/>
  <c r="H29" i="24"/>
  <c r="AK28" i="24"/>
  <c r="AJ28" i="24"/>
  <c r="AI28" i="24"/>
  <c r="AH28" i="24"/>
  <c r="AG28" i="24"/>
  <c r="AF28" i="24"/>
  <c r="AE28" i="24"/>
  <c r="AD28" i="24"/>
  <c r="AC28" i="24"/>
  <c r="AB28" i="24"/>
  <c r="AA28" i="24"/>
  <c r="Z28" i="24"/>
  <c r="Y28" i="24"/>
  <c r="X28" i="24"/>
  <c r="U28" i="24"/>
  <c r="T28" i="24"/>
  <c r="F28" i="24" s="1"/>
  <c r="G28" i="24" s="1"/>
  <c r="S28" i="24"/>
  <c r="R28" i="24"/>
  <c r="Q28" i="24"/>
  <c r="P28" i="24"/>
  <c r="O28" i="24"/>
  <c r="N28" i="24"/>
  <c r="M28" i="24"/>
  <c r="L28" i="24"/>
  <c r="K28" i="24"/>
  <c r="J28" i="24"/>
  <c r="I28" i="24"/>
  <c r="H28" i="24"/>
  <c r="C28" i="24"/>
  <c r="B28" i="24"/>
  <c r="U27" i="24"/>
  <c r="T27" i="24"/>
  <c r="S27" i="24"/>
  <c r="R27" i="24"/>
  <c r="Q27" i="24"/>
  <c r="P27" i="24"/>
  <c r="O27" i="24"/>
  <c r="N27" i="24"/>
  <c r="M27" i="24"/>
  <c r="L27" i="24"/>
  <c r="K27" i="24"/>
  <c r="J27" i="24"/>
  <c r="I27" i="24"/>
  <c r="H27" i="24"/>
  <c r="U26" i="24"/>
  <c r="T26" i="24"/>
  <c r="S26" i="24"/>
  <c r="R26" i="24"/>
  <c r="Q26" i="24"/>
  <c r="P26" i="24"/>
  <c r="O26" i="24"/>
  <c r="N26" i="24"/>
  <c r="M26" i="24"/>
  <c r="L26" i="24"/>
  <c r="K26" i="24"/>
  <c r="J26" i="24"/>
  <c r="I26" i="24"/>
  <c r="H26" i="24"/>
  <c r="F26" i="24"/>
  <c r="E26" i="24"/>
  <c r="AK25" i="24"/>
  <c r="AJ25" i="24"/>
  <c r="AI25" i="24"/>
  <c r="AH25" i="24"/>
  <c r="AG25" i="24"/>
  <c r="AF25" i="24"/>
  <c r="AE25" i="24"/>
  <c r="AD25" i="24"/>
  <c r="AC25" i="24"/>
  <c r="AB25" i="24"/>
  <c r="AA25" i="24"/>
  <c r="Z25" i="24"/>
  <c r="Y25" i="24"/>
  <c r="X25" i="24"/>
  <c r="U25" i="24"/>
  <c r="T25" i="24"/>
  <c r="S25" i="24"/>
  <c r="R25" i="24"/>
  <c r="Q25" i="24"/>
  <c r="P25" i="24"/>
  <c r="O25" i="24"/>
  <c r="N25" i="24"/>
  <c r="M25" i="24"/>
  <c r="L25" i="24"/>
  <c r="K25" i="24"/>
  <c r="J25" i="24"/>
  <c r="I25" i="24"/>
  <c r="H25" i="24"/>
  <c r="AK24" i="24"/>
  <c r="AJ24" i="24"/>
  <c r="AI24" i="24"/>
  <c r="AH24" i="24"/>
  <c r="AG24" i="24"/>
  <c r="AF24" i="24"/>
  <c r="AE24" i="24"/>
  <c r="AD24" i="24"/>
  <c r="AC24" i="24"/>
  <c r="AB24" i="24"/>
  <c r="AA24" i="24"/>
  <c r="Z24" i="24"/>
  <c r="Y24" i="24"/>
  <c r="X24" i="24"/>
  <c r="U24" i="24"/>
  <c r="T24" i="24"/>
  <c r="F24" i="24" s="1"/>
  <c r="G24" i="24" s="1"/>
  <c r="S24" i="24"/>
  <c r="R24" i="24"/>
  <c r="Q24" i="24"/>
  <c r="P24" i="24"/>
  <c r="O24" i="24"/>
  <c r="N24" i="24"/>
  <c r="M24" i="24"/>
  <c r="L24" i="24"/>
  <c r="K24" i="24"/>
  <c r="J24" i="24"/>
  <c r="I24" i="24"/>
  <c r="H24" i="24"/>
  <c r="AK23" i="24"/>
  <c r="AJ23" i="24"/>
  <c r="AI23" i="24"/>
  <c r="AH23" i="24"/>
  <c r="AG23" i="24"/>
  <c r="AF23" i="24"/>
  <c r="AE23" i="24"/>
  <c r="AD23" i="24"/>
  <c r="AC23" i="24"/>
  <c r="AB23" i="24"/>
  <c r="AA23" i="24"/>
  <c r="Z23" i="24"/>
  <c r="Y23" i="24"/>
  <c r="X23" i="24"/>
  <c r="U23" i="24"/>
  <c r="T23" i="24"/>
  <c r="V23" i="24" s="1"/>
  <c r="S23" i="24"/>
  <c r="R23" i="24"/>
  <c r="Q23" i="24"/>
  <c r="P23" i="24"/>
  <c r="O23" i="24"/>
  <c r="N23" i="24"/>
  <c r="M23" i="24"/>
  <c r="L23" i="24"/>
  <c r="K23" i="24"/>
  <c r="J23" i="24"/>
  <c r="I23" i="24"/>
  <c r="H23" i="24"/>
  <c r="AK22" i="24"/>
  <c r="AJ22" i="24"/>
  <c r="AI22" i="24"/>
  <c r="AH22" i="24"/>
  <c r="AG22" i="24"/>
  <c r="AF22" i="24"/>
  <c r="AE22" i="24"/>
  <c r="AD22" i="24"/>
  <c r="AC22" i="24"/>
  <c r="AB22" i="24"/>
  <c r="AA22" i="24"/>
  <c r="Z22" i="24"/>
  <c r="Y22" i="24"/>
  <c r="X22" i="24"/>
  <c r="U22" i="24"/>
  <c r="T22" i="24"/>
  <c r="S22" i="24"/>
  <c r="R22" i="24"/>
  <c r="Q22" i="24"/>
  <c r="P22" i="24"/>
  <c r="O22" i="24"/>
  <c r="N22" i="24"/>
  <c r="M22" i="24"/>
  <c r="L22" i="24"/>
  <c r="K22" i="24"/>
  <c r="J22" i="24"/>
  <c r="I22" i="24"/>
  <c r="H22" i="24"/>
  <c r="C22" i="24"/>
  <c r="B22" i="24"/>
  <c r="U21" i="24"/>
  <c r="T21" i="24"/>
  <c r="S21" i="24"/>
  <c r="R21" i="24"/>
  <c r="Q21" i="24"/>
  <c r="P21" i="24"/>
  <c r="O21" i="24"/>
  <c r="N21" i="24"/>
  <c r="M21" i="24"/>
  <c r="L21" i="24"/>
  <c r="K21" i="24"/>
  <c r="J21" i="24"/>
  <c r="I21" i="24"/>
  <c r="H21" i="24"/>
  <c r="U20" i="24"/>
  <c r="T20" i="24"/>
  <c r="S20" i="24"/>
  <c r="R20" i="24"/>
  <c r="Q20" i="24"/>
  <c r="P20" i="24"/>
  <c r="O20" i="24"/>
  <c r="N20" i="24"/>
  <c r="M20" i="24"/>
  <c r="L20" i="24"/>
  <c r="K20" i="24"/>
  <c r="J20" i="24"/>
  <c r="I20" i="24"/>
  <c r="H20" i="24"/>
  <c r="F20" i="24"/>
  <c r="E20" i="24"/>
  <c r="AK19" i="24"/>
  <c r="AJ19" i="24"/>
  <c r="AI19" i="24"/>
  <c r="AH19" i="24"/>
  <c r="AG19" i="24"/>
  <c r="AF19" i="24"/>
  <c r="AE19" i="24"/>
  <c r="AD19" i="24"/>
  <c r="AC19" i="24"/>
  <c r="AB19" i="24"/>
  <c r="AA19" i="24"/>
  <c r="Z19" i="24"/>
  <c r="Y19" i="24"/>
  <c r="X19" i="24"/>
  <c r="U19" i="24"/>
  <c r="T19" i="24"/>
  <c r="S19" i="24"/>
  <c r="R19" i="24"/>
  <c r="Q19" i="24"/>
  <c r="P19" i="24"/>
  <c r="O19" i="24"/>
  <c r="N19" i="24"/>
  <c r="M19" i="24"/>
  <c r="L19" i="24"/>
  <c r="K19" i="24"/>
  <c r="J19" i="24"/>
  <c r="I19" i="24"/>
  <c r="H19" i="24"/>
  <c r="AK18" i="24"/>
  <c r="AJ18" i="24"/>
  <c r="AI18" i="24"/>
  <c r="AH18" i="24"/>
  <c r="AG18" i="24"/>
  <c r="AF18" i="24"/>
  <c r="AE18" i="24"/>
  <c r="AD18" i="24"/>
  <c r="AC18" i="24"/>
  <c r="AB18" i="24"/>
  <c r="AA18" i="24"/>
  <c r="Z18" i="24"/>
  <c r="Y18" i="24"/>
  <c r="X18" i="24"/>
  <c r="U18" i="24"/>
  <c r="T18" i="24"/>
  <c r="F18" i="24" s="1"/>
  <c r="G18" i="24" s="1"/>
  <c r="S18" i="24"/>
  <c r="R18" i="24"/>
  <c r="Q18" i="24"/>
  <c r="P18" i="24"/>
  <c r="O18" i="24"/>
  <c r="N18" i="24"/>
  <c r="M18" i="24"/>
  <c r="L18" i="24"/>
  <c r="K18" i="24"/>
  <c r="J18" i="24"/>
  <c r="I18" i="24"/>
  <c r="H18" i="24"/>
  <c r="AK17" i="24"/>
  <c r="AJ17" i="24"/>
  <c r="AI17" i="24"/>
  <c r="AH17" i="24"/>
  <c r="AG17" i="24"/>
  <c r="AF17" i="24"/>
  <c r="AE17" i="24"/>
  <c r="AD17" i="24"/>
  <c r="AC17" i="24"/>
  <c r="AB17" i="24"/>
  <c r="AA17" i="24"/>
  <c r="Z17" i="24"/>
  <c r="Y17" i="24"/>
  <c r="X17" i="24"/>
  <c r="U17" i="24"/>
  <c r="T17" i="24"/>
  <c r="S17" i="24"/>
  <c r="R17" i="24"/>
  <c r="Q17" i="24"/>
  <c r="P17" i="24"/>
  <c r="O17" i="24"/>
  <c r="N17" i="24"/>
  <c r="M17" i="24"/>
  <c r="L17" i="24"/>
  <c r="K17" i="24"/>
  <c r="J17" i="24"/>
  <c r="I17" i="24"/>
  <c r="H17" i="24"/>
  <c r="AK16" i="24"/>
  <c r="AJ16" i="24"/>
  <c r="AI16" i="24"/>
  <c r="AH16" i="24"/>
  <c r="AG16" i="24"/>
  <c r="AF16" i="24"/>
  <c r="AE16" i="24"/>
  <c r="AD16" i="24"/>
  <c r="AC16" i="24"/>
  <c r="AB16" i="24"/>
  <c r="AA16" i="24"/>
  <c r="Z16" i="24"/>
  <c r="Y16" i="24"/>
  <c r="X16" i="24"/>
  <c r="U16" i="24"/>
  <c r="T16" i="24"/>
  <c r="F16" i="24" s="1"/>
  <c r="G16" i="24" s="1"/>
  <c r="S16" i="24"/>
  <c r="R16" i="24"/>
  <c r="Q16" i="24"/>
  <c r="P16" i="24"/>
  <c r="O16" i="24"/>
  <c r="N16" i="24"/>
  <c r="M16" i="24"/>
  <c r="L16" i="24"/>
  <c r="K16" i="24"/>
  <c r="J16" i="24"/>
  <c r="I16" i="24"/>
  <c r="H16" i="24"/>
  <c r="C16" i="24"/>
  <c r="B16" i="24"/>
  <c r="U15" i="24"/>
  <c r="T15" i="24"/>
  <c r="S15" i="24"/>
  <c r="R15" i="24"/>
  <c r="Q15" i="24"/>
  <c r="P15" i="24"/>
  <c r="O15" i="24"/>
  <c r="N15" i="24"/>
  <c r="M15" i="24"/>
  <c r="L15" i="24"/>
  <c r="K15" i="24"/>
  <c r="J15" i="24"/>
  <c r="I15" i="24"/>
  <c r="H15" i="24"/>
  <c r="U14" i="24"/>
  <c r="T14" i="24"/>
  <c r="S14" i="24"/>
  <c r="R14" i="24"/>
  <c r="Q14" i="24"/>
  <c r="P14" i="24"/>
  <c r="O14" i="24"/>
  <c r="N14" i="24"/>
  <c r="M14" i="24"/>
  <c r="L14" i="24"/>
  <c r="K14" i="24"/>
  <c r="J14" i="24"/>
  <c r="I14" i="24"/>
  <c r="H14" i="24"/>
  <c r="F14" i="24"/>
  <c r="E14" i="24"/>
  <c r="G14" i="24" s="1"/>
  <c r="AK13" i="24"/>
  <c r="AJ13" i="24"/>
  <c r="AI13" i="24"/>
  <c r="AH13" i="24"/>
  <c r="AH61" i="24" s="1"/>
  <c r="AG13" i="24"/>
  <c r="AF13" i="24"/>
  <c r="AE13" i="24"/>
  <c r="AD13" i="24"/>
  <c r="AD61" i="24" s="1"/>
  <c r="AC13" i="24"/>
  <c r="AB13" i="24"/>
  <c r="AA13" i="24"/>
  <c r="Z13" i="24"/>
  <c r="Z61" i="24" s="1"/>
  <c r="Y13" i="24"/>
  <c r="X13" i="24"/>
  <c r="U13" i="24"/>
  <c r="T13" i="24"/>
  <c r="T61" i="24" s="1"/>
  <c r="S13" i="24"/>
  <c r="R13" i="24"/>
  <c r="Q13" i="24"/>
  <c r="P13" i="24"/>
  <c r="O13" i="24"/>
  <c r="N13" i="24"/>
  <c r="M13" i="24"/>
  <c r="L13" i="24"/>
  <c r="L61" i="24" s="1"/>
  <c r="K13" i="24"/>
  <c r="J13" i="24"/>
  <c r="I13" i="24"/>
  <c r="H13" i="24"/>
  <c r="H61" i="24" s="1"/>
  <c r="AK12" i="24"/>
  <c r="AJ12" i="24"/>
  <c r="AI12" i="24"/>
  <c r="AH12" i="24"/>
  <c r="AG12" i="24"/>
  <c r="AF12" i="24"/>
  <c r="AE12" i="24"/>
  <c r="AD12" i="24"/>
  <c r="AC12" i="24"/>
  <c r="AB12" i="24"/>
  <c r="AA12" i="24"/>
  <c r="Z12" i="24"/>
  <c r="Y12" i="24"/>
  <c r="X12" i="24"/>
  <c r="U12" i="24"/>
  <c r="T12" i="24"/>
  <c r="F12" i="24" s="1"/>
  <c r="S12" i="24"/>
  <c r="R12" i="24"/>
  <c r="Q12" i="24"/>
  <c r="P12" i="24"/>
  <c r="P55" i="24" s="1"/>
  <c r="O12" i="24"/>
  <c r="N12" i="24"/>
  <c r="M12" i="24"/>
  <c r="L12" i="24"/>
  <c r="L60" i="24" s="1"/>
  <c r="K12" i="24"/>
  <c r="J12" i="24"/>
  <c r="I12" i="24"/>
  <c r="H12" i="24"/>
  <c r="H55" i="24" s="1"/>
  <c r="AK11" i="24"/>
  <c r="AJ11" i="24"/>
  <c r="AI11" i="24"/>
  <c r="AH11" i="24"/>
  <c r="AG11" i="24"/>
  <c r="AF11" i="24"/>
  <c r="AE11" i="24"/>
  <c r="AD11" i="24"/>
  <c r="AC11" i="24"/>
  <c r="AB11" i="24"/>
  <c r="AA11" i="24"/>
  <c r="Z11" i="24"/>
  <c r="Y11" i="24"/>
  <c r="X11" i="24"/>
  <c r="U11" i="24"/>
  <c r="T11" i="24"/>
  <c r="S11" i="24"/>
  <c r="R11" i="24"/>
  <c r="Q11" i="24"/>
  <c r="P11" i="24"/>
  <c r="P59" i="24" s="1"/>
  <c r="O11" i="24"/>
  <c r="N11" i="24"/>
  <c r="M11" i="24"/>
  <c r="L11" i="24"/>
  <c r="L54" i="24" s="1"/>
  <c r="K11" i="24"/>
  <c r="J11" i="24"/>
  <c r="I11" i="24"/>
  <c r="H11" i="24"/>
  <c r="H59" i="24" s="1"/>
  <c r="AK10" i="24"/>
  <c r="AJ10" i="24"/>
  <c r="AI10" i="24"/>
  <c r="AH10" i="24"/>
  <c r="AH58" i="24" s="1"/>
  <c r="AG10" i="24"/>
  <c r="AF10" i="24"/>
  <c r="AE10" i="24"/>
  <c r="AD10" i="24"/>
  <c r="AD58" i="24" s="1"/>
  <c r="AC10" i="24"/>
  <c r="AB10" i="24"/>
  <c r="AA10" i="24"/>
  <c r="Z10" i="24"/>
  <c r="Y10" i="24"/>
  <c r="X10" i="24"/>
  <c r="U10" i="24"/>
  <c r="T10" i="24"/>
  <c r="T58" i="24" s="1"/>
  <c r="S10" i="24"/>
  <c r="R10" i="24"/>
  <c r="Q10" i="24"/>
  <c r="P10" i="24"/>
  <c r="P58" i="24" s="1"/>
  <c r="O10" i="24"/>
  <c r="N10" i="24"/>
  <c r="M10" i="24"/>
  <c r="L10" i="24"/>
  <c r="L58" i="24" s="1"/>
  <c r="K10" i="24"/>
  <c r="J10" i="24"/>
  <c r="I10" i="24"/>
  <c r="H10" i="24"/>
  <c r="H53" i="24" s="1"/>
  <c r="C10" i="24"/>
  <c r="B10" i="24"/>
  <c r="AI6" i="24"/>
  <c r="AH6" i="24"/>
  <c r="AH56" i="24" s="1"/>
  <c r="AG6" i="24"/>
  <c r="AF6" i="24"/>
  <c r="AE6" i="24"/>
  <c r="AD6" i="24"/>
  <c r="AD56" i="24" s="1"/>
  <c r="AC6" i="24"/>
  <c r="AB6" i="24"/>
  <c r="AA6" i="24"/>
  <c r="Z6" i="24"/>
  <c r="Y6" i="24"/>
  <c r="X6" i="24"/>
  <c r="S6" i="24"/>
  <c r="R6" i="24"/>
  <c r="R56" i="24" s="1"/>
  <c r="Q6" i="24"/>
  <c r="P6" i="24"/>
  <c r="O6" i="24"/>
  <c r="N6" i="24"/>
  <c r="N56" i="24" s="1"/>
  <c r="M6" i="24"/>
  <c r="L6" i="24"/>
  <c r="K6" i="24"/>
  <c r="J6" i="24"/>
  <c r="T6" i="24" s="1"/>
  <c r="T56" i="24" s="1"/>
  <c r="I6" i="24"/>
  <c r="H6" i="24"/>
  <c r="AI5" i="24"/>
  <c r="AH5" i="24"/>
  <c r="AG5" i="24"/>
  <c r="AF5" i="24"/>
  <c r="AE5" i="24"/>
  <c r="AD5" i="24"/>
  <c r="AC5" i="24"/>
  <c r="AB5" i="24"/>
  <c r="AA5" i="24"/>
  <c r="Z5" i="24"/>
  <c r="Y5" i="24"/>
  <c r="X5" i="24"/>
  <c r="S5" i="24"/>
  <c r="R5" i="24"/>
  <c r="Q5" i="24"/>
  <c r="P5" i="24"/>
  <c r="O5" i="24"/>
  <c r="N5" i="24"/>
  <c r="N55" i="24" s="1"/>
  <c r="M5" i="24"/>
  <c r="L5" i="24"/>
  <c r="K5" i="24"/>
  <c r="J5" i="24"/>
  <c r="J55" i="24" s="1"/>
  <c r="I5" i="24"/>
  <c r="H5" i="24"/>
  <c r="AI4" i="24"/>
  <c r="AH4" i="24"/>
  <c r="AG4" i="24"/>
  <c r="AF4" i="24"/>
  <c r="AE4" i="24"/>
  <c r="AD4" i="24"/>
  <c r="AC4" i="24"/>
  <c r="AB4" i="24"/>
  <c r="AA4" i="24"/>
  <c r="AA54" i="24" s="1"/>
  <c r="Z4" i="24"/>
  <c r="Y4" i="24"/>
  <c r="X4" i="24"/>
  <c r="S4" i="24"/>
  <c r="R4" i="24"/>
  <c r="R54" i="24" s="1"/>
  <c r="Q4" i="24"/>
  <c r="P4" i="24"/>
  <c r="O4" i="24"/>
  <c r="N4" i="24"/>
  <c r="N54" i="24" s="1"/>
  <c r="M4" i="24"/>
  <c r="L4" i="24"/>
  <c r="K4" i="24"/>
  <c r="J4" i="24"/>
  <c r="J54" i="24" s="1"/>
  <c r="I4" i="24"/>
  <c r="H4" i="24"/>
  <c r="AI3" i="24"/>
  <c r="AH3" i="24"/>
  <c r="AH53" i="24" s="1"/>
  <c r="AG3" i="24"/>
  <c r="AF3" i="24"/>
  <c r="AE3" i="24"/>
  <c r="AD3" i="24"/>
  <c r="AD53" i="24" s="1"/>
  <c r="AC3" i="24"/>
  <c r="AB3" i="24"/>
  <c r="AA3" i="24"/>
  <c r="Z3" i="24"/>
  <c r="Z53" i="24" s="1"/>
  <c r="Y3" i="24"/>
  <c r="X3" i="24"/>
  <c r="S3" i="24"/>
  <c r="R3" i="24"/>
  <c r="R53" i="24" s="1"/>
  <c r="Q3" i="24"/>
  <c r="P3" i="24"/>
  <c r="O3" i="24"/>
  <c r="N3" i="24"/>
  <c r="N53" i="24" s="1"/>
  <c r="M3" i="24"/>
  <c r="L3" i="24"/>
  <c r="K3" i="24"/>
  <c r="J3" i="24"/>
  <c r="J53" i="24" s="1"/>
  <c r="I3" i="24"/>
  <c r="H3" i="24"/>
  <c r="C101" i="24"/>
  <c r="R80" i="24"/>
  <c r="C79" i="24"/>
  <c r="R75" i="24"/>
  <c r="W61" i="24"/>
  <c r="P61" i="24"/>
  <c r="F61" i="24"/>
  <c r="E61" i="24"/>
  <c r="AK60" i="24"/>
  <c r="AG60" i="24"/>
  <c r="AC60" i="24"/>
  <c r="Y60" i="24"/>
  <c r="W60" i="24"/>
  <c r="E60" i="24"/>
  <c r="AK59" i="24"/>
  <c r="AG59" i="24"/>
  <c r="AC59" i="24"/>
  <c r="Y59" i="24"/>
  <c r="W59" i="24"/>
  <c r="T59" i="24"/>
  <c r="F59" i="24"/>
  <c r="E59" i="24"/>
  <c r="AK58" i="24"/>
  <c r="AG58" i="24"/>
  <c r="AC58" i="24"/>
  <c r="Y58" i="24"/>
  <c r="W58" i="24"/>
  <c r="H58" i="24"/>
  <c r="E58" i="24"/>
  <c r="E56" i="24"/>
  <c r="E55" i="24"/>
  <c r="AI54" i="24"/>
  <c r="AE54" i="24"/>
  <c r="E54" i="24"/>
  <c r="E53" i="24"/>
  <c r="G51" i="24"/>
  <c r="G49" i="24"/>
  <c r="F48" i="24"/>
  <c r="G48" i="24" s="1"/>
  <c r="G47" i="24"/>
  <c r="G45" i="24"/>
  <c r="G43" i="24"/>
  <c r="V41" i="24"/>
  <c r="G41" i="24"/>
  <c r="C93" i="24"/>
  <c r="G39" i="24"/>
  <c r="G37" i="24"/>
  <c r="V35" i="24"/>
  <c r="G35" i="24"/>
  <c r="C89" i="24"/>
  <c r="G33" i="24"/>
  <c r="G31" i="24"/>
  <c r="V29" i="24"/>
  <c r="G29" i="24"/>
  <c r="G27" i="24"/>
  <c r="G26" i="24"/>
  <c r="AK61" i="24"/>
  <c r="AG61" i="24"/>
  <c r="AC56" i="24"/>
  <c r="Y56" i="24"/>
  <c r="K56" i="24"/>
  <c r="G25" i="24"/>
  <c r="P60" i="24"/>
  <c r="G23" i="24"/>
  <c r="F22" i="24"/>
  <c r="G22" i="24" s="1"/>
  <c r="G21" i="24"/>
  <c r="G19" i="24"/>
  <c r="V17" i="24"/>
  <c r="I54" i="24"/>
  <c r="G17" i="24"/>
  <c r="C77" i="24"/>
  <c r="A16" i="24"/>
  <c r="A22" i="24" s="1"/>
  <c r="A28" i="24" s="1"/>
  <c r="A34" i="24" s="1"/>
  <c r="A40" i="24" s="1"/>
  <c r="A46" i="24" s="1"/>
  <c r="G15" i="24"/>
  <c r="AJ61" i="24"/>
  <c r="AI61" i="24"/>
  <c r="AG56" i="24"/>
  <c r="AF61" i="24"/>
  <c r="AE61" i="24"/>
  <c r="AC61" i="24"/>
  <c r="AB61" i="24"/>
  <c r="AA61" i="24"/>
  <c r="Y61" i="24"/>
  <c r="X61" i="24"/>
  <c r="U61" i="24"/>
  <c r="R61" i="24"/>
  <c r="Q61" i="24"/>
  <c r="O56" i="24"/>
  <c r="N61" i="24"/>
  <c r="M61" i="24"/>
  <c r="J61" i="24"/>
  <c r="I61" i="24"/>
  <c r="G13" i="24"/>
  <c r="AK55" i="24"/>
  <c r="AJ60" i="24"/>
  <c r="AI60" i="24"/>
  <c r="AF60" i="24"/>
  <c r="AE60" i="24"/>
  <c r="AB60" i="24"/>
  <c r="AA60" i="24"/>
  <c r="X60" i="24"/>
  <c r="U60" i="24"/>
  <c r="S60" i="24"/>
  <c r="R60" i="24"/>
  <c r="Q60" i="24"/>
  <c r="O60" i="24"/>
  <c r="N60" i="24"/>
  <c r="M60" i="24"/>
  <c r="K60" i="24"/>
  <c r="J60" i="24"/>
  <c r="I60" i="24"/>
  <c r="AK54" i="24"/>
  <c r="AJ59" i="24"/>
  <c r="AI59" i="24"/>
  <c r="AF59" i="24"/>
  <c r="AE59" i="24"/>
  <c r="AB59" i="24"/>
  <c r="AA59" i="24"/>
  <c r="X59" i="24"/>
  <c r="U59" i="24"/>
  <c r="S59" i="24"/>
  <c r="R59" i="24"/>
  <c r="Q59" i="24"/>
  <c r="O59" i="24"/>
  <c r="N59" i="24"/>
  <c r="M59" i="24"/>
  <c r="K59" i="24"/>
  <c r="J59" i="24"/>
  <c r="I59" i="24"/>
  <c r="G11" i="24"/>
  <c r="G59" i="24" s="1"/>
  <c r="AK53" i="24"/>
  <c r="AJ58" i="24"/>
  <c r="AI58" i="24"/>
  <c r="AF58" i="24"/>
  <c r="AE58" i="24"/>
  <c r="AB58" i="24"/>
  <c r="AA58" i="24"/>
  <c r="Z58" i="24"/>
  <c r="X58" i="24"/>
  <c r="U53" i="24"/>
  <c r="S58" i="24"/>
  <c r="R58" i="24"/>
  <c r="Q58" i="24"/>
  <c r="O58" i="24"/>
  <c r="N58" i="24"/>
  <c r="M58" i="24"/>
  <c r="K58" i="24"/>
  <c r="J58" i="24"/>
  <c r="I58" i="24"/>
  <c r="C73" i="24"/>
  <c r="E8" i="24"/>
  <c r="AI56" i="24"/>
  <c r="AF56" i="24"/>
  <c r="AE56" i="24"/>
  <c r="AB56" i="24"/>
  <c r="AA56" i="24"/>
  <c r="Z56" i="24"/>
  <c r="X56" i="24"/>
  <c r="Q56" i="24"/>
  <c r="P56" i="24"/>
  <c r="M56" i="24"/>
  <c r="J56" i="24"/>
  <c r="I56" i="24"/>
  <c r="AI55" i="24"/>
  <c r="AH55" i="24"/>
  <c r="AG55" i="24"/>
  <c r="AF55" i="24"/>
  <c r="AE55" i="24"/>
  <c r="AD55" i="24"/>
  <c r="AC55" i="24"/>
  <c r="AB55" i="24"/>
  <c r="AA55" i="24"/>
  <c r="Z55" i="24"/>
  <c r="Y55" i="24"/>
  <c r="X55" i="24"/>
  <c r="S55" i="24"/>
  <c r="R55" i="24"/>
  <c r="Q55" i="24"/>
  <c r="O55" i="24"/>
  <c r="M55" i="24"/>
  <c r="K55" i="24"/>
  <c r="I55" i="24"/>
  <c r="AG54" i="24"/>
  <c r="AF54" i="24"/>
  <c r="AC54" i="24"/>
  <c r="AB54" i="24"/>
  <c r="Y54" i="24"/>
  <c r="X54" i="24"/>
  <c r="S54" i="24"/>
  <c r="Q54" i="24"/>
  <c r="O54" i="24"/>
  <c r="M54" i="24"/>
  <c r="K54" i="24"/>
  <c r="AI53" i="24"/>
  <c r="AG53" i="24"/>
  <c r="AF53" i="24"/>
  <c r="AE53" i="24"/>
  <c r="AC53" i="24"/>
  <c r="AB53" i="24"/>
  <c r="AA53" i="24"/>
  <c r="Y53" i="24"/>
  <c r="X53" i="24"/>
  <c r="S53" i="24"/>
  <c r="Q53" i="24"/>
  <c r="O53" i="24"/>
  <c r="M53" i="24"/>
  <c r="K53" i="24"/>
  <c r="I53" i="24"/>
  <c r="L53" i="24" l="1"/>
  <c r="P53" i="24"/>
  <c r="F10" i="24"/>
  <c r="H60" i="24"/>
  <c r="L56" i="24"/>
  <c r="L59" i="24"/>
  <c r="P54" i="24"/>
  <c r="AJ3" i="24"/>
  <c r="AJ53" i="24" s="1"/>
  <c r="H54" i="24"/>
  <c r="T4" i="24"/>
  <c r="AJ4" i="24"/>
  <c r="AJ54" i="24" s="1"/>
  <c r="C81" i="24"/>
  <c r="C104" i="24" s="1"/>
  <c r="T60" i="24"/>
  <c r="R74" i="24"/>
  <c r="U6" i="24"/>
  <c r="U56" i="24" s="1"/>
  <c r="G10" i="24"/>
  <c r="G58" i="24" s="1"/>
  <c r="F58" i="24"/>
  <c r="G20" i="24"/>
  <c r="L55" i="24"/>
  <c r="R77" i="24"/>
  <c r="R78" i="24"/>
  <c r="T5" i="24"/>
  <c r="T55" i="24" s="1"/>
  <c r="T3" i="24"/>
  <c r="T53" i="24" s="1"/>
  <c r="Z54" i="24"/>
  <c r="AD54" i="24"/>
  <c r="AH54" i="24"/>
  <c r="V11" i="24"/>
  <c r="Z59" i="24"/>
  <c r="AD59" i="24"/>
  <c r="AH59" i="24"/>
  <c r="G12" i="24"/>
  <c r="G60" i="24" s="1"/>
  <c r="F60" i="24"/>
  <c r="Z60" i="24"/>
  <c r="AD60" i="24"/>
  <c r="AH60" i="24"/>
  <c r="G61" i="24"/>
  <c r="K61" i="24"/>
  <c r="O61" i="24"/>
  <c r="S61" i="24"/>
  <c r="S56" i="24"/>
  <c r="D104" i="24"/>
  <c r="AJ6" i="24"/>
  <c r="U55" i="24"/>
  <c r="H56" i="24"/>
  <c r="U58" i="24"/>
  <c r="AJ5" i="24"/>
  <c r="AJ55" i="24" s="1"/>
  <c r="T54" i="24" l="1"/>
  <c r="U4" i="24"/>
  <c r="U54" i="24" s="1"/>
  <c r="AJ56" i="24"/>
  <c r="AK6" i="24"/>
  <c r="AK56" i="24" s="1"/>
  <c r="B8" i="23" l="1"/>
  <c r="B7" i="23"/>
  <c r="B6" i="23"/>
  <c r="B5" i="23"/>
  <c r="B4" i="23"/>
  <c r="B3" i="23"/>
  <c r="B2" i="23"/>
  <c r="B1" i="23"/>
  <c r="AC23" i="7"/>
  <c r="AT20" i="17"/>
  <c r="H35" i="8"/>
  <c r="AT16" i="17"/>
  <c r="AL15" i="17"/>
  <c r="AT13" i="17"/>
  <c r="P35" i="6"/>
  <c r="H35" i="6"/>
  <c r="H35" i="5"/>
  <c r="AE34" i="1"/>
  <c r="P35" i="1"/>
  <c r="AE34" i="3"/>
  <c r="BB19" i="17"/>
  <c r="C16" i="15" l="1"/>
  <c r="O25" i="4"/>
  <c r="P25" i="4" s="1"/>
  <c r="O24" i="4"/>
  <c r="O23" i="4"/>
  <c r="O25" i="3"/>
  <c r="P25" i="3" s="1"/>
  <c r="AE34" i="5" l="1"/>
  <c r="AK18" i="17" l="1"/>
  <c r="B25" i="16"/>
  <c r="P30" i="1"/>
  <c r="D24" i="8"/>
  <c r="E24" i="7" l="1"/>
  <c r="D24" i="6"/>
  <c r="E24" i="5"/>
  <c r="E24" i="4"/>
  <c r="D24" i="3"/>
  <c r="F24" i="1"/>
  <c r="D24" i="1"/>
  <c r="G19" i="18" l="1"/>
  <c r="F19" i="18"/>
  <c r="E19" i="18"/>
  <c r="D19" i="18"/>
  <c r="C19" i="18"/>
  <c r="AS67" i="21"/>
  <c r="AS70" i="21"/>
  <c r="AS81" i="21"/>
  <c r="AS75" i="21"/>
  <c r="AS76" i="21"/>
  <c r="AS77" i="21"/>
  <c r="E25" i="5" l="1"/>
  <c r="E25" i="4"/>
  <c r="E25" i="8"/>
  <c r="E25" i="7"/>
  <c r="E25" i="6"/>
  <c r="E25" i="3"/>
  <c r="F12" i="19" l="1"/>
  <c r="F47" i="8"/>
  <c r="E25" i="1"/>
  <c r="C58" i="15" l="1"/>
  <c r="C29" i="15"/>
  <c r="AV20" i="17" l="1"/>
  <c r="AV19" i="17"/>
  <c r="AV18" i="17" l="1"/>
  <c r="AJ18" i="17"/>
  <c r="AV14" i="17"/>
  <c r="AV13" i="17"/>
  <c r="U7" i="20" l="1"/>
  <c r="U4" i="20"/>
  <c r="V6" i="20" s="1"/>
  <c r="E34" i="18" l="1"/>
  <c r="F34" i="18"/>
  <c r="G34" i="18"/>
  <c r="H34" i="18"/>
  <c r="I34" i="18"/>
  <c r="J34" i="18"/>
  <c r="K34" i="18"/>
  <c r="L34" i="18"/>
  <c r="M34" i="18"/>
  <c r="D34" i="18"/>
  <c r="P36" i="18" l="1"/>
  <c r="P37" i="18"/>
  <c r="P38" i="18"/>
  <c r="D35" i="18"/>
  <c r="P35" i="18" s="1"/>
  <c r="P32" i="18"/>
  <c r="P31" i="18"/>
  <c r="P30" i="18"/>
  <c r="P29" i="18"/>
  <c r="P28" i="18"/>
  <c r="P27" i="18"/>
  <c r="P26" i="18"/>
  <c r="P25" i="18"/>
  <c r="P35" i="3"/>
  <c r="E12" i="19" l="1"/>
  <c r="F13" i="19" s="1"/>
  <c r="G13" i="19" s="1"/>
  <c r="G12" i="19"/>
  <c r="H12" i="19"/>
  <c r="I12" i="19"/>
  <c r="J12" i="19"/>
  <c r="K12" i="19"/>
  <c r="L12" i="19"/>
  <c r="M12" i="19"/>
  <c r="N12" i="19"/>
  <c r="O12" i="19"/>
  <c r="P12" i="19"/>
  <c r="Q12" i="19"/>
  <c r="D12" i="19"/>
  <c r="C12" i="19"/>
  <c r="BZ88" i="21" l="1"/>
  <c r="BY88" i="21"/>
  <c r="BX88" i="21"/>
  <c r="BW88" i="21"/>
  <c r="BV88" i="21"/>
  <c r="BU88" i="21"/>
  <c r="BT88" i="21"/>
  <c r="BS88" i="21"/>
  <c r="BR88" i="21"/>
  <c r="BQ88" i="21"/>
  <c r="BP88" i="21"/>
  <c r="BO88" i="21"/>
  <c r="BL88" i="21"/>
  <c r="BK88" i="21"/>
  <c r="BJ88" i="21"/>
  <c r="BI88" i="21"/>
  <c r="BH88" i="21"/>
  <c r="BG88" i="21"/>
  <c r="BF88" i="21"/>
  <c r="BE88" i="21"/>
  <c r="BD88" i="21"/>
  <c r="BC88" i="21"/>
  <c r="BB88" i="21"/>
  <c r="BA88" i="21"/>
  <c r="AZ88" i="21"/>
  <c r="AY88" i="21"/>
  <c r="AX88" i="21"/>
  <c r="AW88" i="21"/>
  <c r="AV88" i="21"/>
  <c r="AU88" i="21"/>
  <c r="AT88" i="21"/>
  <c r="AS88" i="21"/>
  <c r="AR88" i="21"/>
  <c r="AQ88" i="21"/>
  <c r="AP88" i="21"/>
  <c r="AO88" i="21"/>
  <c r="AM88" i="21"/>
  <c r="AL88" i="21"/>
  <c r="AK88" i="21"/>
  <c r="AJ88" i="21"/>
  <c r="AI88" i="21"/>
  <c r="AH88" i="21"/>
  <c r="AG88" i="21"/>
  <c r="AF88" i="21"/>
  <c r="AE88" i="21"/>
  <c r="AD88" i="21"/>
  <c r="AC88" i="21"/>
  <c r="AB88" i="21"/>
  <c r="Y88" i="21"/>
  <c r="X88" i="21"/>
  <c r="W88" i="21"/>
  <c r="V88" i="21"/>
  <c r="U88" i="21"/>
  <c r="T88" i="21"/>
  <c r="S88" i="21"/>
  <c r="R88" i="21"/>
  <c r="Q88" i="21"/>
  <c r="P88" i="21"/>
  <c r="O88" i="21"/>
  <c r="N88" i="21"/>
  <c r="M88" i="21"/>
  <c r="L88" i="21"/>
  <c r="K88" i="21"/>
  <c r="J88" i="21"/>
  <c r="I88" i="21"/>
  <c r="H88" i="21"/>
  <c r="G88" i="21"/>
  <c r="F88" i="21"/>
  <c r="E88" i="21"/>
  <c r="D88" i="21"/>
  <c r="C88" i="21"/>
  <c r="B88" i="21"/>
  <c r="BN87" i="21"/>
  <c r="BM87" i="21"/>
  <c r="AA87" i="21"/>
  <c r="Z87" i="21"/>
  <c r="BN86" i="21"/>
  <c r="BM86" i="21"/>
  <c r="AA86" i="21"/>
  <c r="Z86" i="21"/>
  <c r="BN85" i="21"/>
  <c r="BM85" i="21"/>
  <c r="AA85" i="21"/>
  <c r="Z85" i="21"/>
  <c r="BN84" i="21"/>
  <c r="BM84" i="21"/>
  <c r="AA84" i="21"/>
  <c r="Z84" i="21"/>
  <c r="BN83" i="21"/>
  <c r="BM83" i="21"/>
  <c r="AA83" i="21"/>
  <c r="Z83" i="21"/>
  <c r="BN82" i="21"/>
  <c r="BM82" i="21"/>
  <c r="AA82" i="21"/>
  <c r="Z82" i="21"/>
  <c r="BN81" i="21"/>
  <c r="BM81" i="21"/>
  <c r="AA81" i="21"/>
  <c r="Z81" i="21"/>
  <c r="BN80" i="21"/>
  <c r="BM80" i="21"/>
  <c r="AA80" i="21"/>
  <c r="Z80" i="21"/>
  <c r="BN79" i="21"/>
  <c r="BM79" i="21"/>
  <c r="AA79" i="21"/>
  <c r="Z79" i="21"/>
  <c r="BN78" i="21"/>
  <c r="BM78" i="21"/>
  <c r="AA78" i="21"/>
  <c r="Z78" i="21"/>
  <c r="BN77" i="21"/>
  <c r="BM77" i="21"/>
  <c r="AA77" i="21"/>
  <c r="Z77" i="21"/>
  <c r="BN76" i="21"/>
  <c r="BM76" i="21"/>
  <c r="AA76" i="21"/>
  <c r="Z76" i="21"/>
  <c r="BN75" i="21"/>
  <c r="BM75" i="21"/>
  <c r="AA75" i="21"/>
  <c r="Z75" i="21"/>
  <c r="BN74" i="21"/>
  <c r="BM74" i="21"/>
  <c r="AA74" i="21"/>
  <c r="Z74" i="21"/>
  <c r="BN73" i="21"/>
  <c r="BM73" i="21"/>
  <c r="AA73" i="21"/>
  <c r="Z73" i="21"/>
  <c r="BN72" i="21"/>
  <c r="BM72" i="21"/>
  <c r="AA72" i="21"/>
  <c r="Z72" i="21"/>
  <c r="BN71" i="21"/>
  <c r="BM71" i="21"/>
  <c r="AA71" i="21"/>
  <c r="Z71" i="21"/>
  <c r="BN70" i="21"/>
  <c r="BM70" i="21"/>
  <c r="AA70" i="21"/>
  <c r="Z70" i="21"/>
  <c r="BN69" i="21"/>
  <c r="BM69" i="21"/>
  <c r="AA69" i="21"/>
  <c r="Z69" i="21"/>
  <c r="BN68" i="21"/>
  <c r="BM68" i="21"/>
  <c r="AA68" i="21"/>
  <c r="Z68" i="21"/>
  <c r="BN67" i="21"/>
  <c r="BN88" i="21" s="1"/>
  <c r="BM67" i="21"/>
  <c r="AA67" i="21"/>
  <c r="Z67" i="21"/>
  <c r="BZ60" i="21"/>
  <c r="BY60" i="21"/>
  <c r="BX60" i="21"/>
  <c r="BW60" i="21"/>
  <c r="BV60" i="21"/>
  <c r="BU60" i="21"/>
  <c r="BT60" i="21"/>
  <c r="BS60" i="21"/>
  <c r="BR60" i="21"/>
  <c r="BQ60" i="21"/>
  <c r="BP60" i="21"/>
  <c r="BO60" i="21"/>
  <c r="BL60" i="21"/>
  <c r="BK60" i="21"/>
  <c r="BJ60" i="21"/>
  <c r="BI60" i="21"/>
  <c r="BH60" i="21"/>
  <c r="BG60" i="21"/>
  <c r="BF60" i="21"/>
  <c r="BE60" i="21"/>
  <c r="BD60" i="21"/>
  <c r="BC60" i="21"/>
  <c r="BB60" i="21"/>
  <c r="BA60" i="21"/>
  <c r="AZ60" i="21"/>
  <c r="AY60" i="21"/>
  <c r="AX60" i="21"/>
  <c r="AW60" i="21"/>
  <c r="AV60" i="21"/>
  <c r="AU60" i="21"/>
  <c r="AT60" i="21"/>
  <c r="AS60" i="21"/>
  <c r="AR60" i="21"/>
  <c r="AP60" i="21"/>
  <c r="AO60" i="21"/>
  <c r="AM60" i="21"/>
  <c r="AL60" i="21"/>
  <c r="AK60" i="21"/>
  <c r="AJ60" i="21"/>
  <c r="AI60" i="21"/>
  <c r="AH60" i="21"/>
  <c r="AG60" i="21"/>
  <c r="AF60" i="21"/>
  <c r="AE60" i="21"/>
  <c r="AD60" i="21"/>
  <c r="AC60" i="21"/>
  <c r="AB60" i="21"/>
  <c r="Y60" i="21"/>
  <c r="X60" i="21"/>
  <c r="W60" i="21"/>
  <c r="V60" i="21"/>
  <c r="U60" i="21"/>
  <c r="T60" i="21"/>
  <c r="S60" i="21"/>
  <c r="R60" i="21"/>
  <c r="Q60" i="21"/>
  <c r="P60" i="21"/>
  <c r="O60" i="21"/>
  <c r="N60" i="21"/>
  <c r="M60" i="21"/>
  <c r="L60" i="21"/>
  <c r="K60" i="21"/>
  <c r="J60" i="21"/>
  <c r="I60" i="21"/>
  <c r="H60" i="21"/>
  <c r="G60" i="21"/>
  <c r="F60" i="21"/>
  <c r="E60" i="21"/>
  <c r="D60" i="21"/>
  <c r="C60" i="21"/>
  <c r="B60" i="21"/>
  <c r="BN59" i="21"/>
  <c r="AA59" i="21"/>
  <c r="Z59" i="21"/>
  <c r="BN58" i="21"/>
  <c r="AA58" i="21"/>
  <c r="Z58" i="21"/>
  <c r="BN57" i="21"/>
  <c r="AA57" i="21"/>
  <c r="Z57" i="21"/>
  <c r="BN56" i="21"/>
  <c r="AA56" i="21"/>
  <c r="Z56" i="21"/>
  <c r="BN55" i="21"/>
  <c r="AA55" i="21"/>
  <c r="Z55" i="21"/>
  <c r="BN54" i="21"/>
  <c r="AA54" i="21"/>
  <c r="Z54" i="21"/>
  <c r="BN53" i="21"/>
  <c r="AA53" i="21"/>
  <c r="Z53" i="21"/>
  <c r="BN52" i="21"/>
  <c r="AA52" i="21"/>
  <c r="Z52" i="21"/>
  <c r="BN51" i="21"/>
  <c r="AA51" i="21"/>
  <c r="Z51" i="21"/>
  <c r="BN50" i="21"/>
  <c r="AA50" i="21"/>
  <c r="Z50" i="21"/>
  <c r="BN49" i="21"/>
  <c r="AA49" i="21"/>
  <c r="Z49" i="21"/>
  <c r="BN48" i="21"/>
  <c r="AA48" i="21"/>
  <c r="Z48" i="21"/>
  <c r="BN47" i="21"/>
  <c r="AA47" i="21"/>
  <c r="Z47" i="21"/>
  <c r="BN46" i="21"/>
  <c r="AA46" i="21"/>
  <c r="Z46" i="21"/>
  <c r="BN45" i="21"/>
  <c r="AA45" i="21"/>
  <c r="Z45" i="21"/>
  <c r="BN44" i="21"/>
  <c r="AA44" i="21"/>
  <c r="Z44" i="21"/>
  <c r="BN43" i="21"/>
  <c r="AA43" i="21"/>
  <c r="Z43" i="21"/>
  <c r="BN42" i="21"/>
  <c r="AA42" i="21"/>
  <c r="Z42" i="21"/>
  <c r="BN41" i="21"/>
  <c r="AA41" i="21"/>
  <c r="Z41" i="21"/>
  <c r="BN40" i="21"/>
  <c r="AA40" i="21"/>
  <c r="Z40" i="21"/>
  <c r="BN39" i="21"/>
  <c r="AA39" i="21"/>
  <c r="Z39" i="21"/>
  <c r="B35" i="21"/>
  <c r="BZ32" i="21"/>
  <c r="BY32" i="21"/>
  <c r="BX32" i="21"/>
  <c r="BW32" i="21"/>
  <c r="BV32" i="21"/>
  <c r="BU32" i="21"/>
  <c r="BT32" i="21"/>
  <c r="BS32" i="21"/>
  <c r="BR32" i="21"/>
  <c r="BQ32" i="21"/>
  <c r="BP32" i="21"/>
  <c r="BO32" i="21"/>
  <c r="BL32" i="21"/>
  <c r="BK32" i="21"/>
  <c r="BJ32" i="21"/>
  <c r="BI32" i="21"/>
  <c r="BH32" i="21"/>
  <c r="BG32" i="21"/>
  <c r="BF32" i="21"/>
  <c r="BE32" i="21"/>
  <c r="BD32" i="21"/>
  <c r="BC32" i="21"/>
  <c r="BB32" i="21"/>
  <c r="BA32" i="21"/>
  <c r="AZ32" i="21"/>
  <c r="AY32" i="21"/>
  <c r="AX32" i="21"/>
  <c r="AW32" i="21"/>
  <c r="AV32" i="21"/>
  <c r="AU32" i="21"/>
  <c r="AT32" i="21"/>
  <c r="AS32" i="21"/>
  <c r="AR32" i="21"/>
  <c r="AQ32" i="21"/>
  <c r="AP32" i="21"/>
  <c r="AO32" i="21"/>
  <c r="AM32" i="21"/>
  <c r="AL32" i="21"/>
  <c r="AK32" i="21"/>
  <c r="AJ32" i="21"/>
  <c r="AI32" i="21"/>
  <c r="AH32" i="21"/>
  <c r="AG32" i="21"/>
  <c r="AF32" i="21"/>
  <c r="AE32" i="21"/>
  <c r="AD32" i="21"/>
  <c r="AC32" i="21"/>
  <c r="AB32" i="21"/>
  <c r="Y32" i="21"/>
  <c r="X32" i="21"/>
  <c r="W32" i="21"/>
  <c r="V32" i="21"/>
  <c r="U32" i="21"/>
  <c r="T32" i="21"/>
  <c r="S32" i="21"/>
  <c r="R32" i="21"/>
  <c r="Q32" i="21"/>
  <c r="P32" i="21"/>
  <c r="O32" i="21"/>
  <c r="N32" i="21"/>
  <c r="M32" i="21"/>
  <c r="L32" i="21"/>
  <c r="K32" i="21"/>
  <c r="J32" i="21"/>
  <c r="I32" i="21"/>
  <c r="H32" i="21"/>
  <c r="G32" i="21"/>
  <c r="F32" i="21"/>
  <c r="E32" i="21"/>
  <c r="D32" i="21"/>
  <c r="C32" i="21"/>
  <c r="B32" i="21"/>
  <c r="BN31" i="21"/>
  <c r="BM31" i="21"/>
  <c r="AA31" i="21"/>
  <c r="Z31" i="21"/>
  <c r="BN30" i="21"/>
  <c r="BM30" i="21"/>
  <c r="AA30" i="21"/>
  <c r="Z30" i="21"/>
  <c r="BN29" i="21"/>
  <c r="BM29" i="21"/>
  <c r="AA29" i="21"/>
  <c r="Z29" i="21"/>
  <c r="BN28" i="21"/>
  <c r="BM28" i="21"/>
  <c r="AA28" i="21"/>
  <c r="Z28" i="21"/>
  <c r="BN27" i="21"/>
  <c r="BM27" i="21"/>
  <c r="AA27" i="21"/>
  <c r="Z27" i="21"/>
  <c r="BN26" i="21"/>
  <c r="BM26" i="21"/>
  <c r="AA26" i="21"/>
  <c r="Z26" i="21"/>
  <c r="BN25" i="21"/>
  <c r="BM25" i="21"/>
  <c r="AA25" i="21"/>
  <c r="Z25" i="21"/>
  <c r="BN24" i="21"/>
  <c r="BM24" i="21"/>
  <c r="AA24" i="21"/>
  <c r="Z24" i="21"/>
  <c r="BN23" i="21"/>
  <c r="BM23" i="21"/>
  <c r="AA23" i="21"/>
  <c r="Z23" i="21"/>
  <c r="BN22" i="21"/>
  <c r="BM22" i="21"/>
  <c r="AA22" i="21"/>
  <c r="Z22" i="21"/>
  <c r="BN21" i="21"/>
  <c r="BM21" i="21"/>
  <c r="AA21" i="21"/>
  <c r="Z21" i="21"/>
  <c r="BN20" i="21"/>
  <c r="BM20" i="21"/>
  <c r="AA20" i="21"/>
  <c r="Z20" i="21"/>
  <c r="BN19" i="21"/>
  <c r="BM19" i="21"/>
  <c r="AA19" i="21"/>
  <c r="Z19" i="21"/>
  <c r="BN18" i="21"/>
  <c r="BM18" i="21"/>
  <c r="AA18" i="21"/>
  <c r="Z18" i="21"/>
  <c r="BN17" i="21"/>
  <c r="BM17" i="21"/>
  <c r="AA17" i="21"/>
  <c r="Z17" i="21"/>
  <c r="BN16" i="21"/>
  <c r="BM16" i="21"/>
  <c r="AA16" i="21"/>
  <c r="Z16" i="21"/>
  <c r="BN15" i="21"/>
  <c r="BM15" i="21"/>
  <c r="AA15" i="21"/>
  <c r="Z15" i="21"/>
  <c r="BN14" i="21"/>
  <c r="BM14" i="21"/>
  <c r="AA14" i="21"/>
  <c r="Z14" i="21"/>
  <c r="BN13" i="21"/>
  <c r="BM13" i="21"/>
  <c r="AA13" i="21"/>
  <c r="Z13" i="21"/>
  <c r="BN12" i="21"/>
  <c r="BM12" i="21"/>
  <c r="AA12" i="21"/>
  <c r="Z12" i="21"/>
  <c r="BN11" i="21"/>
  <c r="BM11" i="21"/>
  <c r="AA11" i="21"/>
  <c r="AA32" i="21" s="1"/>
  <c r="Z11" i="21"/>
  <c r="B7" i="21"/>
  <c r="BN60" i="21" l="1"/>
  <c r="AA88" i="21"/>
  <c r="Z32" i="21"/>
  <c r="BN32" i="21"/>
  <c r="Z88" i="21"/>
  <c r="Z60" i="21"/>
  <c r="AA60" i="21"/>
  <c r="BM88" i="21"/>
  <c r="BM32" i="21"/>
  <c r="F16" i="20" l="1"/>
  <c r="S8" i="20"/>
  <c r="T8" i="20" s="1"/>
  <c r="S5" i="20"/>
  <c r="T5" i="20" s="1"/>
  <c r="S6" i="20"/>
  <c r="T6" i="20" s="1"/>
  <c r="S7" i="20"/>
  <c r="T7" i="20" s="1"/>
  <c r="S9" i="20"/>
  <c r="T9" i="20" s="1"/>
  <c r="S10" i="20"/>
  <c r="T10" i="20" s="1"/>
  <c r="S11" i="20"/>
  <c r="T11" i="20" s="1"/>
  <c r="P16" i="20" l="1"/>
  <c r="O16" i="20"/>
  <c r="N16" i="20"/>
  <c r="M16" i="20"/>
  <c r="L16" i="20"/>
  <c r="K16" i="20"/>
  <c r="J16" i="20"/>
  <c r="I16" i="20"/>
  <c r="H16" i="20"/>
  <c r="G16" i="20"/>
  <c r="E16" i="20"/>
  <c r="D16" i="20"/>
  <c r="C16" i="20"/>
  <c r="S4" i="20"/>
  <c r="S3" i="20" s="1"/>
  <c r="O20" i="19"/>
  <c r="N20" i="19"/>
  <c r="M20" i="19"/>
  <c r="L20" i="19"/>
  <c r="K20" i="19"/>
  <c r="J20" i="19"/>
  <c r="I20" i="19"/>
  <c r="H20" i="19"/>
  <c r="G20" i="19"/>
  <c r="F20" i="19"/>
  <c r="E20" i="19"/>
  <c r="D20" i="19"/>
  <c r="C20" i="19"/>
  <c r="B20" i="19"/>
  <c r="R19" i="19"/>
  <c r="S19" i="19" s="1"/>
  <c r="R18" i="19"/>
  <c r="S18" i="19" s="1"/>
  <c r="S16" i="20" l="1"/>
  <c r="T4" i="20"/>
  <c r="T3" i="20" s="1"/>
  <c r="R20" i="19"/>
  <c r="S20" i="19"/>
  <c r="N7" i="16"/>
  <c r="N12" i="16"/>
  <c r="N11" i="16"/>
  <c r="T16" i="20" l="1"/>
  <c r="R4" i="19"/>
  <c r="S4" i="19" s="1"/>
  <c r="R5" i="19"/>
  <c r="S5" i="19" s="1"/>
  <c r="R6" i="19"/>
  <c r="S6" i="19" s="1"/>
  <c r="R7" i="19"/>
  <c r="S7" i="19" s="1"/>
  <c r="R8" i="19"/>
  <c r="S8" i="19" s="1"/>
  <c r="R9" i="19"/>
  <c r="S9" i="19" s="1"/>
  <c r="R10" i="19"/>
  <c r="S10" i="19" s="1"/>
  <c r="D47" i="6" l="1"/>
  <c r="E47" i="6" s="1"/>
  <c r="B12" i="19" l="1"/>
  <c r="R3" i="19"/>
  <c r="S3" i="19" s="1"/>
  <c r="S12" i="19" s="1"/>
  <c r="R12" i="19" l="1"/>
  <c r="R4" i="18"/>
  <c r="R5" i="18"/>
  <c r="R6" i="18"/>
  <c r="R7" i="18"/>
  <c r="R8" i="18"/>
  <c r="R9" i="18"/>
  <c r="R10" i="18"/>
  <c r="R11" i="18"/>
  <c r="R12" i="18"/>
  <c r="R13" i="18"/>
  <c r="R14" i="18"/>
  <c r="R15" i="18"/>
  <c r="R16" i="18"/>
  <c r="R17" i="18"/>
  <c r="R18" i="18"/>
  <c r="R3" i="18"/>
  <c r="G60" i="15"/>
  <c r="C110" i="15"/>
  <c r="R19" i="18" l="1"/>
  <c r="AI21" i="17"/>
  <c r="AI20" i="17"/>
  <c r="AI18" i="17"/>
  <c r="E35" i="6"/>
  <c r="AI13" i="17" s="1"/>
  <c r="P41" i="6" l="1"/>
  <c r="W31" i="17" l="1"/>
  <c r="U31" i="17"/>
  <c r="AT21" i="17"/>
  <c r="AY20" i="17"/>
  <c r="AT19" i="17"/>
  <c r="Q19" i="17"/>
  <c r="R19" i="17" s="1"/>
  <c r="AT18" i="17"/>
  <c r="AY18" i="17" s="1"/>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I14" i="17" s="1"/>
  <c r="AT14" i="17" s="1"/>
  <c r="AY14" i="17" s="1"/>
  <c r="AZ14" i="17" s="1"/>
  <c r="AH13" i="17"/>
  <c r="AY19" i="17" l="1"/>
  <c r="AZ19" i="17" s="1"/>
  <c r="AU16" i="17"/>
  <c r="AY16" i="17"/>
  <c r="AZ16" i="17" s="1"/>
  <c r="AU17" i="17"/>
  <c r="AY17" i="17"/>
  <c r="AZ17" i="17" s="1"/>
  <c r="AU21" i="17"/>
  <c r="AY21" i="17"/>
  <c r="AZ21" i="17" s="1"/>
  <c r="AU20" i="17"/>
  <c r="AZ20" i="17"/>
  <c r="AU18" i="17"/>
  <c r="AZ18" i="17"/>
  <c r="AU19" i="17"/>
  <c r="C3" i="15" l="1"/>
  <c r="C84" i="15"/>
  <c r="C85" i="15" s="1"/>
  <c r="C86" i="15" s="1"/>
  <c r="C32" i="15"/>
  <c r="C33" i="15" s="1"/>
  <c r="C34" i="15" s="1"/>
  <c r="Q51" i="6"/>
  <c r="C111" i="15" l="1"/>
  <c r="Q49" i="7" l="1"/>
  <c r="R49" i="7"/>
  <c r="Q48" i="4"/>
  <c r="R48" i="4"/>
  <c r="D50" i="7" l="1"/>
  <c r="E50" i="4"/>
  <c r="E35" i="4" s="1"/>
  <c r="F50" i="4"/>
  <c r="F35" i="4" s="1"/>
  <c r="G50" i="4"/>
  <c r="G35" i="4" s="1"/>
  <c r="H50" i="4"/>
  <c r="I50" i="4"/>
  <c r="J50" i="4"/>
  <c r="K50" i="4"/>
  <c r="L50" i="4"/>
  <c r="M50" i="4"/>
  <c r="N50" i="4"/>
  <c r="O50" i="4"/>
  <c r="A12" i="16" l="1"/>
  <c r="A11" i="16"/>
  <c r="A10" i="16"/>
  <c r="A9" i="16"/>
  <c r="A8" i="16"/>
  <c r="A7" i="16"/>
  <c r="A6" i="16"/>
  <c r="C81" i="15" l="1"/>
  <c r="C82" i="15" s="1"/>
  <c r="B74" i="15"/>
  <c r="B73" i="15"/>
  <c r="B72" i="15"/>
  <c r="B71" i="15"/>
  <c r="B70" i="15"/>
  <c r="B69" i="15"/>
  <c r="B68" i="15"/>
  <c r="B67" i="15"/>
  <c r="B66" i="15"/>
  <c r="B60" i="15"/>
  <c r="C4" i="15" l="1"/>
  <c r="C5" i="15" s="1"/>
  <c r="C6" i="15" s="1"/>
  <c r="Z24" i="3"/>
  <c r="X24" i="3"/>
  <c r="Y24" i="3"/>
  <c r="AB24" i="8"/>
  <c r="AC24" i="8" s="1"/>
  <c r="X22" i="8"/>
  <c r="U22" i="8"/>
  <c r="S22" i="8"/>
  <c r="AB24" i="7"/>
  <c r="X22" i="7"/>
  <c r="U22" i="7"/>
  <c r="T22" i="7"/>
  <c r="AB24" i="6"/>
  <c r="AB24" i="5"/>
  <c r="AC24" i="5" s="1"/>
  <c r="AC23" i="5"/>
  <c r="X22" i="5"/>
  <c r="V22" i="5"/>
  <c r="U22" i="5"/>
  <c r="AB24" i="4"/>
  <c r="AC24" i="4" s="1"/>
  <c r="AC23" i="4"/>
  <c r="X22" i="4"/>
  <c r="V22" i="4"/>
  <c r="U22" i="4"/>
  <c r="AC22" i="4" s="1"/>
  <c r="B8" i="16" s="1"/>
  <c r="AB24" i="1"/>
  <c r="AC24" i="1" s="1"/>
  <c r="AC23" i="1"/>
  <c r="AD23" i="1" s="1"/>
  <c r="AC22" i="1"/>
  <c r="B6" i="16" s="1"/>
  <c r="C9" i="16" l="1"/>
  <c r="AD23" i="4"/>
  <c r="C6" i="16"/>
  <c r="D6" i="16" s="1"/>
  <c r="C8" i="16"/>
  <c r="D8" i="16" s="1"/>
  <c r="AC22" i="5"/>
  <c r="B30" i="4"/>
  <c r="B9" i="16" l="1"/>
  <c r="B16" i="16" s="1"/>
  <c r="AD23" i="5"/>
  <c r="D9" i="16"/>
  <c r="F8" i="14"/>
  <c r="J7" i="14"/>
  <c r="F7" i="14"/>
  <c r="J6" i="14"/>
  <c r="F6" i="14"/>
  <c r="J5" i="14"/>
  <c r="F5" i="14"/>
  <c r="N4" i="14"/>
  <c r="J4" i="14"/>
  <c r="F4" i="14"/>
  <c r="N3" i="14"/>
  <c r="J3" i="14"/>
  <c r="F3" i="14"/>
  <c r="O48" i="8"/>
  <c r="N48" i="8"/>
  <c r="M48" i="8"/>
  <c r="L48" i="8"/>
  <c r="K48" i="8"/>
  <c r="J48" i="8"/>
  <c r="I48" i="8"/>
  <c r="H48" i="8"/>
  <c r="G48" i="8"/>
  <c r="G35" i="8" s="1"/>
  <c r="AK15" i="17" s="1"/>
  <c r="F48" i="8"/>
  <c r="F35" i="8" s="1"/>
  <c r="AJ15" i="17" s="1"/>
  <c r="E48" i="8"/>
  <c r="E35" i="8" s="1"/>
  <c r="AI15" i="17" s="1"/>
  <c r="D48" i="8"/>
  <c r="O47" i="8"/>
  <c r="O34" i="8" s="1"/>
  <c r="N47" i="8"/>
  <c r="N34" i="8" s="1"/>
  <c r="M47" i="8"/>
  <c r="M34" i="8" s="1"/>
  <c r="L47" i="8"/>
  <c r="L34" i="8" s="1"/>
  <c r="K47" i="8"/>
  <c r="K34" i="8" s="1"/>
  <c r="J47" i="8"/>
  <c r="J34" i="8" s="1"/>
  <c r="I47" i="8"/>
  <c r="I34" i="8" s="1"/>
  <c r="H47" i="8"/>
  <c r="H34" i="8" s="1"/>
  <c r="G47" i="8"/>
  <c r="G34" i="8" s="1"/>
  <c r="F34" i="8"/>
  <c r="E47" i="8"/>
  <c r="E34" i="8" s="1"/>
  <c r="D47" i="8"/>
  <c r="D34" i="8" s="1"/>
  <c r="P43" i="8"/>
  <c r="P42" i="8"/>
  <c r="P41" i="8"/>
  <c r="P40" i="8"/>
  <c r="P39" i="8"/>
  <c r="P38" i="8"/>
  <c r="B34" i="8"/>
  <c r="AC17" i="8" s="1"/>
  <c r="P30" i="8"/>
  <c r="AC25" i="8"/>
  <c r="AD25" i="8" s="1"/>
  <c r="O25" i="8"/>
  <c r="P25" i="8" s="1"/>
  <c r="O24" i="8"/>
  <c r="G12" i="16" s="1"/>
  <c r="AC23" i="8"/>
  <c r="AC22" i="8"/>
  <c r="B12" i="16" s="1"/>
  <c r="O22" i="8"/>
  <c r="D51" i="7"/>
  <c r="E51" i="7" s="1"/>
  <c r="E50" i="7"/>
  <c r="P45" i="7"/>
  <c r="P44" i="7"/>
  <c r="P43" i="7"/>
  <c r="P42" i="7"/>
  <c r="P41" i="7"/>
  <c r="P40" i="7"/>
  <c r="P39" i="7"/>
  <c r="P38" i="7"/>
  <c r="D34" i="7"/>
  <c r="B34" i="7"/>
  <c r="AC17" i="7" s="1"/>
  <c r="P30" i="7"/>
  <c r="AC25" i="7"/>
  <c r="O25" i="7"/>
  <c r="P25" i="7" s="1"/>
  <c r="AC24" i="7"/>
  <c r="O24" i="7"/>
  <c r="G11" i="16" s="1"/>
  <c r="O23" i="7"/>
  <c r="P23" i="7" s="1"/>
  <c r="AC22" i="7"/>
  <c r="B11" i="16" s="1"/>
  <c r="O22" i="7"/>
  <c r="D46" i="6"/>
  <c r="P40" i="6"/>
  <c r="P39" i="6"/>
  <c r="P38" i="6"/>
  <c r="B34" i="6"/>
  <c r="AC17" i="6" s="1"/>
  <c r="P30" i="6"/>
  <c r="AC25" i="6"/>
  <c r="O25" i="6"/>
  <c r="AC24" i="6"/>
  <c r="O24" i="6"/>
  <c r="G10" i="16" s="1"/>
  <c r="AC23" i="6"/>
  <c r="O23" i="6"/>
  <c r="P23" i="6" s="1"/>
  <c r="AC22" i="6"/>
  <c r="B10" i="16" s="1"/>
  <c r="O22" i="6"/>
  <c r="O48" i="5"/>
  <c r="N48" i="5"/>
  <c r="M48" i="5"/>
  <c r="L48" i="5"/>
  <c r="K48" i="5"/>
  <c r="J48" i="5"/>
  <c r="I48" i="5"/>
  <c r="H48" i="5"/>
  <c r="G48" i="5"/>
  <c r="G35" i="5" s="1"/>
  <c r="F48" i="5"/>
  <c r="F35" i="5" s="1"/>
  <c r="E48" i="5"/>
  <c r="E35" i="5" s="1"/>
  <c r="D48" i="5"/>
  <c r="O47" i="5"/>
  <c r="O34" i="5" s="1"/>
  <c r="N47" i="5"/>
  <c r="N34" i="5" s="1"/>
  <c r="M47" i="5"/>
  <c r="M34" i="5" s="1"/>
  <c r="L47" i="5"/>
  <c r="L34" i="5" s="1"/>
  <c r="K47" i="5"/>
  <c r="K34" i="5" s="1"/>
  <c r="J47" i="5"/>
  <c r="J34" i="5" s="1"/>
  <c r="I47" i="5"/>
  <c r="I34" i="5" s="1"/>
  <c r="H47" i="5"/>
  <c r="H34" i="5" s="1"/>
  <c r="G47" i="5"/>
  <c r="G34" i="5" s="1"/>
  <c r="F47" i="5"/>
  <c r="F34" i="5" s="1"/>
  <c r="E47" i="5"/>
  <c r="E34" i="5" s="1"/>
  <c r="D47" i="5"/>
  <c r="D34" i="5" s="1"/>
  <c r="P43" i="5"/>
  <c r="P42" i="5"/>
  <c r="P41" i="5"/>
  <c r="P40" i="5"/>
  <c r="P39" i="5"/>
  <c r="P38" i="5"/>
  <c r="B34" i="5"/>
  <c r="AC17" i="5" s="1"/>
  <c r="P30" i="5"/>
  <c r="AC25" i="5"/>
  <c r="AD25" i="5" s="1"/>
  <c r="O25" i="5"/>
  <c r="O24" i="5"/>
  <c r="G9" i="16" s="1"/>
  <c r="H9" i="16" s="1"/>
  <c r="O23" i="5"/>
  <c r="P23" i="5" s="1"/>
  <c r="O22" i="5"/>
  <c r="D50" i="4"/>
  <c r="D35" i="4" s="1"/>
  <c r="P35" i="4" s="1"/>
  <c r="O49" i="4"/>
  <c r="O34" i="4" s="1"/>
  <c r="N49" i="4"/>
  <c r="N34" i="4" s="1"/>
  <c r="M49" i="4"/>
  <c r="M34" i="4" s="1"/>
  <c r="L49" i="4"/>
  <c r="L34" i="4" s="1"/>
  <c r="K49" i="4"/>
  <c r="K34" i="4" s="1"/>
  <c r="J49" i="4"/>
  <c r="J34" i="4" s="1"/>
  <c r="I49" i="4"/>
  <c r="I34" i="4" s="1"/>
  <c r="H49" i="4"/>
  <c r="H34" i="4" s="1"/>
  <c r="G49" i="4"/>
  <c r="G34" i="4" s="1"/>
  <c r="F49" i="4"/>
  <c r="F34" i="4" s="1"/>
  <c r="E49" i="4"/>
  <c r="E34" i="4" s="1"/>
  <c r="D49" i="4"/>
  <c r="D34" i="4" s="1"/>
  <c r="P43" i="4"/>
  <c r="P42" i="4"/>
  <c r="P41" i="4"/>
  <c r="P40" i="4"/>
  <c r="P39" i="4"/>
  <c r="P38" i="4"/>
  <c r="B34" i="4"/>
  <c r="AC17" i="4" s="1"/>
  <c r="P30" i="4"/>
  <c r="C48" i="4"/>
  <c r="AC25" i="4"/>
  <c r="G8" i="16"/>
  <c r="P23" i="4"/>
  <c r="O22" i="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4" i="3"/>
  <c r="B34" i="3"/>
  <c r="AC17" i="3" s="1"/>
  <c r="P30" i="3"/>
  <c r="AC25" i="3"/>
  <c r="AB24" i="3"/>
  <c r="AC24" i="3" s="1"/>
  <c r="O24" i="3"/>
  <c r="G7" i="16" s="1"/>
  <c r="H7" i="16" s="1"/>
  <c r="AC23" i="3"/>
  <c r="AD23" i="3" s="1"/>
  <c r="O23" i="3"/>
  <c r="P23" i="3" s="1"/>
  <c r="AC22" i="3"/>
  <c r="B7" i="16" s="1"/>
  <c r="O22" i="3"/>
  <c r="P39" i="2"/>
  <c r="P38" i="2"/>
  <c r="P37" i="2"/>
  <c r="P36" i="2"/>
  <c r="P35" i="2"/>
  <c r="P34" i="2"/>
  <c r="P33" i="2"/>
  <c r="P32" i="2"/>
  <c r="P29" i="2"/>
  <c r="P28" i="2"/>
  <c r="P24" i="2"/>
  <c r="D46" i="1"/>
  <c r="D45" i="1"/>
  <c r="P41" i="1"/>
  <c r="P40" i="1"/>
  <c r="P39" i="1"/>
  <c r="P38" i="1"/>
  <c r="B34" i="1"/>
  <c r="AC17" i="1" s="1"/>
  <c r="AC25" i="1"/>
  <c r="AD25" i="1" s="1"/>
  <c r="O25" i="1"/>
  <c r="O24" i="1"/>
  <c r="O23" i="1"/>
  <c r="H6" i="16" s="1"/>
  <c r="O22" i="1"/>
  <c r="P25" i="6" l="1"/>
  <c r="E7" i="16"/>
  <c r="AD25" i="3"/>
  <c r="AD23" i="8"/>
  <c r="AD23" i="7"/>
  <c r="AD25" i="7"/>
  <c r="AD23" i="6"/>
  <c r="AD25" i="6"/>
  <c r="P25" i="5"/>
  <c r="E8" i="16"/>
  <c r="AD25" i="4"/>
  <c r="G6" i="16"/>
  <c r="G13" i="16" s="1"/>
  <c r="P25" i="1"/>
  <c r="AT15" i="17"/>
  <c r="I7" i="16"/>
  <c r="H8" i="16"/>
  <c r="I8" i="16" s="1"/>
  <c r="H10" i="16"/>
  <c r="I10" i="16" s="1"/>
  <c r="H11" i="16"/>
  <c r="I11" i="16" s="1"/>
  <c r="H12" i="16"/>
  <c r="I12" i="16" s="1"/>
  <c r="J6" i="16"/>
  <c r="K6" i="16" s="1"/>
  <c r="D35" i="1"/>
  <c r="E46" i="1"/>
  <c r="E35" i="1" s="1"/>
  <c r="E6" i="16"/>
  <c r="F6" i="16" s="1"/>
  <c r="J10" i="16"/>
  <c r="K10" i="16" s="1"/>
  <c r="J12" i="16"/>
  <c r="J8" i="16"/>
  <c r="J7" i="16"/>
  <c r="K7" i="16" s="1"/>
  <c r="J11" i="16"/>
  <c r="J9" i="16"/>
  <c r="C7" i="16"/>
  <c r="D7" i="16" s="1"/>
  <c r="C10" i="16"/>
  <c r="D10" i="16" s="1"/>
  <c r="E10" i="16"/>
  <c r="F10" i="16" s="1"/>
  <c r="C11" i="16"/>
  <c r="D11" i="16" s="1"/>
  <c r="E11" i="16"/>
  <c r="F11" i="16" s="1"/>
  <c r="B13" i="16"/>
  <c r="E12" i="16"/>
  <c r="C12" i="16"/>
  <c r="D12" i="16"/>
  <c r="F8" i="16"/>
  <c r="E9" i="16"/>
  <c r="I9" i="16"/>
  <c r="E49" i="7"/>
  <c r="D49" i="7"/>
  <c r="D35" i="8"/>
  <c r="P35" i="8" s="1"/>
  <c r="D35" i="5"/>
  <c r="P34" i="4"/>
  <c r="P34" i="5"/>
  <c r="P34" i="8"/>
  <c r="E45" i="1"/>
  <c r="F45" i="1" s="1"/>
  <c r="D34" i="1"/>
  <c r="D35" i="6"/>
  <c r="D34" i="6"/>
  <c r="E46" i="6"/>
  <c r="E34" i="7"/>
  <c r="F50" i="7"/>
  <c r="D35" i="7"/>
  <c r="AY15" i="17" l="1"/>
  <c r="AZ15" i="17" s="1"/>
  <c r="AU15" i="17"/>
  <c r="K8" i="16"/>
  <c r="K12" i="16"/>
  <c r="K11" i="16"/>
  <c r="F7" i="16"/>
  <c r="H13" i="16"/>
  <c r="I13" i="16" s="1"/>
  <c r="I6" i="16"/>
  <c r="AU14" i="17"/>
  <c r="C13" i="16"/>
  <c r="F9" i="16"/>
  <c r="E13" i="16"/>
  <c r="J13" i="16"/>
  <c r="K9" i="16"/>
  <c r="F12" i="16"/>
  <c r="F51" i="7"/>
  <c r="F49" i="7" s="1"/>
  <c r="E35" i="7"/>
  <c r="E34" i="1"/>
  <c r="F34" i="7"/>
  <c r="G50" i="7"/>
  <c r="E34" i="6"/>
  <c r="F46" i="6"/>
  <c r="F47" i="6"/>
  <c r="G45" i="1"/>
  <c r="F34" i="1"/>
  <c r="F46" i="1"/>
  <c r="F35" i="1" l="1"/>
  <c r="G46" i="1"/>
  <c r="K13" i="16"/>
  <c r="D13" i="16"/>
  <c r="C15" i="16"/>
  <c r="F13" i="16"/>
  <c r="F35" i="7"/>
  <c r="G51" i="7"/>
  <c r="G49" i="7" s="1"/>
  <c r="G34" i="7"/>
  <c r="H50" i="7"/>
  <c r="G47" i="6"/>
  <c r="G35" i="6" s="1"/>
  <c r="F35" i="6"/>
  <c r="G46" i="6"/>
  <c r="F34" i="6"/>
  <c r="G34" i="1"/>
  <c r="H45" i="1"/>
  <c r="AJ13" i="17" l="1"/>
  <c r="H51" i="7"/>
  <c r="H49" i="7" s="1"/>
  <c r="I50" i="7"/>
  <c r="H34" i="7"/>
  <c r="G34" i="6"/>
  <c r="H46" i="6"/>
  <c r="I45" i="1"/>
  <c r="H34" i="1"/>
  <c r="H47" i="6"/>
  <c r="H46" i="1"/>
  <c r="AY13" i="17" l="1"/>
  <c r="AZ13" i="17" s="1"/>
  <c r="AU13" i="17"/>
  <c r="H35" i="7"/>
  <c r="I51" i="7"/>
  <c r="I49" i="7" s="1"/>
  <c r="H34" i="6"/>
  <c r="I46" i="6"/>
  <c r="I47" i="6"/>
  <c r="H35" i="1"/>
  <c r="I46" i="1"/>
  <c r="I34" i="1"/>
  <c r="J45" i="1"/>
  <c r="I34" i="7"/>
  <c r="J50" i="7"/>
  <c r="J51" i="7" l="1"/>
  <c r="J35" i="7" s="1"/>
  <c r="I35" i="7"/>
  <c r="J34" i="7"/>
  <c r="K50" i="7"/>
  <c r="J46" i="1"/>
  <c r="I35" i="1"/>
  <c r="K45" i="1"/>
  <c r="J34" i="1"/>
  <c r="J47" i="6"/>
  <c r="I35" i="6"/>
  <c r="I34" i="6"/>
  <c r="J46" i="6"/>
  <c r="J49" i="7" l="1"/>
  <c r="K51" i="7"/>
  <c r="K49" i="7" s="1"/>
  <c r="K34" i="7"/>
  <c r="L50" i="7"/>
  <c r="K34" i="1"/>
  <c r="L45" i="1"/>
  <c r="K46" i="6"/>
  <c r="J34" i="6"/>
  <c r="K47" i="6"/>
  <c r="J35" i="6"/>
  <c r="K46" i="1"/>
  <c r="J35" i="1"/>
  <c r="K35" i="7" l="1"/>
  <c r="L51" i="7"/>
  <c r="M51" i="7" s="1"/>
  <c r="M49" i="7" s="1"/>
  <c r="L49" i="7"/>
  <c r="M50" i="7"/>
  <c r="L34" i="7"/>
  <c r="M45" i="1"/>
  <c r="L34" i="1"/>
  <c r="K35" i="1"/>
  <c r="L46" i="1"/>
  <c r="K35" i="6"/>
  <c r="L47" i="6"/>
  <c r="K34" i="6"/>
  <c r="L46" i="6"/>
  <c r="L35" i="7" l="1"/>
  <c r="L34" i="6"/>
  <c r="M46" i="6"/>
  <c r="M34" i="1"/>
  <c r="N45" i="1"/>
  <c r="M35" i="7"/>
  <c r="N51" i="7"/>
  <c r="L35" i="6"/>
  <c r="M47" i="6"/>
  <c r="L35" i="1"/>
  <c r="M46" i="1"/>
  <c r="M34" i="7"/>
  <c r="N50" i="7"/>
  <c r="N49" i="7" l="1"/>
  <c r="N47" i="6"/>
  <c r="M35" i="6"/>
  <c r="N34" i="7"/>
  <c r="O50" i="7"/>
  <c r="O34" i="7" s="1"/>
  <c r="P34" i="7" s="1"/>
  <c r="O45" i="1"/>
  <c r="O34" i="1" s="1"/>
  <c r="P34" i="1" s="1"/>
  <c r="N34" i="1"/>
  <c r="N46" i="1"/>
  <c r="M35" i="1"/>
  <c r="N35" i="7"/>
  <c r="O51" i="7"/>
  <c r="M34" i="6"/>
  <c r="N46" i="6"/>
  <c r="O35" i="7" l="1"/>
  <c r="O49" i="7"/>
  <c r="O46" i="6"/>
  <c r="O34" i="6" s="1"/>
  <c r="P34" i="6" s="1"/>
  <c r="N34" i="6"/>
  <c r="O46" i="1"/>
  <c r="O35" i="1" s="1"/>
  <c r="N35" i="1"/>
  <c r="O47" i="6"/>
  <c r="O35" i="6" s="1"/>
  <c r="N35" i="6"/>
  <c r="BM59" i="21"/>
  <c r="BM56" i="21"/>
  <c r="BM55" i="21"/>
  <c r="BM39" i="21"/>
  <c r="BM40" i="21"/>
  <c r="BM41" i="21"/>
  <c r="BM42" i="21"/>
  <c r="BM43" i="21"/>
  <c r="BM44" i="21"/>
  <c r="BM45" i="21"/>
  <c r="BM46" i="21"/>
  <c r="BM47" i="21"/>
  <c r="BM48" i="21"/>
  <c r="BM49" i="21"/>
  <c r="BM50" i="21"/>
  <c r="BM51" i="21"/>
  <c r="BM52" i="21"/>
  <c r="BM53" i="21"/>
  <c r="BM54" i="21"/>
  <c r="BM57" i="21"/>
  <c r="BM58" i="21"/>
  <c r="AQ60" i="21"/>
  <c r="P34" i="18"/>
  <c r="BM60" i="21" l="1"/>
  <c r="O23" i="8" l="1"/>
  <c r="P2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6B6F5F00-9D88-4D0A-876E-6D9DA1835939}">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CCDBF855-344B-4B6D-9466-5CD4A67494AC}">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64FB7549-35B4-4FCA-8814-334B823F3718}">
      <text>
        <r>
          <rPr>
            <sz val="11"/>
            <rFont val="Calibri"/>
            <family val="2"/>
          </rPr>
          <t xml:space="preserve">Microsoft Office User:
Relacionar la descripción de las alternativas de solución </t>
        </r>
      </text>
    </comment>
    <comment ref="A11" authorId="0" shapeId="0" xr:uid="{806A28C1-0529-43FC-AB68-4FE45CC646AE}">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6C977344-FAA7-418F-A28A-9B41D4FA7D72}">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15996514-537B-4B76-AA55-4731B6FA8046}">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AF042B68-9A54-43D9-8416-933954FF9459}">
      <text>
        <r>
          <rPr>
            <sz val="11"/>
            <rFont val="Calibri"/>
            <family val="2"/>
          </rPr>
          <t>Microsoft Office User:
En coherencia con los mediciones establecidas por la SDH, Corresponde a:
Suma 
Creciente
Decreciente
Constante</t>
        </r>
      </text>
    </comment>
    <comment ref="N11" authorId="0" shapeId="0" xr:uid="{63ACBA86-CF32-4BAF-8486-2C7D94CD5138}">
      <text>
        <r>
          <rPr>
            <sz val="11"/>
            <rFont val="Calibri"/>
            <family val="2"/>
          </rPr>
          <t>Microsoft Office User:
Corresponde a la descripción detallada de la medición del indicador y la formula del mismo</t>
        </r>
      </text>
    </comment>
    <comment ref="T11" authorId="0" shapeId="0" xr:uid="{70BC4BDF-D203-45CA-9037-B82F0D12421A}">
      <text>
        <r>
          <rPr>
            <sz val="11"/>
            <rFont val="Calibri"/>
            <family val="2"/>
          </rPr>
          <t xml:space="preserve">Microsoft Office User:
Se debe establecer la periodicidad de la medicicion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tc={F58D33A9-A9B8-4D91-8A8A-66A9B1F42F99}</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 ref="P35" authorId="1" shapeId="0" xr:uid="{F58D33A9-A9B8-4D91-8A8A-66A9B1F42F9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Sectores son constantes, por lo que no aplica la sumatoria de los mismos mes tras mes.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ferretería, papelería, elementos de protección, operador logístico, licenciamiento, internet
</t>
        </r>
      </text>
    </comment>
    <comment ref="V22" authorId="0" shapeId="0" xr:uid="{9AB2A61D-695B-4E19-83B4-4840501A58E2}">
      <text>
        <r>
          <rPr>
            <sz val="11"/>
            <rFont val="Calibri"/>
            <family val="2"/>
          </rPr>
          <t>MI PC:
Corresponden a Equipos Tecnológicos,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papelería, elementos de protección, relevos, licenciamiento, internet, interventoría relevos
</t>
        </r>
      </text>
    </comment>
    <comment ref="V22" authorId="0" shapeId="0" xr:uid="{B881751A-D6F7-44F7-BEE7-450BE054488D}">
      <text>
        <r>
          <rPr>
            <sz val="11"/>
            <rFont val="Calibri"/>
            <family val="2"/>
          </rPr>
          <t>MI PC:
Corresponde a equipos tecnológicos,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papelería, elementos de protección, aseo y cafetería,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Móviles, interventoría de unidades móviles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<sst xmlns="http://schemas.openxmlformats.org/spreadsheetml/2006/main" count="2421" uniqueCount="756">
  <si>
    <t>SECRETARÍA DISTRITAL DE LA MUJER</t>
  </si>
  <si>
    <t>Código: DE-FO-05</t>
  </si>
  <si>
    <t xml:space="preserve">DIRECCIONAMIENTO ESTRATEGICO </t>
  </si>
  <si>
    <t>Versión: 08</t>
  </si>
  <si>
    <t>FORMULACIÓN Y SEGUIMIENTO PLAN DE ACCIÓN</t>
  </si>
  <si>
    <t>Fecha de Emisión: 4 de enero de 2022</t>
  </si>
  <si>
    <t>Página 2 de 3</t>
  </si>
  <si>
    <t xml:space="preserve">PROGRAMACIÓN </t>
  </si>
  <si>
    <t>SEGUIMIENTO</t>
  </si>
  <si>
    <t>DESCRIPCIÓN CUALITATIVA DEL AVANCE</t>
  </si>
  <si>
    <t>RETRASOS Y FACTORES LIMITANTES PARA EL CUMPLIMIENTO</t>
  </si>
  <si>
    <t>SOLUCIONES PROPUESTAS PARA RESOLVER LOS RETRASOS Y FACTORES LIMITANTES PARA EL CUMPLIMIENTO</t>
  </si>
  <si>
    <t>FECHA DE REPORTE</t>
  </si>
  <si>
    <t>TIPO DE REPORTE</t>
  </si>
  <si>
    <t>FORMULACION</t>
  </si>
  <si>
    <t>ACTUALIZACION</t>
  </si>
  <si>
    <t>X</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</si>
  <si>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</si>
  <si>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</si>
  <si>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</si>
  <si>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</si>
  <si>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Total Cuatrienio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</si>
  <si>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</si>
  <si>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</si>
  <si>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</si>
  <si>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</si>
  <si>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</si>
  <si>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</si>
  <si>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</si>
  <si>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</si>
  <si>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</si>
  <si>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</si>
  <si>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</si>
  <si>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</si>
  <si>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</si>
  <si>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TOTAL</t>
  </si>
  <si>
    <t>Meta sectorial</t>
  </si>
  <si>
    <t>Meta trazadora</t>
  </si>
  <si>
    <t>Meta estratégica</t>
  </si>
  <si>
    <t>PMR</t>
  </si>
  <si>
    <t xml:space="preserve"> De actividad  </t>
  </si>
  <si>
    <t>Otro</t>
  </si>
  <si>
    <t xml:space="preserve"> Proceso</t>
  </si>
  <si>
    <t>Planes Decreto 612</t>
  </si>
  <si>
    <t>ENE</t>
  </si>
  <si>
    <t>FEB</t>
  </si>
  <si>
    <t>MAR</t>
  </si>
  <si>
    <t>ABR</t>
  </si>
  <si>
    <t>MAY</t>
  </si>
  <si>
    <t>JUN</t>
  </si>
  <si>
    <t>JUL</t>
  </si>
  <si>
    <t>AGO</t>
  </si>
  <si>
    <t>SEP</t>
  </si>
  <si>
    <t>OCT</t>
  </si>
  <si>
    <t>NOV</t>
  </si>
  <si>
    <t>DIC</t>
  </si>
  <si>
    <t>MAGNITUD FÍSICA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</si>
  <si>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</si>
  <si>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</si>
  <si>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</si>
  <si>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</si>
  <si>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</si>
  <si>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</si>
  <si>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</si>
  <si>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</si>
  <si>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</si>
  <si>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</si>
  <si>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</si>
  <si>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</si>
  <si>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</si>
  <si>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</si>
  <si>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 xml:space="preserve">Para el mes de mayo las consultoras responsables de la asistencia técnica para la sistematización y consolidación del documento técnico del Sistema de Cuidado avanzan en la consolidación del primer borrador del documento y solicitaron plazo para ser entregado en el mes de junio. Posteriormente se realizará su revisión y retroalimentación por parte de la entidad. </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</si>
  <si>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</si>
  <si>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</si>
  <si>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</si>
  <si>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</si>
  <si>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 xml:space="preserve">Durante el mes de mayo se ejecutaron los procesos intersectoriales requeridos para la apertura de la Manzana del Cuidado de Rafael Uribe Uribe, a través de la construcción y aprobación en la UTA de la ficha técnica de equipamientos y servicios, así como la concertación del minuto a minuto que será implementado en la inauguración. La manzana del cuidado de Rafael Uribe Uribe representa la décima manzana del cuidado de Bogotá. Paralelamente, se implementaron 110 actividades de difusión y socialización del Sistema Distrital del Cuidado y los servicios de las Manzanas del Cuidado en las localidades de Antonio Nariño, Barrios Unidos, Bosa, Santa Fe-Candelaria, Chapinero, Ciudad Bolívar, Engativá, Fontibón, Kennedy, Mártires, Rafael Uribe, San Cristóbal, Suba, Teusaquillo, Tunjuelito, Usaquén y Usme. En lo corrido de la vigencia 2022, se registraron 20,611 atenciones, en mayo, llevando un acumulado para el 2022 de 75,847 atenciones en las nueve manzanas de cuidad. Además, se efectuaron las Mesas Locales de las Manzanas del Cuidado de Bosa, Kennedy, Ciudad Bolívar, Usme, San Cristóbal, Mártires y Usaquén y se efectuó la primera sesión de las mesas locales del cuidado de las manzanas del Centro y Engativá, donde se monitorearon las acciones intersectoriales de los sectores y se realizó un balance mensual de las atenciones prestadas en cada una de las manzanas del cuidado. Respecto a unidades móviles, se realizó y entregó a la Dirección de Contratación, la Adenda de los pliegos definitivos para publicarlos en SECOP II conforme al cronograma establecido del proceso No.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Del mismo modo se realizó la evaluación de las propuestas de los oferentes y se dió desarrollo y entrega al informe de evaluación. Adicionalmente, ell día 27 de mayo, se realizó la cuarta (4) sesión , se desarrolló la mesa local de Unidades Móviles de Servicios de Cuidado,dónde se explicó el proceso de contratación de las unidades móviles, además, se socializaron resultados de las visitas a territorio que tuvieron como propósito revisar y validar la propuesta de las zonas de ubicación de las Unidades Móviles para el ciclo III, así como se expone el balance de implementación del instrumento de caracterización cuidadoras - Sumapaz </t>
  </si>
  <si>
    <t xml:space="preserve">El retraso se presenta, ya que el proceso se encuentran los pliegos definitivos para publicarse en SECOP II, lo que ha retrasado la adjudicación del mismo.			
			</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</si>
  <si>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</si>
  <si>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</si>
  <si>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</si>
  <si>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</si>
  <si>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</si>
  <si>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De acuerdo con los resultados de percepción de las mujeres, en cuanto a "las mujeres que consideran que las mujeres son mejores para el trabajo doméstico que los hombres", se obtuvo un resultado del 53%.</t>
  </si>
  <si>
    <t>Disminuir el porcentaje de percepción de los hombres que consideran que las mujeres son mejores para el trabajo doméstico que los hombres (52,2 - 2017)</t>
  </si>
  <si>
    <t xml:space="preserve">La medición depende de la encuesta ENUT que realiza el DANE cada tres años. </t>
  </si>
  <si>
    <t>De acuerdo con los resultados de percepción de los hombres, en cuanto a "las mujeres que consideran que las mujeres son mejores para el trabajo doméstico que los hombres", se obtuvo un resultado del 52,8%.</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</si>
  <si>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</si>
  <si>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</si>
  <si>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</si>
  <si>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</si>
  <si>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</si>
  <si>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</si>
  <si>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</si>
  <si>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</si>
  <si>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</si>
  <si>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</si>
  <si>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</si>
  <si>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</si>
  <si>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</si>
  <si>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</si>
  <si>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</si>
  <si>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Debido a las concertacones con las demás entidades para ofrecer la adecucación y puesta en marcha de la nueva  manazana, se programá su inauguración para el mes de junio del 2022</t>
  </si>
  <si>
    <t xml:space="preserve"> </t>
  </si>
  <si>
    <t>ELABORÓ</t>
  </si>
  <si>
    <t>Firma:</t>
  </si>
  <si>
    <t>APROBÓ (Según aplique Gerenta de proyecto, Lider técnica y responsable de proceso)</t>
  </si>
  <si>
    <t>REVISÓ OFICINA ASESORA DE PLANEACIÓN</t>
  </si>
  <si>
    <t xml:space="preserve">VoBo. </t>
  </si>
  <si>
    <t>Nombre: Angélica Ortiz</t>
  </si>
  <si>
    <t>Nombre: Erika Natalia Moreno Salamanca</t>
  </si>
  <si>
    <t>Nombre: Diana María Parra Romero</t>
  </si>
  <si>
    <t>Nombre:</t>
  </si>
  <si>
    <t>Nombre: Sandra Catalina Campos Romero</t>
  </si>
  <si>
    <t>Cargo: Profesional contratista SIDICU</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</si>
  <si>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</si>
  <si>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</si>
  <si>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</si>
  <si>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</si>
  <si>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</si>
  <si>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Página 1 de 3</t>
  </si>
  <si>
    <t>PERIODO REPORTADO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</si>
  <si>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</si>
  <si>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</si>
  <si>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</si>
  <si>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</si>
  <si>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</si>
  <si>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</si>
  <si>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</si>
  <si>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</si>
  <si>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</si>
  <si>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</si>
  <si>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</si>
  <si>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</si>
  <si>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</si>
  <si>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</si>
  <si>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</si>
  <si>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AVANCE</t>
  </si>
  <si>
    <t>PROGRAMACION DE COMPROMISOS</t>
  </si>
  <si>
    <t>COMPROMISOS</t>
  </si>
  <si>
    <t>Se ajusta por liberación de saldos contra segundo pago</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</si>
  <si>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</si>
  <si>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</si>
  <si>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</si>
  <si>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</si>
  <si>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</si>
  <si>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</si>
  <si>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</si>
  <si>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</si>
  <si>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</si>
  <si>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 xml:space="preserve">En el mes de enero se completaron las actividades realcionadas con la definición del sistema de seguimiento y monitoreo previstas para la meta de la vigencia. 2021. </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</si>
  <si>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</si>
  <si>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</si>
  <si>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</si>
  <si>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</si>
  <si>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</si>
  <si>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</si>
  <si>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</si>
  <si>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</si>
  <si>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</si>
  <si>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En el marco del seguimiento y monitoreo del Sistema Distrital de Cuidado, durante el mes de mayo se emitió una circular 0010 a todos los Secretarios y Secretarias de Despacho que integran el Sistema de Cuidado de Bogotá sobre la puesta en marcha “Herramienta Intersectorial del Sistema de Cuidado” que permite la captura de información por población beneficiaria, en la cuál, se describen los lineamientos para las entidades que acogieron la herramienta, así como las que no la acogieron. Además, se liquido el contrato 815 de 2021,contando con los productos finales de: 1.Cronograma de actividades y productos.2. Propuesta de investigación mixta para el levantamiento de la línea base del Sistema Distrital de Cuidado,3. Batería de indicadores.4. Plan operativo, instrumentos y manuales de recolección de información cuantitativa y cualitativa. 5. Informe de levantamiento de línea base y análisis preliminar. 6. Soportes de las actividades de levantamiento de información.7. Resumen ejecutivo.8. Informe final de resultados. 9. Bases de datos, libro de códigos y anexos. 10. Documento final de recomendaciones y sugerencias metodológicas y técnicas para el seguimiento a la implementación de la línea base del Sistema Distrital de Cuidado. 11. Presentación del informe final de resultados y del documento final de recomendaciones y sugerencias metodológicas y técnicas para el seguimiento a la implementación de la línea base.12. Soporte de participación en los encuentros.13. Reporte de la información suministrada en encuentros.14. Reporte de requerimientos, peticiones, quejas, solicitudes y reclamos recibidos.15. Documento de estrategia de difusión y publicación de los resultados.</t>
  </si>
  <si>
    <t>Servicios de atención integral y disminución del tiempo de registro de los beneficiarios a través de un proceso de captura de información basado en sistemas mas eficientes.</t>
  </si>
  <si>
    <t>Ejecución</t>
  </si>
  <si>
    <t>0.80</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</si>
  <si>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</si>
  <si>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</si>
  <si>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</si>
  <si>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</si>
  <si>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</si>
  <si>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</si>
  <si>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</si>
  <si>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</si>
  <si>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</si>
  <si>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</si>
  <si>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</si>
  <si>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</si>
  <si>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</si>
  <si>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</si>
  <si>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</si>
  <si>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</si>
  <si>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</si>
  <si>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</si>
  <si>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</si>
  <si>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el modelo de seguimiento y monitoreo del Sistema Distrital de Cuidado</t>
  </si>
  <si>
    <t>2. Consolidar el documento de desarrollo técnico del Sistema Distrital de Cuidado</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</si>
  <si>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</si>
  <si>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</si>
  <si>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</si>
  <si>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</si>
  <si>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</si>
  <si>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</si>
  <si>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</si>
  <si>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</si>
  <si>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</si>
  <si>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</si>
  <si>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</si>
  <si>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</si>
  <si>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</si>
  <si>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</si>
  <si>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</si>
  <si>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</si>
  <si>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</si>
  <si>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</si>
  <si>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</si>
  <si>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</si>
  <si>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</si>
  <si>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</si>
  <si>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Para el mes de mayo, se realizó reunión ordinaria de la Unidad Técnica de Apoyo(la tercera del año y la No. 16 desde la expedición del Decreto 237 de 2020). Los puntos abordados en la agenda fueron: 1. Inauguración Manzana del Cuidado Rafael Uribe Uribe. 2. Actualización de fichas técnicas de las Manzanas del Cuidado. 3. Revisión de compromisos pendientes. 4. Varios: a. Visita al equipamiento ancla de la Manzana del Cuidado de Rafael Uribe Uribe. b. Informe visita técnica Cono Sur: Socialización del Sistema de Cuidado de Bogotá. c. Personal total de las manzanas de cuidado. d. Formalización de la Mesa de Infraestructura del Sistema de Cuidado. e. Creación de la Mesa de Relevos Domiciliarios. El 20 de mayo se publicó el acta de la sesión ordinaria de la UTA realizada el 06 de mayo, en las páginas Web de la SDMujer y el Sistema Distrital del Cuidado. Las solicitudes para publicación se realizaron en la misma fecha. En el mes también se realizó reunión de la Unidad Técnica de Apoyo (la cuarta del año y la No. 17 desde la expedición del Decreto 237 de 2020). Los puntos abordados en la agenda fueron los siguientes: 1. Revisión de la ficha técnica de la Manzana del Cuidado de Rafael Uribe Uribe. 2. Revisión del minuto a minuto para la inauguración de las Manzanas del Cuidado de Rafael Uribe Uribe. 3. Revisión de compromisos pendientes de la Unidad Técnica de Apoyo y socialización de la Circular 010 del 19 de mayo de 2022 “Herramienta Intersectorial del Sistema de Cuidado”.  Con los compromisos establecidos en las tres (3) últimas reuniones de la UTA, remitieron la matriz de costos SDCRD-Biblored, IDPyBA (actualización), JBB, SDIS y SDMujer,  en el marco de la construcción de la herramienta de costeo del modelo financiero macro que se viene desarrollando en alianza con el PNUD. Logro 4). Se actualizaron y socializaron las nueve (9) fichas técnicas de las manzanas del cuidado implementadas actualmente, con las personas delegadas para la Unidad Técnica de Apoyo.</t>
  </si>
  <si>
    <t xml:space="preserve">Está pendiente la proyección de los costos de adecuación y la actualización de los costos de los servicios que presta la SDMujer en las manzanas del cuidado, así como consolidar la información de todos los Sectores para remitirla al PNUD. Alternativas de solución: Consolidar la información remitida por las entidades entre abril y mayo para enviar al PNUD el costeo de la adecuación, gestión, operación y servicios que se prestan en las manzanas del cuidado. </t>
  </si>
  <si>
    <t>Con la implementación del Decreto 237 de 2020 "Por medio del cual se crea la Comisión Intersectorial del Sistema Distrital de Cuidado" y el Acuerdo 001 de 2020 "Por el cual se adopta el Reglamento Interno de la Comisión Intersectorial del Sistema Distrital de Cuidado", así como articulación de las entidades de la Administración Distrital para avanzar en la implementación y seguimiento de Sistema Distrital de Cuidado, tanto a nivel distrital como territorial.</t>
  </si>
  <si>
    <t>3. Convocar y gestionar las sesiones de la Comisión Intersectorial del Sistema de Cuidado según lo establecido en el Decreto 237 de 2020</t>
  </si>
  <si>
    <t xml:space="preserve">De acuerdo con lo establecido en el  Decreto 237 de 2020, en el artículo 7: "La Comisión se reunirá ordinariamente cada trimestre, es decir, cuatro (4) veces al año", por lo que en el mes de mayo no esta prevista la realización de acciones para el cumplimiento de la actividad asociada a la meta. </t>
  </si>
  <si>
    <t>4. Hacer seguimiento a los acuerdos de la Comisión Intersectorial del Sistema de Cuidado (UTA)</t>
  </si>
  <si>
    <t>Logro 1)Se realizó reunión ordinaria de la Unidad Técnica de Apoyo la tercera del año y la No. 16 desde la expedición del Decreto 237 de 20209. Los puntos abordados en la agenda fueron los siguientes: 1. Inauguración Manzana del Cuidado Rafael Uribe Uribe. 2. Actualización de fichas técnicas de las Manzanas del Cuidado. 3. Revisión de compromisos pendientes. 4. Varios: a. Visita al equipamiento ancla de la Manzana del Cuidado de Rafael Uribe Uribe. b. Informe visita técnica Cono Sur: Socialización del Sistema de Cuidado de Bogotá. c. Personal total de las manzanas de cuidado. d. Formalización de la Mesa de Infraestructura del Sistema de Cuidado. e. Creación de la Mesa de Relevos Domiciliarios. El 20 de mayo se publicó el acta de la sesión ordinaria de la UTA realizada el 06 de mayo, en las páginas Web de la SDMujer y el Sistema Distrital del Cuidado. Logro 2). Se realizó reunión de la Unidad Técnica de Apoyo (la cuarta del año y la No. 17 desde la expedición del Decreto 237 de 2020). Los puntos abordados en la agenda fueron los siguientes: 1. Revisión de la ficha técnica de la Manzana del Cuidado de Rafael Uribe Uribe. 2. Revisión del minuto a minuto para la inauguración de las Manzanas del Cuidado de Rafael Uribe Uribe. 3. Revisión de compromisos pendientes de la Unidad Técnica de Apoyo y socialización de la Circular 010 del 19 de mayo de 2022 “Herramienta Intersectorial del Sistema de Cuidado”. Logro 3) Con los compromisos establecidos en las tres (3) últimas reuniones de la UTA, remitieron la matriz de costos de servicios del Sistema SDCRD-Biblored, IDPyBA (actualización), JBB, SDIS y SDMujer,  en el marco de la construcción de la herramienta de costeo del modelo financiero macro que se viene desarrollando en alianza con el PNUD. Logro 4). Se actualizaron y socializaron las nueve (9) fichas técnicas de las manzanas del cuidado implementadas actualmente, con las personas delegadas para la Unidad Técnica de Apoyo.</t>
  </si>
  <si>
    <t>5. Adelantar dos sesiones del mecanismo de participación y seguimiento de la Comisión Intersectorial del Sistema de Cuidado (Dec. 237 2020)</t>
  </si>
  <si>
    <t xml:space="preserve">De acuerdo con lo establecido en el  Decreto 237 de 2020, en el artículo 10: "El Mecanismo de Participación y Seguimiento se reunirá dos (2) veces al año", por lo que en el mes de mayo no esta prevista la realización de acciones para el cumplimiento de la actividad asociada a la meta. </t>
  </si>
  <si>
    <t>Numero de secretarias convocadas</t>
  </si>
  <si>
    <t>Numero de Secretarías articuladas</t>
  </si>
  <si>
    <t>Gestionar 1 estrategia para la adecuación de infraestructura de manzanas de cuidado</t>
  </si>
  <si>
    <t>3. Gestionar 1 estrategia para la adecuación de infraestructura de manzanas de cuidado</t>
  </si>
  <si>
    <t xml:space="preserve">En el mes de enero se completaron las actividades relacionadas con la estrategia para la adecuación de infraestructura de manzanas del cuidado. </t>
  </si>
  <si>
    <t>Durante el mes de mayo se ejecutaron los procesos intersectoriales requeridos para la apertura de la Manzana del Cuidado de Rafael Uribe Uribe, a través de la construcción y aprobación en la UTA de la ficha técnica de equipamientos y servicios, así como la concertación del minuto a minuto que será implementado en la inauguración. La manzana del cuidado de Rafael Uribe Uribe representa la décima manzana del cuidado de Bogotá. Paralelamente, se implementaron 110 actividades de difusión y socialización del Sistema Distrital del Cuidado y los servicios de las Manzanas del Cuidado en las localidades de Antonio Nariño, Barrios Unidos, Bosa, Santa Fe-Candelaria, Chapinero, Ciudad Bolívar, Engativá, Fontibón, Kennedy, Mártires, Rafael Uribe, San Cristóbal, Suba, Teusaquillo, Tunjuelito, Usaquén y Usme. En lo corrido de la vigencia 2022, se registraron 20,611 atenciones, en mayo, llevando un acumulado para el 2022 de 75,847 atenciones en las nueve manzanas de cuidad. Además, se efectuaron las Mesas Locales de las Manzanas del Cuidado de Bosa, Kennedy, Ciudad Bolívar, Usme, San Cristóbal, Mártires y Usaquén y se efectuó la primera sesión de las mesas locales del cuidado de las manzanas del Centro y Engativá, donde se monitorearon las acciones intersectoriales de los sectores y se realizó un balance mensual de las atenciones prestadas en cada una de las manzanas del cuidado</t>
  </si>
  <si>
    <t>Ninguno</t>
  </si>
  <si>
    <t>Las personas cuidadoras de Bogotá continuarán con una  mayor oferta de servicios según necesidades con la ampliación de las manzanas de cuidado, lo que permite una gran cobertura de servicios a la población objeto</t>
  </si>
  <si>
    <t xml:space="preserve">6. Implementar actividades de difusión del programa de Sistema de Cuidado con ciudadanos y actores territoriales </t>
  </si>
  <si>
    <t>Desde la Estrategia Territorial de las Manzanas del Cuidado se implementaron, durante el mes de mayo, 110 actividades de difusión y socialización del Sistema Distrital del Cuidado y los servicios de las Manzanas del Cuidado en 17 localidades de Bogotá, a saber, Antonio Nariño, Barrios Unidos, Bosa, Santa Fe-Candelaria, Chapinero, Ciudad Bolívar, Engativá, Fontibón, Kennedy, Mártires, Rafael Uribe, San Cristóbal, Suba, Teusaquillo, Tunjuelito, Usaquén y Usme. Durante el mes de mayo, aumentó en un 6% las actividades de difusión del Sistema de Cuidado en el territorio, manteniendo un buen ritmo en lo que va corrido del año y avanzando en el propósito de divulgar el objetivo del Sistema, sus servicios y su posicionamiento con la ciudadanía y las cuidadoras.</t>
  </si>
  <si>
    <t>7. Articular las acciones intersectoriales para la puesta en operación de siete (7) manzanas del cuidado</t>
  </si>
  <si>
    <t xml:space="preserve">Durante el mes de mayo, se articularon las acciones intersectoriales requeridas para la preparación y puesta en operación de la Manzana del Cuidado de Rafael Uribe Uribe, entre ellas, una visita técnica y una avanzada liderada por la Alcaldía Mayor. Estas fueron acciones indispensables para avanzar en la inauguración la décima manzana del cuidado de Bogotá el próximo 2 de junio. Se articularon las acciones intersectoriales necesarias para la construcción de la ficha técnica, equipamientos y servicios de la manzana de Cuidado de Rafael Uribe Uribe. Se articularon las acciones intersectoriales requeridas para la construcción del minuto a minuto de la inauguración de la Manzana del Cuidado de Rafael Uribe Uribe. </t>
  </si>
  <si>
    <t>8. Monitorear las acciones intersectoriales de 14 manzanas del cuidado</t>
  </si>
  <si>
    <t xml:space="preserve">De acuerdo con la herramienta de seguimiento y monitoreo Dalberg, entre el 1 y el  29 de mayo de 2022, se registraron 20.611 nuevas atenciones en las nueve manzanas de cuidado (estas cifras no incluyen atenciones de SDIS en algunas manzanas, quienes comenzarán a reportarlas en el mes vencido anterior a la fecha de este reporte). En lo que va corrido del 2022, se han registrado 75.847 atenciones. Y sumando 2021 y 2022, las manzanas del cuidado han realizado un total de 134.047 atenciones, siendo ésta una cifra hito en beneficio de las personas cuidadoras de Bogotá. Durante el mes de mayo se efectuaron las Mesas Locales de las Manzanas del Cuidado de Bosa, Kennedy, Ciudad Bolívar, Usme, San Cristóbal, Mártires y Usaquén. Además, se efectuó la primera sesión de las mesas locales del cuidado de las manzanas del Centro y Engativá. En dichas sesiones se monitorearon las acciones intersectoriales de las entidades representadas, el estado de la operación de los servicios implementados y se realizó un balance mensual de las atenciones prestadas en cada una de las manzanas del cuidado. </t>
  </si>
  <si>
    <t>% de avance diagnóstico de necesidades de 14 manzanas</t>
  </si>
  <si>
    <t xml:space="preserve">Inauguración de la manzana del cuidado en Engativá. 104 actividades de difusión y socialización del Sistema Distrital del Cuidado y servicios en 17 localidades. 30.073 atenciones en ocho manzanas del cuidado. Convocatoria Mesas Locales para monitoreo de acciones intersectoriales de los 13 sectores. </t>
  </si>
  <si>
    <t>Núm. de manzanas puestas en operación</t>
  </si>
  <si>
    <t>Antonio Nariño</t>
  </si>
  <si>
    <t>1</t>
  </si>
  <si>
    <t>Núm. de manzanas inauguradas</t>
  </si>
  <si>
    <t>Bosa</t>
  </si>
  <si>
    <t>centro</t>
  </si>
  <si>
    <t>chapinero</t>
  </si>
  <si>
    <t>cb</t>
  </si>
  <si>
    <t>Engativá</t>
  </si>
  <si>
    <t>Kennedy</t>
  </si>
  <si>
    <t>mártires</t>
  </si>
  <si>
    <t>puente Aranda</t>
  </si>
  <si>
    <t>ru</t>
  </si>
  <si>
    <t>sc</t>
  </si>
  <si>
    <t>suba</t>
  </si>
  <si>
    <t>teusa</t>
  </si>
  <si>
    <t>tunju</t>
  </si>
  <si>
    <t>usa</t>
  </si>
  <si>
    <t>usme</t>
  </si>
  <si>
    <t>Diseñar e implementar 1 estrategia de cuidado a cuidadoras</t>
  </si>
  <si>
    <t>4. Diseñar e implementar 1 estrategia de cuidado a cuidadoras.</t>
  </si>
  <si>
    <t xml:space="preserve">Con la implementación de la estrategia pedagógica de formación, en lo corrido de la vigencia 2022, se han programado 115 cursos de formación complementaria, donde se han certificado a 2.026 mujeres cuidadoras en Herramientas para cuidadoras en el reconocimiento de su trabajo de cuidado (1.476 mujeres) y Aplicación de herramientas de información y comunicación (639 mujeres) a través del Aula Virtual de la Secretaría Distrital de la Mujer con el apoyo de las 19 tutoras vinculadas al Componente de Formación de la Estrategia Cuidado a Cuidadoras. Adicionalmente para el mes de mayo, se generaron avances en el proceso de Homologación de Saberes, con un total de 144 cuidadoras certificadas por el Servicio Nacional de Aprendizaje en el mes de referencia, con el acompañamiento permanente de la Secretaría Distrital de la Mujeres y la Dirección del Sistema de Cuidado, a través de tres enfermeras evaluadoras quienes operan a nivel distrital. También se realizaron tres (3) espacios de respiro, el primero celebrado el 20 de mayo con la comunidad afro, denominado “Conmemorando el día de la Afrocolombianidad, que contó con 21 atenciones. El segundo con la misma comunidad el día 28 de mayo, llamado “Sanando la espiritualidad africana”, con 14 atenciones y el tercer espacio con comunidad Indígena, del día 28 de mayo, denominado “Mujeres indígenas cuidadoras de la vida cultural”, con 21 atenciones. En relación con la oferta de servicios en materia de respiro en el mes de mayo en las Manzanas del Cuidado las entidades que hacen parte del Sistema realizaron 7.718 atenciones durante este mes.En el marco del programa de relevos, en mayo, 8 reuniones de seguimiento al plan de facturación y radicación después de terminado el contrato 847-2021, donde la Supervisión hizo monitoreo semanal de la radicación total de 2.297 soportes de visitas domiciliarias previas y del avance en la radicación de 585 carpetas de beneficiarias con soportes de servicios prestados hasta el 30 de abril, los cuales están bajo revisión de la entidad a este corte.	</t>
  </si>
  <si>
    <t>No se presentaron retrasos</t>
  </si>
  <si>
    <t xml:space="preserve">Las cuidadoras adoptan herramientas en el reconocimiento de su trabajo de cuidado a través de la estrategia de cuidado a cuidadoras. Esta estrategia involucra la participación de mujeres de diferentes grupos y comunidades étnicas que viven en Bogotá. </t>
  </si>
  <si>
    <t>9. Implementar el componente de formación para cuidadoras</t>
  </si>
  <si>
    <t>Programación y realización de 36 cursos de Formación Complementaria para mujeres cuidadoras distribuidos así: 19 cursos ofrecidos en el marco del Convenio 012 de 2021 suscrito por la Secretaría Distrital de la Mujer con el Servicio Nacional de Aprendizaje en materia de Ofimática (Word, Excel e internet), con una duración de 48 horas, 40 de las cuales implican ejercicio de acompañamiento permanente por parte del equipo de la Dirección del Sistema de Cuidado y 17 cursos en "Herramientas para cuidadoras en el reconocimiento de su trabajo de cuidado", programa de 10 horas cuyos contenidos fueron elaborados por la Universidad Nacional de Colombia en la vigencia anterior y a los que se acede a través del Aula Virtual de la Secretaría Distrital de la Mujer con el apoyo de las 19 tutoras territoriales vinculadas al Componente de Formación de la Estrategia Cuidado a Cuidadoras. El número total de cuidadoras graduadas en el mes de mayo ascendió a 637. La distribución por localidad de prestación del servicio expresa el siguiente comportamiento: Ciudad Bolívar 119; Tunjuelito 41; Puente Aranda 27; Suba 12; Antonio Nariño:40; Los Mártires 37; Bosa: 35; Usaquén 24; Usme 35; Teusaquillo 22; San Cristóbal 62; Fontibón 22; Barrios Unidos 40; Kennedy 41; Chapinero 33; Santa Fe 11; Rafael Uribe 19 y La Candelaria 17.
Adicionalmente para el mes de mayo, se generaron avances en el proceso de Homologación de Saberes, con un total de 144 cuidadoras certificadas por el Servicio Nacional de Aprendizaje en el mes de referencia, con el acompañamiento permanente de la Secretaría Distrital de la Mujeres y la Dirección del Sistema de Cuidado, a través de tres enfermeras evaluadoras quienes operan a nivel distrital.</t>
  </si>
  <si>
    <t>10. Monitorear y hacer seguimiento a la implementación del componente de respiro para cuidadoras</t>
  </si>
  <si>
    <t>En el mes de mayo, se realizaron tres (3) espacios de respiro, el primero celebrado el 20 de mayo con la comunidad afro, denominado “Conmemorando el día de la Afrocolombianidad, que contó con 21 atenciones. El segundo con la misma comunidad el día 28 de mayo, llamado “Sanando la espiritualidad africana”, con 14 atenciones y el tercer espacio con comunidad Indígena, del día 28 de mayo, denominado “Mujeres indígenas cuidadoras de la vida cultural”, con 21 atenciones. Adicionalmente en el espacio de respiro de la Secretaría de la Mujer, se han generado en el 2022, 477 atenciones de respiro en procesos asociados con servicios socio jurídicos, psicosociales y de yoga ofrecidos en las Manzanas de Cuidado. En relación con la oferta de servicios en materia de respiro en el mes de mayo en las Manzanas del Cuidado las entidades que hacen parte del Sistema realizaron 7.718 atenciones durante este mes.</t>
  </si>
  <si>
    <t>11. Poner en marcha el programa de relevos de cuidado</t>
  </si>
  <si>
    <t>Se desarrollaron 8 reuniones de seguimiento al plan de facturación y radicación después de terminado el contrato 847-2021, donde la Supervisión hizo monitoreo semanal de la radicación total de 2.297 soportes de visitas domiciliarias y del avance en la radicación de 585 carpetas de beneficiarias con soportes de servicios prestados hasta el 30 de abril, los cuales están bajo revisión de la entidad a este corte. Adicionalmente, se han propuesto estrategias para superar las dificultades de subsanación de los soportes, de tal manera que facilite la radicación completa de los mismos ante la entidad. La fecha límite para radicar los soprotes pendientes acordada con el operador es del 17 de junio del 2022.</t>
  </si>
  <si>
    <t>Número de mujeres formadas</t>
  </si>
  <si>
    <t>Número de espacios respiro</t>
  </si>
  <si>
    <t>Número de mujeres vinculadas</t>
  </si>
  <si>
    <t>Atenciones centro respiro en manzanas</t>
  </si>
  <si>
    <t>Número de beneficiarias registradas en programa relevos</t>
  </si>
  <si>
    <t>Número de kits entregados</t>
  </si>
  <si>
    <t>Número de visitas</t>
  </si>
  <si>
    <t>Número de comités</t>
  </si>
  <si>
    <t>Número atenciones de relevos</t>
  </si>
  <si>
    <t>xxxxx</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</si>
  <si>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</si>
  <si>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</si>
  <si>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 xml:space="preserve">Durante el mes de mayo se aprobaron los contenidos de los 13 talleres a virtualizarse de la Estrategía Pedagógica de Tranformación Cultural. Así mismo, se aprobaron los productos 2 "Carpeta con archivos editables que contengan las herramientas de medición y evaluación de los talleres y los contenidos de texto, sonoros, gráficos y audiovisuales " y producto 3 "Talleres virtualizados en la plataforma Moodle de la SDMujer", del contrato celebrado entre ITO y ONU Mujeres en el marco del Conveino "Asesoría técnica en la redacción de línea narrativa, diseño de experiencia de usuario y producción de contenidos audiovisuales para la virtualización de módulos de talleres virtuales de cambio cultural” firmado por la Secrtaría Distrital de la Mujer. 
</t>
  </si>
  <si>
    <t>No aplica</t>
  </si>
  <si>
    <t xml:space="preserve">Las cuidadoras cuentan con herramientas para el desarrollo de estrategias de resignificación, el reconocimiento y la redistribución del trabajo del cuidado no remunerado. 	</t>
  </si>
  <si>
    <t>12. Diseñar e implementar la virtualización de la estrategia pedagógica para la valoración, la resignificación, el reconocimiento y la redistribución del trabajo de cuidado no remunerado que realizan las mujeres en Bogotá</t>
  </si>
  <si>
    <t xml:space="preserve">
Durante el mes de mayo se aprobaron los contenidos de los 13 talleres a virtualizarse de la Estrategía Pedagógica de Tranformación Cultural. Así mismo, se aprobaron los productos 2 "Carpeta con archivos editables que contengan las herramientas de medición y evaluación de los talleres y los contenidos de texto, sonoros, gráficos y audiovisuales " y producto 3 "Talleres virtualizados en la plataforma Moodle de la SDMujer", del contrato celebrado entre ITO y ONU Mujeres en el marco del Conveino "Asesoría técnica en la redacción de línea narrativa, diseño de experiencia de usuario y producción de contenidos audiovisuales para la virtualización de módulos de talleres virtuales de cambio cultural” firmado por la Secrtaría Distrital de la Mujer. Se prevé entrega formal de los talleres en plataforma Moodle para el mes de Junio. 
 </t>
  </si>
  <si>
    <t xml:space="preserve">13. Diseñar la estrategia de comunicación, de la estrategia pedagógica y de cambio cultural del Sistema Distrital de Cuidado </t>
  </si>
  <si>
    <t>Para fortalecer las líneas tácticas de activación de la Estrategia de Comunicaciones del Sistema de Cuidado, durante el mes de mayo, se realizó un consolidado (balance general) de la ejecución de estas acciones en el año 2021 y 2022, Dentro las cifras más representativas tenemos:
- Creación y posterior renovación de la imagen y slogan del Sistema de Cuidado
- Iniciamos proceso de cambio de imagen en nuestro contenido Digital y en los equipamientos y entidades del Sistema de Cuidado.
- Integramos la imagen del Sistema de Cuidado con marcas de la Secretaría de la Mujer.
- Implementamos campañas para Reconocer, Reducir y Redistribuir los trabajos de cuidado no remunerados en Bogotá
Se configuraron 8 líneas tácticas: 1. Comunicación comunitaria, 2. Comunicación Masiva, 3. Plan de Medios, 4. Comunicación Digital, 5. Página Web. 6. Mercadeo, 7. Material BTL, 8. Comunicación Distrital
esta presentación fue compartida con toda la Dirección del Sistema de Cuidado</t>
  </si>
  <si>
    <t>Programa virtual</t>
  </si>
  <si>
    <t>Número de personas formadas presencial</t>
  </si>
  <si>
    <t>Número de personas formadas virtual</t>
  </si>
  <si>
    <t>Número de procesos de formación</t>
  </si>
  <si>
    <t>Implementar 1 estrategia para el reconocimiento y la redistribución del trabajo de cuidado no remunerado entre hombres y mujeres.</t>
  </si>
  <si>
    <t>Se realizan traslados entre componentes y metas para suplir otros compromisos</t>
  </si>
  <si>
    <t>6. Implementar 1 estrategia para el reconocimiento y la redistribución del trabajo de cuidado no remunerado entre hombres y mujeres.</t>
  </si>
  <si>
    <t>No presenta retrasos</t>
  </si>
  <si>
    <t xml:space="preserve">Las cuidadoras cuentan con herramientas para el desarrollo de estrategias de resignificación, el reconocimiento y la redistribución del trabajo del cuidado no remunerado. </t>
  </si>
  <si>
    <t xml:space="preserve">14. Implementar los talleres de cambio cultural </t>
  </si>
  <si>
    <t xml:space="preserve">15. Producir e implementar la estrategia de comunicaciones </t>
  </si>
  <si>
    <t>Tomas Locales: Se produjeron contenidos para localidades de Tunjuelito-SantaFe-La Candelaria- San Cristóbal. 1.Redacción piezas para divulgación en RRSS y canales digitales. 2.Recolección de insumos, redacción y publicación comunicado de Prensa. 3.Elaboración bullets: rueda de prensa-medios de comunicación comunitarios.
Notas Web: Reportería-redacción-publicación de tres notas en la página web del Sistema. Se resaltaron historias de cuidadoras de Santa Fe, San Cristóbal y Tunjuelito.
Cubrimientos: 1.Panel '¿Cuáles son las políticas claves en economías emergentes para lograr acceso e inversión de calidad en la atención para trabajadoras formales e informales?' (Cumbre Mundial de Género 2022). 2.Semana del Transporte 2022 - Panel 'El cuidado como eje esencial para la construcción de un sistema de movilidad equitativo'. 3.Inauguración Sala Amiga de la Familia Lactante Manzana del Cuidado del Centro de Bogotá. 4.Visita del Consejo de Iniciativas Urbanas-ONU Hábitat. 5.Lanzamiento del Centro Integral de Salud en la Manzana del Cuidado de Kennedy.
Lanzamiento Lavandería Comunitaria: Se inauguró en la Manzana del Cuidado de Engativá, contenidos: 1.Nota web publicada 2.Cubrimiento en todos los canales SDMujer.
Campañas estratégicas: Se realizaron y publicaron contenidos sobre la celebración del Día de la Madre y del Día de la Familia todos los canales digitales; enfoque: el reconocimiento y la redistribución de los trabajos de cuidado. 
Producción audiovisual: Se realizó producción de cápsulas del formato 'Ana La Ciudadana': 1.¡La primera Manzana del Cuidado está en Ciudad Bolívar! 2.¡Te explicamos cómo inscribirte a los servicios del #SistemaDeCuidado! 3.¡El Sistema de Cuidado está en San Cristóbal!
Geolocalización de las Manzanas del Cuidado: Se surtió el proceso para geolocalizar las Manzanas del Cuidado en aplicaciones como Google Maps y Waze.
Actualización página web: Se creó botón pop-up para facilitar la experiencia de usuario en la inscripción a los servicios del Sistema.</t>
  </si>
  <si>
    <t>16. Implementar el componente de amplificación [Red de Alianzas del Cuidado]</t>
  </si>
  <si>
    <t xml:space="preserve">En el marco de la expansión de la Red de Alianzas del Cuidado, durante el mes de mayo se realizó un taller de articulacion externa con la Vicaría de Tunjuelito que contó con la participación de siete mujeres cuidadoras. </t>
  </si>
  <si>
    <t>17. Monitorear y hacer seguimiento a las acciones intersectoriales</t>
  </si>
  <si>
    <t xml:space="preserve"> El 24 de mayo se llevó a cabo la primera mesa de transformación cutural con el siguiente orden del día: 1. Presentación de la Estrategia Pedagógica y de Cambio Cultural en el marco del Plan de Desarrollo Distrital 2020-2024 y 2. Contexto institucional de la Mesa de Trabajo de Transformación Cultural. Participaron representantes del Idartes; SDIS; IDPAC; SCRD; SDEducación y SDMujer.
</t>
  </si>
  <si>
    <t xml:space="preserve">Sensibilización a 650 personas (353 hombres A cuidar se aprende y 297 mujeres Cuidamos a las que nos cuidan). Se realizó  evento de lanzamiento 9na Manzana del Cuidado Engativá. Red de Alianzas con 5 empresas del sector salud, sector comercial para generar acciones de amplificación de la red. </t>
  </si>
  <si>
    <t>Número de talleres cambio cultural</t>
  </si>
  <si>
    <t>Número de personas vinculadas</t>
  </si>
  <si>
    <t>Número de hombres vinculados</t>
  </si>
  <si>
    <t>Gestionar la implementación de 1 estrategia de unidades móviles de cuidado</t>
  </si>
  <si>
    <t>7. Gestionar la implementación de 1 estrategia de unidades móviles de cuidado.</t>
  </si>
  <si>
    <t xml:space="preserve">Para el mes de mayo, se realizó y entregó a la Dirección de Contratación, la Adenda de los pliegos definitivos para publicarlos en SECOP II conforme al cronograma establecido del proceso No.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Del mismo modo se realizó la evaluación de las propuestas de los oferentes y se dió desarrollo y entrega al informe de evaluación. Adicionalmente, ell día 27 de mayo, se realizó la cuarta (4) sesión , se desarrolló la mesa local de Unidades Móviles de Servicios de Cuidado,dónde se explicó el proceso de contratación de las unidades móviles, además, se socializaron resultados de las visitas a territorio que tuvieron como propósito revisar y validar la propuesta de las zonas de ubicación de las Unidades Móviles para el ciclo III, así como se expone el balance de implementación del instrumento de caracterización cuidadoras - Sumapaz </t>
  </si>
  <si>
    <t>El retraso se presenta, ya que el proceso se encuentran los pliegos definitivos para publicarse en SECOP II, lo que ha retrasado la adjudicación del mismo.</t>
  </si>
  <si>
    <t xml:space="preserve">Las personas cuidadoras de Bogotá tendrán mayor oferta de servicios según necesidades identificadas por las unidades móviles del cuidado, mejorando el acceso y generando una atención integral cerca a sus lugares de vivienda. </t>
  </si>
  <si>
    <t>18. Definir y poner en marcha dos unidades móviles de servicios de cuidado (Urbana y Rural)</t>
  </si>
  <si>
    <t>Para el mes de mayo, se realiza y se da entrega a la Dirección de Contratación, la Adenda de los pliegos definitivos para publicarlos en SECOP II conforme al cronograma establecido del proceso No. SDMUJER-LP-002-2022 que tiene como objeto prestar lo servicios requeridos para la puesta en marcha de la estrategia territorial del Sistema Distrital de Cuidado para ofrecer a través de las unidades móviles los servicios de cuidado en zonas urbanas y rurales de la ciudad de Bogotá. Del mismo modo se realizó la evaluación de las propuestas de los oferentes y se dió desarrollo y entrega al informe de evaluación.</t>
  </si>
  <si>
    <t>19. Articular las acciones intersectoriales para la puesta en operación de dos (2) unidades móviles de servicios de cuidado (Urbana y Rural)</t>
  </si>
  <si>
    <t xml:space="preserve">El día 27 de mayo, se realizó la cuarta (4) sesión , se desarrolló la mesa local de Unidades Móviles de Servicios de Cuidado,dónde se explicó el proceso de contratación de las unidades móviles, además, se socializaron resultados de las visitas a territorio que tuvieron como propósito revisar y validar la propuesta de las zonas de ubicación de las Unidades Móviles para el ciclo III, así como se expone el balance de implementación del instrumento de caracterización cuidadoras - Sumapaz </t>
  </si>
  <si>
    <t>20. Monitorear y hacer seguimiento a las acciones intersectoriales de las dos (2) unidades móviles de servicios de cuidado (urbana y rural)</t>
  </si>
  <si>
    <t xml:space="preserve">Para el mes de mayo no se han desarrollado acciones de articulación intersectorial, toda vez que la estrategia se encuentra en fase de preparación. </t>
  </si>
  <si>
    <t xml:space="preserve">Radicación proceso No.SDMUJER-LP-002-2022 Licitación Pública para puesta en marcha de estrategia territorial del Sistema Distrital de Cuidado Unidades Móviles en zonas urbanas y rurales. Concertación acciones de caracterización beneficiarias localidad de Sumapaz con mesa local de Unidades Móviles . </t>
  </si>
  <si>
    <t>Número de unidades móviles operando</t>
  </si>
  <si>
    <t>Número de atenciones</t>
  </si>
  <si>
    <t>Número de mujeres cuidadoras</t>
  </si>
  <si>
    <t>Número de personas que requieren cuidado</t>
  </si>
  <si>
    <t>Ptto de inversión acumulado marzo 2022</t>
  </si>
  <si>
    <t>Presupuesto de inversion 2022</t>
  </si>
  <si>
    <t>Reservas constituidas  2021</t>
  </si>
  <si>
    <t>Meta proyecto inversión</t>
  </si>
  <si>
    <t>Programado 2022</t>
  </si>
  <si>
    <t>Comprometido 2022</t>
  </si>
  <si>
    <t>%</t>
  </si>
  <si>
    <t>Girado 2022</t>
  </si>
  <si>
    <t>Reservas definitivas  2021</t>
  </si>
  <si>
    <t xml:space="preserve">Total </t>
  </si>
  <si>
    <t>Fuente: Bogdata 31032022</t>
  </si>
  <si>
    <t>NUEVO PRESUPUESTO REDUCCIÓN</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</si>
  <si>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</si>
  <si>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</si>
  <si>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</si>
  <si>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</si>
  <si>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</si>
  <si>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</si>
  <si>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</si>
  <si>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</si>
  <si>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</si>
  <si>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</si>
  <si>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</si>
  <si>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</si>
  <si>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</si>
  <si>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</si>
  <si>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</si>
  <si>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</si>
  <si>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</si>
  <si>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</si>
  <si>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Cualitativo marzo:</t>
  </si>
  <si>
    <t xml:space="preserve">Primera sesión extraordinaria con 11 entidades del Sector Central y 5 del Sector Descentralizado de la Unidad Técnica de Apoyo el 15 de marzo donde se adelantaron las acciones pertinentes para la inauguración de la manzana del cuidado de Engativá en entidad ancla equipamiento del Sector Salud. </t>
  </si>
  <si>
    <t>Cualitativo abril:</t>
  </si>
  <si>
    <t xml:space="preserve">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</si>
  <si>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</si>
  <si>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</si>
  <si>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</si>
  <si>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</si>
  <si>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</si>
  <si>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</si>
  <si>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</si>
  <si>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</si>
  <si>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</si>
  <si>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</si>
  <si>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</si>
  <si>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</si>
  <si>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Diseño de propuesta de campaña de comunicaciones para la Estrategia Pedagógica y de Cambio Cultutal. Se hizo la revisión y aprobación de la letra final jingle institucional del Sistema de Cuidado (producto desarrollado en el marco del convenio con ONU Mujeres). </t>
  </si>
  <si>
    <t>PRODUCTO</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</si>
  <si>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</si>
  <si>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</si>
  <si>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</si>
  <si>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</si>
  <si>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</si>
  <si>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</si>
  <si>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</si>
  <si>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marzo</t>
  </si>
  <si>
    <t xml:space="preserve">Sesión extraordinaria de Unidad Técnica de Apoyo con participación de 11 Sectores y 5 entidades descentralizadas adscritas, con quienes se coordinaron y articularon acciones para inauguración de manzana del cuidado de Engativá. Publicadción página WEB de la SDMujer y SIDICU actas de las sesiones. </t>
  </si>
  <si>
    <t>abril:</t>
  </si>
  <si>
    <t>mayo:</t>
  </si>
  <si>
    <t>junio:</t>
  </si>
  <si>
    <t>julio</t>
  </si>
  <si>
    <t>agosto</t>
  </si>
  <si>
    <t>septiembre</t>
  </si>
  <si>
    <t>octubre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</si>
  <si>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</si>
  <si>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</si>
  <si>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</si>
  <si>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</si>
  <si>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</si>
  <si>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</si>
  <si>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</si>
  <si>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</si>
  <si>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</si>
  <si>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</si>
  <si>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</si>
  <si>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</si>
  <si>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</si>
  <si>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 xml:space="preserve">Inauguación de la manzana del cuidado en Engativa. 104 actividades de difusión y socialización del Sistema Distrital del Cuidado y servicios en 17 localidades. 30.073 atenciones en ocho manzanas del cuidado. Convocatoria Mesas Locales para monitoreo de acciones intersectoriales de los 13 sectores. </t>
  </si>
  <si>
    <t>Avance a diciembre</t>
  </si>
  <si>
    <t>https://sts.dnp.gov.co/login.aspx?ReturnUrl=%2f%3fwa%3dwsignin1.0%26wtrealm%3dhttps%253a%252f%252fspi.dnp.gov.co%252f%26wctx%3drm%253d0%2526id%253dpassive%2526ru%253d%25252fRegistroTerritorio%25252fDefault.aspx%26wct%3d2022-04-07T15%253a59%253a15Z&amp;wa=wsignin1.0&amp;wtrealm=https%3a%2f%2fspi.dnp.gov.co%2f&amp;wctx=rm%3d0%26id%3dpassive%26ru%3d%252fRegistroTerritorio%252fDefault.aspx&amp;wct=2022-04-07T15%3a59%3a15Z</t>
  </si>
  <si>
    <t xml:space="preserve">FORMULACIÓN Y SEGUIMIENTO PLAN DE ACCIÓN </t>
  </si>
  <si>
    <t>ANEXO - TERRITORIALIZACIÓN</t>
  </si>
  <si>
    <t>Página 3 de 3</t>
  </si>
  <si>
    <t xml:space="preserve">PRORAMACIÓN </t>
  </si>
  <si>
    <t>EJECUCIÓN</t>
  </si>
  <si>
    <t>PERIODO DE REPORTE:</t>
  </si>
  <si>
    <t>ABRIL</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</si>
  <si>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</si>
  <si>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</si>
  <si>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</si>
  <si>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</si>
  <si>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</si>
  <si>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</si>
  <si>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</si>
  <si>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</si>
  <si>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</si>
  <si>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</si>
  <si>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</si>
  <si>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</si>
  <si>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</si>
  <si>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</si>
  <si>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</si>
  <si>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</si>
  <si>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</si>
  <si>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</si>
  <si>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</si>
  <si>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</si>
  <si>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</si>
  <si>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</si>
  <si>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</si>
  <si>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</si>
  <si>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</si>
  <si>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</si>
  <si>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</si>
  <si>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</si>
  <si>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</si>
  <si>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</si>
  <si>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</si>
  <si>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</si>
  <si>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</si>
  <si>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</si>
  <si>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</si>
  <si>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</si>
  <si>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</si>
  <si>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</si>
  <si>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</si>
  <si>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</si>
  <si>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</si>
  <si>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r>
      <t xml:space="preserve">Número de personas vinculadas a los talleres de cambio cultural (Criterio de territorialización para este indicador: </t>
    </r>
    <r>
      <rPr>
        <sz val="11"/>
        <rFont val="Times New Roman"/>
        <family val="1"/>
      </rPr>
      <t xml:space="preserve">Se toma el territorio donde se desarrolló el taller de cambio cultural, para aquellos que no reportan localidad, se reportará en Bogotá Distrito Capital. </t>
    </r>
  </si>
  <si>
    <t>Atenciones de relevos, noviembre 2021 - febrero 2022 (retraso de registro)</t>
  </si>
  <si>
    <t>Total corrido 2021 -2022</t>
  </si>
  <si>
    <t>Relevo</t>
  </si>
  <si>
    <t>Total</t>
  </si>
  <si>
    <t>R1</t>
  </si>
  <si>
    <t>R2</t>
  </si>
  <si>
    <t>R3</t>
  </si>
  <si>
    <t>R4</t>
  </si>
  <si>
    <t>R5</t>
  </si>
  <si>
    <t>R6</t>
  </si>
  <si>
    <t>R7</t>
  </si>
  <si>
    <t>R8</t>
  </si>
  <si>
    <t>R9</t>
  </si>
  <si>
    <t>R10</t>
  </si>
  <si>
    <t>R11</t>
  </si>
  <si>
    <t>R12</t>
  </si>
  <si>
    <t>R13</t>
  </si>
  <si>
    <t>R14</t>
  </si>
  <si>
    <t>R15</t>
  </si>
  <si>
    <t>R16</t>
  </si>
  <si>
    <t>Totales</t>
  </si>
  <si>
    <t xml:space="preserve">Fuente equipo relevos. Ivette </t>
  </si>
  <si>
    <t>Atenciones espacios de respiro en manzanas</t>
  </si>
  <si>
    <t>Total acumulado 2022</t>
  </si>
  <si>
    <t>ene</t>
  </si>
  <si>
    <t>feb</t>
  </si>
  <si>
    <t>mar</t>
  </si>
  <si>
    <t>abr</t>
  </si>
  <si>
    <t>may</t>
  </si>
  <si>
    <t>jun</t>
  </si>
  <si>
    <t>jul</t>
  </si>
  <si>
    <t>ago</t>
  </si>
  <si>
    <t>sep</t>
  </si>
  <si>
    <t>oct</t>
  </si>
  <si>
    <t>nov</t>
  </si>
  <si>
    <t>dic</t>
  </si>
  <si>
    <t>Ciudad Bolívar</t>
  </si>
  <si>
    <t>San Cristobal</t>
  </si>
  <si>
    <t>Usme</t>
  </si>
  <si>
    <t>Los Mártires</t>
  </si>
  <si>
    <t>Usaquen</t>
  </si>
  <si>
    <t>Centro (Santa Fe - Candelaria)</t>
  </si>
  <si>
    <t>Engativa</t>
  </si>
  <si>
    <t>Total atenciones manzanas</t>
  </si>
  <si>
    <t>ER-SDMujer (Aopsicosociales-juridicas)</t>
  </si>
  <si>
    <t>Centro</t>
  </si>
  <si>
    <t>Los Martires</t>
  </si>
  <si>
    <t>Atenciones manzanas</t>
  </si>
  <si>
    <t>Total acumulado 2020-2022</t>
  </si>
  <si>
    <t>El corte de este reporte es al corte de la antepenultima semana</t>
  </si>
  <si>
    <t>Atenciones unidades móviles</t>
  </si>
  <si>
    <t>Unidad móvil urbana</t>
  </si>
  <si>
    <t>Unidad móvil rural</t>
  </si>
  <si>
    <t>Procesos de formación</t>
  </si>
  <si>
    <t>Talleres cambio cultura</t>
  </si>
  <si>
    <t>A cuidar se aprende</t>
  </si>
  <si>
    <t>Mujeres</t>
  </si>
  <si>
    <t>Hombres</t>
  </si>
  <si>
    <t>NA/NS</t>
  </si>
  <si>
    <t>Cuidamos a las que nos cuidan</t>
  </si>
  <si>
    <t>Mujeres negras/afro</t>
  </si>
  <si>
    <t>Intersexual</t>
  </si>
  <si>
    <t>Formación Certificada</t>
  </si>
  <si>
    <t>Total formación</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</si>
  <si>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</si>
  <si>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</si>
  <si>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</si>
  <si>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</si>
  <si>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</si>
  <si>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</si>
  <si>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</si>
  <si>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</si>
  <si>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</si>
  <si>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</si>
  <si>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</si>
  <si>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</si>
  <si>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</si>
  <si>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</si>
  <si>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</si>
  <si>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</si>
  <si>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</si>
  <si>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</si>
  <si>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</si>
  <si>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</si>
  <si>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</si>
  <si>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</si>
  <si>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</si>
  <si>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</si>
  <si>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</si>
  <si>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</si>
  <si>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</si>
  <si>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</si>
  <si>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</si>
  <si>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</si>
  <si>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</si>
  <si>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</si>
  <si>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</si>
  <si>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</si>
  <si>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</si>
  <si>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</si>
  <si>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</si>
  <si>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</si>
  <si>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</si>
  <si>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</si>
  <si>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</si>
  <si>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</si>
  <si>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</si>
  <si>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</si>
  <si>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</si>
  <si>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</si>
  <si>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</si>
  <si>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</si>
  <si>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</si>
  <si>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</si>
  <si>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</si>
  <si>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</si>
  <si>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</si>
  <si>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</si>
  <si>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</si>
  <si>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</si>
  <si>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</si>
  <si>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</si>
  <si>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</si>
  <si>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</si>
  <si>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</si>
  <si>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</si>
  <si>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</si>
  <si>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</si>
  <si>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</si>
  <si>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</si>
  <si>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</si>
  <si>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</si>
  <si>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</si>
  <si>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</si>
  <si>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</si>
  <si>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</si>
  <si>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</si>
  <si>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</si>
  <si>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</si>
  <si>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</si>
  <si>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</si>
  <si>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</si>
  <si>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</si>
  <si>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</si>
  <si>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</si>
  <si>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</si>
  <si>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</si>
  <si>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</si>
  <si>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</si>
  <si>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</si>
  <si>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</si>
  <si>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</si>
  <si>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</si>
  <si>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</si>
  <si>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</si>
  <si>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</si>
  <si>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</si>
  <si>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</si>
  <si>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</si>
  <si>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</si>
  <si>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</si>
  <si>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</si>
  <si>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</si>
  <si>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</si>
  <si>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</si>
  <si>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</si>
  <si>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</si>
  <si>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</si>
  <si>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</si>
  <si>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</si>
  <si>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</si>
  <si>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</si>
  <si>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</si>
  <si>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</si>
  <si>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</si>
  <si>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</si>
  <si>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</si>
  <si>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</si>
  <si>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</si>
  <si>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</si>
  <si>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</si>
  <si>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</si>
  <si>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</si>
  <si>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</si>
  <si>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</si>
  <si>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</si>
  <si>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</si>
  <si>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</si>
  <si>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</si>
  <si>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</si>
  <si>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</si>
  <si>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</si>
  <si>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</si>
  <si>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</si>
  <si>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</si>
  <si>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</si>
  <si>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</si>
  <si>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</si>
  <si>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</si>
  <si>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</si>
  <si>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</si>
  <si>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</si>
  <si>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</si>
  <si>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</si>
  <si>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</si>
  <si>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</si>
  <si>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</si>
  <si>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</si>
  <si>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</si>
  <si>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</si>
  <si>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</si>
  <si>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</si>
  <si>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</si>
  <si>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</si>
  <si>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</si>
  <si>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</si>
  <si>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</si>
  <si>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</si>
  <si>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</si>
  <si>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</si>
  <si>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</si>
  <si>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</si>
  <si>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</si>
  <si>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</si>
  <si>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</si>
  <si>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</si>
  <si>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</si>
  <si>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</si>
  <si>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</si>
  <si>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</si>
  <si>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</si>
  <si>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</si>
  <si>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</si>
  <si>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</si>
  <si>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</si>
  <si>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</si>
  <si>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</si>
  <si>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</si>
  <si>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</si>
  <si>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</si>
  <si>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</si>
  <si>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</si>
  <si>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</si>
  <si>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</si>
  <si>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</si>
  <si>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</si>
  <si>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</si>
  <si>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</si>
  <si>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</si>
  <si>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</si>
  <si>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</si>
  <si>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</si>
  <si>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</si>
  <si>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</si>
  <si>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</si>
  <si>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</si>
  <si>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</si>
  <si>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</si>
  <si>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</si>
  <si>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</si>
  <si>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</si>
  <si>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</si>
  <si>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</si>
  <si>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</si>
  <si>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</si>
  <si>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</si>
  <si>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</si>
  <si>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</si>
  <si>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</si>
  <si>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</si>
  <si>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</si>
  <si>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</si>
  <si>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</si>
  <si>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</si>
  <si>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</si>
  <si>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</si>
  <si>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</si>
  <si>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</si>
  <si>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</si>
  <si>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</si>
  <si>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</si>
  <si>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</si>
  <si>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</si>
  <si>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</si>
  <si>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</si>
  <si>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</si>
  <si>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</si>
  <si>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</si>
  <si>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</si>
  <si>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</si>
  <si>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</si>
  <si>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</si>
  <si>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3/0/62022</t>
  </si>
  <si>
    <t>MAYO</t>
  </si>
  <si>
    <t>Durante el año 2022, se han vinculado a los talleres de cambio cultural 1.677 (548 hombres, 2 intersexuales, 1103 mujeres y sin información 24) personas, de las cuales, durante el mes de mayo, se sensibilizaron un total de 691 personas. Esto se realizó por medio de los talleres de "A cuidar se Aprende" (959 peresonas), y "Cuidamos a las que nos Cuidan"(718 personas).</t>
  </si>
  <si>
    <t>Durante el año 2022, se han  1.677 (548 hombres, 2 intersexuales, 1103 mujeres y sin información 24) personas, de las cuales, durante el mes de mayo, se sensibilizaron un total de 691 personas. Esto se realizó por medio de los talleres de "A cuidar se Aprende" (959 peresonas), y "Cuidamos a las que nos Cuidan"(718 personas). Por otra parte, en el marco de la expansión de la Red de Alianzas del Cuidado, durante el mes de mayo se realizó un taller de articulación externa con la Vicaría de Tunjuelito que contó con la participación de siete mujeres cuidadoras, así mismo, el 24 de mayo se llevó a cabo la primera mesa de transformación cultural con el siguiente orden del día: 1. Presentación de la Estrategia Pedagógica y de Cambio Cultural en el marco del Plan de Desarrollo Distrital 2020-2024 y 2. Contexto institucional de la Mesa de Trabajo de Transformación Cultural. Participaron representantes del Idartes; SDIS; IDPAC; SCRD; SDEducación y SDMujer</t>
  </si>
  <si>
    <t>Durante el mes de mayo, se articularon las acciones intersectoriales requeridas para la preparación y puesta en operación de la Manzana del Cuidado de Rafael Uribe Uribe, entre ellas, una visita técnica y una avanzada liderada por la Alcaldía Mayor. Estas fueron acciones indispensables para la inauguración de la manzana número 10, prevista para el próximo 2 de junio del 2022</t>
  </si>
  <si>
    <t>mpi1</t>
  </si>
  <si>
    <t>mpi2</t>
  </si>
  <si>
    <t>mpi3</t>
  </si>
  <si>
    <t>mpi4</t>
  </si>
  <si>
    <t>mpi5</t>
  </si>
  <si>
    <t>mpi6</t>
  </si>
  <si>
    <t>mpi7</t>
  </si>
  <si>
    <t>PROGRAMACION</t>
  </si>
  <si>
    <t>PLAN DE ACCION</t>
  </si>
  <si>
    <t xml:space="preserve">No. De la Meta / Descripción </t>
  </si>
  <si>
    <t>PROG. DE COMPROMISOS</t>
  </si>
  <si>
    <t>MAGNITUD PROGRAMADA</t>
  </si>
  <si>
    <t>MAGNITUD EJECUTADA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</si>
</sst>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 #,##0;\-&quot;$&quot;\ #,##0"/>
    <numFmt numFmtId="41" formatCode="_-* #,##0_-;\-* #,##0_-;_-* &quot;-&quot;_-;_-@_-"/>
    <numFmt numFmtId="44" formatCode="_-&quot;$&quot;\ * #,##0.00_-;\-&quot;$&quot;\ * #,##0.00_-;_-&quot;$&quot;\ * &quot;-&quot;??_-;_-@_-"/>
    <numFmt numFmtId="164" formatCode="_-* #,##0\ _€_-;\-* #,##0\ _€_-;_-* &quot;-&quot;\ _€_-;_-@"/>
    <numFmt numFmtId="165" formatCode="#,##0;[Red]#,##0"/>
    <numFmt numFmtId="166" formatCode="_-* #,##0\ _€_-;\-* #,##0\ _€_-;_-* &quot;-&quot;??\ _€_-;_-@"/>
    <numFmt numFmtId="167" formatCode="_-* #,##0\ &quot;€&quot;_-;\-* #,##0\ &quot;€&quot;_-;_-* &quot;-&quot;\ &quot;€&quot;_-;_-@"/>
    <numFmt numFmtId="168" formatCode="0.0"/>
    <numFmt numFmtId="169" formatCode="0.000"/>
    <numFmt numFmtId="170" formatCode="[$$-240A]\ #,##0;[Red][$$-240A]\ #,##0"/>
    <numFmt numFmtId="171" formatCode="&quot;$&quot;\ #,##0"/>
    <numFmt numFmtId="172" formatCode="0.0%"/>
    <numFmt numFmtId="173" formatCode="_-* #,##0.00\ _€_-;\-* #,##0.00\ _€_-;_-* &quot;-&quot;\ _€_-;_-@"/>
    <numFmt numFmtId="174" formatCode="#,##0.000"/>
    <numFmt numFmtId="175" formatCode="_-* #,##0.00\ _€_-;\-* #,##0.00\ _€_-;_-* &quot;-&quot;??\ _€_-;_-@"/>
    <numFmt numFmtId="176" formatCode="#,##0.0"/>
    <numFmt numFmtId="177" formatCode="_-* #,##0_-;\-* #,##0_-;_-* &quot;-&quot;_-;_-@"/>
    <numFmt numFmtId="178" formatCode="_-[$$-240A]\ * #,##0.00_-;\-[$$-240A]\ * #,##0.00_-;_-[$$-240A]\ * &quot;-&quot;??_-;_-@"/>
    <numFmt numFmtId="179" formatCode="#,##0_ ;\-#,##0\ "/>
    <numFmt numFmtId="180" formatCode="#,##0.00_ ;\-#,##0.00\ "/>
    <numFmt numFmtId="181" formatCode="_-* #,##0.000\ _€_-;\-* #,##0.000\ _€_-;_-* &quot;-&quot;??\ _€_-;_-@"/>
    <numFmt numFmtId="182" formatCode="_-* #,##0.000\ _€_-;\-* #,##0.000\ _€_-;_-* &quot;-&quot;\ _€_-;_-@"/>
    <numFmt numFmtId="183" formatCode="_-* #,##0.00\ _€_-;\-* #,##0.00\ _€_-;_-* &quot;-&quot;??\ _€_-;_-@_-"/>
    <numFmt numFmtId="184" formatCode="_-* #,##0\ _€_-;\-* #,##0\ _€_-;_-* &quot;-&quot;??\ _€_-;_-@_-"/>
  </numFmts>
  <fonts count="51">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
      <sz val="8"/>
      <name val="Arial"/>
      <family val="2"/>
    </font>
    <font>
      <b/>
      <sz val="18"/>
      <color theme="0" tint="-0.34998626667073579"/>
      <name val="Calibri"/>
      <family val="2"/>
      <scheme val="minor"/>
    </font>
    <font>
      <b/>
      <sz val="11"/>
      <color theme="0" tint="-0.34998626667073579"/>
      <name val="Calibri"/>
      <family val="2"/>
      <scheme val="minor"/>
    </font>
    <font>
      <sz val="12"/>
      <name val="Calibri"/>
      <family val="2"/>
    </font>
    <font>
      <sz val="11"/>
      <name val="Calibri"/>
      <family val="2"/>
    </font>
    <font>
      <sz val="12"/>
      <color rgb="FF000000"/>
      <name val="Times New Roman"/>
      <family val="1"/>
    </font>
    <font>
      <sz val="11"/>
      <name val="Calibri"/>
    </font>
    <font>
      <sz val="10"/>
      <name val="Arial"/>
      <family val="2"/>
    </font>
    <font>
      <b/>
      <sz val="11"/>
      <color rgb="FF000000"/>
      <name val="Calibri"/>
      <family val="2"/>
      <scheme val="minor"/>
    </font>
  </fonts>
  <fills count="48">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79998168889431442"/>
        <bgColor rgb="FFC6D9F0"/>
      </patternFill>
    </fill>
    <fill>
      <patternFill patternType="solid">
        <fgColor theme="5" tint="0.59999389629810485"/>
        <bgColor indexed="64"/>
      </patternFill>
    </fill>
    <fill>
      <patternFill patternType="solid">
        <fgColor theme="9" tint="0.79998168889431442"/>
        <bgColor rgb="FFE5B8B7"/>
      </patternFill>
    </fill>
    <fill>
      <patternFill patternType="solid">
        <fgColor theme="5" tint="0.59999389629810485"/>
        <bgColor rgb="FFE5B8B7"/>
      </patternFill>
    </fill>
    <fill>
      <patternFill patternType="solid">
        <fgColor theme="7" tint="0.79998168889431442"/>
        <bgColor indexed="64"/>
      </patternFill>
    </fill>
    <fill>
      <patternFill patternType="solid">
        <fgColor rgb="FFFFFFFF"/>
        <bgColor rgb="FF000000"/>
      </patternFill>
    </fill>
    <fill>
      <patternFill patternType="solid">
        <fgColor theme="7" tint="0.39997558519241921"/>
        <bgColor rgb="FFCCC0D9"/>
      </patternFill>
    </fill>
    <fill>
      <patternFill patternType="solid">
        <fgColor theme="7" tint="0.39997558519241921"/>
        <bgColor indexed="64"/>
      </patternFill>
    </fill>
    <fill>
      <patternFill patternType="solid">
        <fgColor theme="0"/>
        <bgColor indexed="64"/>
      </patternFill>
    </fill>
  </fills>
  <borders count="13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thin">
        <color rgb="FF000000"/>
      </right>
      <top style="thin">
        <color indexed="64"/>
      </top>
      <bottom/>
      <diagonal/>
    </border>
    <border>
      <left style="thin">
        <color indexed="64"/>
      </left>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thin">
        <color indexed="64"/>
      </top>
      <bottom/>
      <diagonal/>
    </border>
    <border>
      <left style="thin">
        <color indexed="64"/>
      </left>
      <right/>
      <top/>
      <bottom style="medium">
        <color rgb="FF000000"/>
      </bottom>
      <diagonal/>
    </border>
    <border>
      <left/>
      <right style="medium">
        <color indexed="64"/>
      </right>
      <top/>
      <bottom style="thin">
        <color rgb="FF000000"/>
      </bottom>
      <diagonal/>
    </border>
    <border>
      <left/>
      <right/>
      <top/>
      <bottom style="thin">
        <color indexed="64"/>
      </bottom>
      <diagonal/>
    </border>
    <border>
      <left style="thin">
        <color indexed="64"/>
      </left>
      <right style="thin">
        <color indexed="64"/>
      </right>
      <top/>
      <bottom/>
      <diagonal/>
    </border>
  </borders>
  <cellStyleXfs count="17">
    <xf numFmtId="0" fontId="0" fillId="0" borderId="0"/>
    <xf numFmtId="41" fontId="20" fillId="0" borderId="0" applyFont="0" applyFill="0" applyBorder="0" applyAlignment="0" applyProtection="0"/>
    <xf numFmtId="9" fontId="24" fillId="0" borderId="0" applyFont="0" applyFill="0" applyBorder="0" applyAlignment="0" applyProtection="0"/>
    <xf numFmtId="0" fontId="3" fillId="0" borderId="69"/>
    <xf numFmtId="0" fontId="6" fillId="0" borderId="69"/>
    <xf numFmtId="0" fontId="46" fillId="0" borderId="69"/>
    <xf numFmtId="41" fontId="6" fillId="0" borderId="69" applyFont="0" applyFill="0" applyBorder="0" applyAlignment="0" applyProtection="0"/>
    <xf numFmtId="9" fontId="6" fillId="0" borderId="69" applyFont="0" applyFill="0" applyBorder="0" applyAlignment="0" applyProtection="0"/>
    <xf numFmtId="0" fontId="2" fillId="0" borderId="69"/>
    <xf numFmtId="0" fontId="46" fillId="0" borderId="69"/>
    <xf numFmtId="0" fontId="46" fillId="0" borderId="69"/>
    <xf numFmtId="44" fontId="48" fillId="0" borderId="0" applyFont="0" applyFill="0" applyBorder="0" applyAlignment="0" applyProtection="0"/>
    <xf numFmtId="0" fontId="49" fillId="0" borderId="69"/>
    <xf numFmtId="0" fontId="1" fillId="0" borderId="69"/>
    <xf numFmtId="9" fontId="1" fillId="0" borderId="69" applyFont="0" applyFill="0" applyBorder="0" applyAlignment="0" applyProtection="0"/>
    <xf numFmtId="183" fontId="1" fillId="0" borderId="69" applyFont="0" applyFill="0" applyBorder="0" applyAlignment="0" applyProtection="0"/>
    <xf numFmtId="9" fontId="6" fillId="0" borderId="69" applyFont="0" applyFill="0" applyBorder="0" applyAlignment="0" applyProtection="0"/>
  </cellStyleXfs>
  <cellXfs count="946">
    <xf numFmtId="0" fontId="0" fillId="0" borderId="0" xfId="0"/>
    <xf numFmtId="0" fontId="0" fillId="0" borderId="0" xfId="0"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5" fillId="0" borderId="15" xfId="0" applyFont="1" applyBorder="1" applyAlignment="1">
      <alignment horizontal="center" vertical="center" wrapText="1"/>
    </xf>
    <xf numFmtId="0" fontId="12" fillId="0" borderId="0" xfId="0" applyFont="1" applyAlignment="1">
      <alignment horizontal="center" vertical="center" wrapText="1"/>
    </xf>
    <xf numFmtId="0" fontId="4" fillId="0" borderId="18" xfId="0" applyFont="1" applyBorder="1" applyAlignment="1">
      <alignment vertical="center" wrapText="1"/>
    </xf>
    <xf numFmtId="165" fontId="0" fillId="0" borderId="0" xfId="0" applyNumberFormat="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166" fontId="0" fillId="0" borderId="28" xfId="0" applyNumberFormat="1" applyBorder="1" applyAlignment="1">
      <alignment vertical="center"/>
    </xf>
    <xf numFmtId="166"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6"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6"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6" fontId="0" fillId="0" borderId="36" xfId="0" applyNumberFormat="1" applyBorder="1" applyAlignment="1">
      <alignment vertical="center"/>
    </xf>
    <xf numFmtId="9" fontId="0" fillId="0" borderId="37" xfId="0" applyNumberFormat="1" applyBorder="1" applyAlignment="1">
      <alignment vertical="center"/>
    </xf>
    <xf numFmtId="0" fontId="5" fillId="2" borderId="32" xfId="0" applyFont="1" applyFill="1" applyBorder="1" applyAlignment="1">
      <alignment horizontal="center" vertical="center" wrapText="1"/>
    </xf>
    <xf numFmtId="0" fontId="4" fillId="0" borderId="40" xfId="0" applyFont="1" applyBorder="1" applyAlignment="1">
      <alignment horizontal="left" vertical="center" wrapText="1"/>
    </xf>
    <xf numFmtId="4" fontId="0" fillId="0" borderId="36" xfId="0" applyNumberFormat="1" applyBorder="1" applyAlignment="1">
      <alignment horizontal="center" vertical="center"/>
    </xf>
    <xf numFmtId="167" fontId="0" fillId="0" borderId="0" xfId="0" applyNumberFormat="1" applyAlignment="1">
      <alignment vertical="center"/>
    </xf>
    <xf numFmtId="0" fontId="5" fillId="4" borderId="36" xfId="0" applyFont="1" applyFill="1" applyBorder="1" applyAlignment="1">
      <alignment horizontal="left" vertical="center" wrapText="1"/>
    </xf>
    <xf numFmtId="9" fontId="10" fillId="0" borderId="0" xfId="0" applyNumberFormat="1" applyFont="1" applyAlignment="1">
      <alignment horizontal="center" vertical="center"/>
    </xf>
    <xf numFmtId="167" fontId="10" fillId="0" borderId="0" xfId="0" applyNumberFormat="1" applyFont="1" applyAlignment="1">
      <alignment vertical="center"/>
    </xf>
    <xf numFmtId="9" fontId="15" fillId="0" borderId="32" xfId="0" applyNumberFormat="1" applyFont="1" applyBorder="1" applyAlignment="1">
      <alignment horizontal="center" vertical="center" wrapText="1"/>
    </xf>
    <xf numFmtId="9" fontId="5" fillId="0" borderId="0" xfId="0" applyNumberFormat="1" applyFont="1" applyAlignment="1">
      <alignment vertical="center" wrapText="1"/>
    </xf>
    <xf numFmtId="0" fontId="10" fillId="0" borderId="0" xfId="0" applyFont="1" applyAlignment="1">
      <alignment vertical="center"/>
    </xf>
    <xf numFmtId="0" fontId="5" fillId="4" borderId="32" xfId="0" applyFont="1" applyFill="1" applyBorder="1" applyAlignment="1">
      <alignment horizontal="left" vertical="center" wrapText="1"/>
    </xf>
    <xf numFmtId="9" fontId="4" fillId="4" borderId="32"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9" fontId="4" fillId="4" borderId="53" xfId="0" applyNumberFormat="1" applyFont="1" applyFill="1" applyBorder="1" applyAlignment="1">
      <alignment horizontal="center" vertical="center" wrapText="1"/>
    </xf>
    <xf numFmtId="0" fontId="10" fillId="0" borderId="0" xfId="0" applyFont="1" applyAlignment="1">
      <alignment horizontal="center" vertical="center"/>
    </xf>
    <xf numFmtId="169" fontId="0" fillId="0" borderId="0" xfId="0" applyNumberFormat="1" applyAlignment="1">
      <alignment horizontal="center" vertical="center"/>
    </xf>
    <xf numFmtId="0" fontId="0" fillId="5" borderId="54" xfId="0" applyFill="1" applyBorder="1" applyAlignment="1">
      <alignment vertical="center"/>
    </xf>
    <xf numFmtId="169" fontId="0" fillId="5" borderId="54" xfId="0" applyNumberFormat="1" applyFill="1" applyBorder="1" applyAlignment="1">
      <alignment horizontal="center" vertical="center"/>
    </xf>
    <xf numFmtId="169" fontId="0" fillId="5" borderId="55" xfId="0" applyNumberFormat="1" applyFill="1" applyBorder="1" applyAlignment="1">
      <alignment horizontal="center" vertical="center"/>
    </xf>
    <xf numFmtId="0" fontId="0" fillId="6" borderId="54" xfId="0" applyFill="1" applyBorder="1" applyAlignment="1">
      <alignment vertical="center"/>
    </xf>
    <xf numFmtId="169"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5" fillId="0" borderId="60" xfId="0" applyNumberFormat="1"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 xfId="0" applyFont="1" applyBorder="1" applyAlignment="1">
      <alignment horizontal="center" vertical="center" wrapText="1"/>
    </xf>
    <xf numFmtId="9" fontId="14" fillId="4" borderId="36" xfId="0" applyNumberFormat="1" applyFont="1" applyFill="1" applyBorder="1" applyAlignment="1">
      <alignment vertical="center" wrapText="1"/>
    </xf>
    <xf numFmtId="172" fontId="5" fillId="4" borderId="36" xfId="0" applyNumberFormat="1" applyFont="1" applyFill="1" applyBorder="1" applyAlignment="1">
      <alignment vertical="center" wrapText="1"/>
    </xf>
    <xf numFmtId="9" fontId="5" fillId="4" borderId="36" xfId="0" applyNumberFormat="1" applyFont="1" applyFill="1" applyBorder="1" applyAlignment="1">
      <alignment horizontal="center" vertical="center" wrapText="1"/>
    </xf>
    <xf numFmtId="9" fontId="4" fillId="0" borderId="32" xfId="0" applyNumberFormat="1" applyFont="1" applyBorder="1" applyAlignment="1">
      <alignment horizontal="center" vertical="center" wrapText="1"/>
    </xf>
    <xf numFmtId="9" fontId="4" fillId="4" borderId="36" xfId="0" applyNumberFormat="1" applyFont="1" applyFill="1" applyBorder="1" applyAlignment="1">
      <alignment horizontal="center" vertical="center" wrapText="1"/>
    </xf>
    <xf numFmtId="9" fontId="4"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69" fontId="4" fillId="0" borderId="0" xfId="0" applyNumberFormat="1" applyFont="1" applyAlignment="1">
      <alignment vertical="center"/>
    </xf>
    <xf numFmtId="174" fontId="0" fillId="0" borderId="0" xfId="0" applyNumberFormat="1" applyAlignment="1">
      <alignment vertical="center"/>
    </xf>
    <xf numFmtId="172" fontId="0" fillId="8" borderId="54" xfId="0" applyNumberFormat="1" applyFill="1" applyBorder="1" applyAlignment="1">
      <alignment horizontal="center" vertical="center"/>
    </xf>
    <xf numFmtId="0" fontId="0" fillId="9" borderId="54" xfId="0" applyFill="1" applyBorder="1" applyAlignment="1">
      <alignment vertical="center"/>
    </xf>
    <xf numFmtId="172" fontId="0" fillId="8" borderId="54" xfId="0" applyNumberFormat="1" applyFill="1" applyBorder="1" applyAlignment="1">
      <alignment horizontal="left" vertical="center" wrapText="1"/>
    </xf>
    <xf numFmtId="2" fontId="10"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0" fontId="17" fillId="0" borderId="32" xfId="0" applyFont="1" applyBorder="1" applyAlignment="1">
      <alignment vertical="center"/>
    </xf>
    <xf numFmtId="0" fontId="4" fillId="0" borderId="32" xfId="0" applyFont="1" applyBorder="1" applyAlignment="1">
      <alignment horizontal="left" vertical="center" wrapText="1"/>
    </xf>
    <xf numFmtId="0" fontId="16" fillId="4" borderId="32" xfId="0" applyFont="1" applyFill="1" applyBorder="1" applyAlignment="1">
      <alignment horizontal="center" vertical="center"/>
    </xf>
    <xf numFmtId="0" fontId="16" fillId="4" borderId="32" xfId="0" applyFont="1" applyFill="1" applyBorder="1" applyAlignment="1">
      <alignment horizontal="left" vertical="center"/>
    </xf>
    <xf numFmtId="0" fontId="17" fillId="0" borderId="0" xfId="0" applyFont="1" applyAlignment="1">
      <alignment vertical="center"/>
    </xf>
    <xf numFmtId="0" fontId="17"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5" fillId="13" borderId="32" xfId="0" applyNumberFormat="1" applyFont="1" applyFill="1" applyBorder="1" applyAlignment="1">
      <alignment horizontal="center" vertical="center" wrapText="1"/>
    </xf>
    <xf numFmtId="9" fontId="18" fillId="13" borderId="53" xfId="0" applyNumberFormat="1" applyFont="1" applyFill="1" applyBorder="1" applyAlignment="1">
      <alignment horizontal="center" vertical="center" wrapText="1"/>
    </xf>
    <xf numFmtId="9" fontId="15" fillId="13" borderId="31" xfId="0" applyNumberFormat="1" applyFont="1" applyFill="1" applyBorder="1" applyAlignment="1">
      <alignment horizontal="center" vertical="center" wrapText="1"/>
    </xf>
    <xf numFmtId="9" fontId="18" fillId="13" borderId="33"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5" fillId="14" borderId="32" xfId="0" applyNumberFormat="1" applyFont="1" applyFill="1" applyBorder="1" applyAlignment="1">
      <alignment horizontal="center" vertical="center" wrapText="1"/>
    </xf>
    <xf numFmtId="9" fontId="18" fillId="14" borderId="53" xfId="0" applyNumberFormat="1" applyFont="1" applyFill="1" applyBorder="1" applyAlignment="1">
      <alignment horizontal="center" vertical="center" wrapText="1"/>
    </xf>
    <xf numFmtId="9" fontId="18"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4" fontId="22" fillId="4" borderId="36" xfId="0" applyNumberFormat="1" applyFont="1" applyFill="1" applyBorder="1" applyAlignment="1">
      <alignment horizontal="center" vertical="center" wrapText="1"/>
    </xf>
    <xf numFmtId="3" fontId="22" fillId="4" borderId="36" xfId="0" applyNumberFormat="1" applyFont="1" applyFill="1" applyBorder="1" applyAlignment="1">
      <alignment vertical="center" wrapText="1"/>
    </xf>
    <xf numFmtId="9" fontId="0" fillId="0" borderId="0" xfId="2" applyFont="1" applyAlignment="1">
      <alignment vertical="center"/>
    </xf>
    <xf numFmtId="5" fontId="0" fillId="0" borderId="28" xfId="0" applyNumberFormat="1" applyBorder="1" applyAlignment="1">
      <alignment vertical="center"/>
    </xf>
    <xf numFmtId="166" fontId="0" fillId="0" borderId="74" xfId="0" applyNumberFormat="1" applyBorder="1" applyAlignment="1">
      <alignment vertical="center"/>
    </xf>
    <xf numFmtId="0" fontId="0" fillId="0" borderId="31" xfId="0" applyBorder="1" applyAlignment="1">
      <alignment vertical="center"/>
    </xf>
    <xf numFmtId="171" fontId="0" fillId="0" borderId="29" xfId="0" applyNumberFormat="1" applyBorder="1" applyAlignment="1">
      <alignment vertical="center"/>
    </xf>
    <xf numFmtId="171" fontId="0" fillId="0" borderId="32" xfId="0" applyNumberFormat="1" applyBorder="1" applyAlignment="1">
      <alignment vertical="center"/>
    </xf>
    <xf numFmtId="0" fontId="25" fillId="0" borderId="69" xfId="3" applyFont="1"/>
    <xf numFmtId="0" fontId="3" fillId="0" borderId="69" xfId="3"/>
    <xf numFmtId="9" fontId="3" fillId="0" borderId="69" xfId="3" applyNumberFormat="1"/>
    <xf numFmtId="2" fontId="3" fillId="0" borderId="69" xfId="3" applyNumberFormat="1"/>
    <xf numFmtId="0" fontId="27" fillId="0" borderId="69" xfId="3" applyFont="1"/>
    <xf numFmtId="0" fontId="28" fillId="0" borderId="69" xfId="3" applyFont="1" applyAlignment="1">
      <alignment vertical="center"/>
    </xf>
    <xf numFmtId="0" fontId="28" fillId="0" borderId="69" xfId="3" applyFont="1" applyAlignment="1">
      <alignment horizontal="center" vertical="center" wrapText="1"/>
    </xf>
    <xf numFmtId="0" fontId="29" fillId="0" borderId="69" xfId="3" applyFont="1"/>
    <xf numFmtId="5" fontId="0" fillId="0" borderId="63" xfId="0" applyNumberFormat="1" applyBorder="1" applyAlignment="1">
      <alignment vertical="center"/>
    </xf>
    <xf numFmtId="166" fontId="0" fillId="0" borderId="33" xfId="0" applyNumberFormat="1" applyBorder="1" applyAlignment="1">
      <alignment vertical="center"/>
    </xf>
    <xf numFmtId="0" fontId="31" fillId="0" borderId="0" xfId="0" applyFont="1" applyAlignment="1">
      <alignment vertical="center" wrapText="1"/>
    </xf>
    <xf numFmtId="0" fontId="31" fillId="0" borderId="0" xfId="0" applyFont="1"/>
    <xf numFmtId="0" fontId="32" fillId="0" borderId="58" xfId="0" applyFont="1" applyBorder="1" applyAlignment="1">
      <alignment horizontal="center" vertical="center" wrapText="1"/>
    </xf>
    <xf numFmtId="171" fontId="32" fillId="23" borderId="58" xfId="0" applyNumberFormat="1" applyFont="1" applyFill="1" applyBorder="1" applyAlignment="1">
      <alignment horizontal="center" vertical="center" wrapText="1"/>
    </xf>
    <xf numFmtId="0" fontId="32" fillId="23" borderId="58" xfId="0" applyFont="1" applyFill="1" applyBorder="1" applyAlignment="1">
      <alignment horizontal="center" vertical="center"/>
    </xf>
    <xf numFmtId="171" fontId="32" fillId="24" borderId="58" xfId="0" applyNumberFormat="1" applyFont="1" applyFill="1" applyBorder="1" applyAlignment="1">
      <alignment horizontal="center" vertical="center" wrapText="1"/>
    </xf>
    <xf numFmtId="0" fontId="32" fillId="24" borderId="58" xfId="0" applyFont="1" applyFill="1" applyBorder="1" applyAlignment="1">
      <alignment horizontal="center" vertical="center"/>
    </xf>
    <xf numFmtId="0" fontId="31" fillId="0" borderId="0" xfId="0" applyFont="1" applyAlignment="1">
      <alignment vertical="center"/>
    </xf>
    <xf numFmtId="0" fontId="31" fillId="0" borderId="58" xfId="0" applyFont="1" applyBorder="1" applyAlignment="1">
      <alignment vertical="center" wrapText="1"/>
    </xf>
    <xf numFmtId="171" fontId="31" fillId="23" borderId="58" xfId="0" applyNumberFormat="1" applyFont="1" applyFill="1" applyBorder="1" applyAlignment="1">
      <alignment vertical="center" wrapText="1"/>
    </xf>
    <xf numFmtId="9" fontId="31" fillId="23" borderId="58" xfId="2" applyFont="1" applyFill="1" applyBorder="1" applyAlignment="1">
      <alignment vertical="center" wrapText="1"/>
    </xf>
    <xf numFmtId="171" fontId="31" fillId="24" borderId="58" xfId="0" applyNumberFormat="1" applyFont="1" applyFill="1" applyBorder="1" applyAlignment="1">
      <alignment vertical="center" wrapText="1"/>
    </xf>
    <xf numFmtId="9" fontId="31" fillId="24" borderId="58" xfId="2" applyFont="1" applyFill="1" applyBorder="1" applyAlignment="1">
      <alignment vertical="center" wrapText="1"/>
    </xf>
    <xf numFmtId="0" fontId="32" fillId="0" borderId="58" xfId="0" applyFont="1" applyBorder="1" applyAlignment="1">
      <alignment horizontal="right" vertical="center" wrapText="1"/>
    </xf>
    <xf numFmtId="171" fontId="32" fillId="0" borderId="58" xfId="0" applyNumberFormat="1" applyFont="1" applyBorder="1" applyAlignment="1">
      <alignment vertical="center" wrapText="1"/>
    </xf>
    <xf numFmtId="9" fontId="32" fillId="0" borderId="58" xfId="2" applyFont="1" applyBorder="1" applyAlignment="1">
      <alignment vertical="center" wrapText="1"/>
    </xf>
    <xf numFmtId="171" fontId="31" fillId="0" borderId="0" xfId="0" applyNumberFormat="1" applyFont="1" applyAlignment="1">
      <alignment vertical="center" wrapText="1"/>
    </xf>
    <xf numFmtId="0" fontId="31" fillId="0" borderId="0" xfId="0" applyFont="1" applyAlignment="1">
      <alignment horizontal="center"/>
    </xf>
    <xf numFmtId="171" fontId="32" fillId="0" borderId="58" xfId="0" applyNumberFormat="1" applyFont="1" applyBorder="1" applyAlignment="1">
      <alignment horizontal="right" vertical="center"/>
    </xf>
    <xf numFmtId="171" fontId="32" fillId="0" borderId="58" xfId="0" applyNumberFormat="1" applyFont="1" applyBorder="1" applyAlignment="1">
      <alignment vertical="center"/>
    </xf>
    <xf numFmtId="0" fontId="32" fillId="23" borderId="58" xfId="0"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2" fontId="5" fillId="4" borderId="36" xfId="0" applyNumberFormat="1" applyFont="1" applyFill="1" applyBorder="1" applyAlignment="1">
      <alignment horizontal="right" vertical="center" wrapText="1"/>
    </xf>
    <xf numFmtId="4" fontId="5" fillId="26" borderId="36" xfId="0" applyNumberFormat="1" applyFont="1" applyFill="1" applyBorder="1" applyAlignment="1">
      <alignment horizontal="center" vertical="center" wrapText="1"/>
    </xf>
    <xf numFmtId="4" fontId="5" fillId="4" borderId="36" xfId="0" applyNumberFormat="1" applyFont="1" applyFill="1" applyBorder="1" applyAlignment="1">
      <alignment horizontal="right" vertical="center" wrapText="1"/>
    </xf>
    <xf numFmtId="9" fontId="0" fillId="0" borderId="0" xfId="2" applyFont="1" applyAlignment="1">
      <alignment horizontal="center" vertical="center"/>
    </xf>
    <xf numFmtId="166" fontId="0" fillId="0" borderId="51" xfId="0" applyNumberFormat="1" applyBorder="1" applyAlignment="1">
      <alignment vertical="center"/>
    </xf>
    <xf numFmtId="166" fontId="0" fillId="0" borderId="63" xfId="0" applyNumberFormat="1" applyBorder="1" applyAlignment="1">
      <alignment vertical="center"/>
    </xf>
    <xf numFmtId="5" fontId="0" fillId="0" borderId="84" xfId="0" applyNumberFormat="1" applyBorder="1" applyAlignment="1">
      <alignment vertical="center"/>
    </xf>
    <xf numFmtId="2" fontId="33" fillId="0" borderId="69" xfId="3" applyNumberFormat="1" applyFont="1"/>
    <xf numFmtId="0" fontId="6" fillId="0" borderId="69" xfId="4"/>
    <xf numFmtId="0" fontId="4" fillId="0" borderId="32" xfId="4" applyFont="1" applyBorder="1" applyAlignment="1">
      <alignment horizontal="center" vertical="center"/>
    </xf>
    <xf numFmtId="0" fontId="5" fillId="4" borderId="32" xfId="4" applyFont="1" applyFill="1" applyBorder="1" applyAlignment="1">
      <alignment horizontal="center" vertical="center" wrapText="1"/>
    </xf>
    <xf numFmtId="177" fontId="4" fillId="0" borderId="32" xfId="4" applyNumberFormat="1" applyFont="1" applyBorder="1" applyAlignment="1">
      <alignment vertical="center" wrapText="1"/>
    </xf>
    <xf numFmtId="0" fontId="4" fillId="0" borderId="32" xfId="4" applyFont="1" applyBorder="1" applyAlignment="1">
      <alignment vertical="center" wrapText="1"/>
    </xf>
    <xf numFmtId="0" fontId="4" fillId="0" borderId="32" xfId="4" applyFont="1" applyBorder="1" applyAlignment="1">
      <alignment horizontal="center" vertical="center" wrapText="1"/>
    </xf>
    <xf numFmtId="0" fontId="4" fillId="0" borderId="72" xfId="4" applyFont="1" applyBorder="1" applyAlignment="1">
      <alignment vertical="center" wrapText="1"/>
    </xf>
    <xf numFmtId="173" fontId="4" fillId="0" borderId="32" xfId="4" applyNumberFormat="1" applyFont="1" applyBorder="1" applyAlignment="1">
      <alignment horizontal="center" vertical="center" wrapText="1"/>
    </xf>
    <xf numFmtId="164" fontId="4" fillId="0" borderId="32" xfId="4" applyNumberFormat="1" applyFont="1" applyBorder="1" applyAlignment="1">
      <alignment horizontal="center" vertical="center" wrapText="1"/>
    </xf>
    <xf numFmtId="9" fontId="4" fillId="0" borderId="32" xfId="4" applyNumberFormat="1" applyFont="1" applyBorder="1" applyAlignment="1">
      <alignment horizontal="center" vertical="center" wrapText="1"/>
    </xf>
    <xf numFmtId="164" fontId="4" fillId="0" borderId="32" xfId="4" applyNumberFormat="1" applyFont="1" applyBorder="1" applyAlignment="1">
      <alignment vertical="center" wrapText="1"/>
    </xf>
    <xf numFmtId="173" fontId="4" fillId="0" borderId="32" xfId="4" applyNumberFormat="1" applyFont="1" applyBorder="1" applyAlignment="1">
      <alignment vertical="center" wrapText="1"/>
    </xf>
    <xf numFmtId="173" fontId="4" fillId="0" borderId="72" xfId="4" applyNumberFormat="1" applyFont="1" applyBorder="1" applyAlignment="1">
      <alignment vertical="center" wrapText="1"/>
    </xf>
    <xf numFmtId="3" fontId="4"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wrapText="1"/>
    </xf>
    <xf numFmtId="177" fontId="4" fillId="0" borderId="74" xfId="4" applyNumberFormat="1" applyFont="1" applyBorder="1" applyAlignment="1">
      <alignment horizontal="center" vertical="center" wrapText="1"/>
    </xf>
    <xf numFmtId="177" fontId="23"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xf>
    <xf numFmtId="3" fontId="4" fillId="0" borderId="32" xfId="4" applyNumberFormat="1" applyFont="1" applyBorder="1" applyAlignment="1">
      <alignment vertical="center" wrapText="1"/>
    </xf>
    <xf numFmtId="0" fontId="4" fillId="0" borderId="69" xfId="4" applyFont="1" applyAlignment="1">
      <alignment vertical="center" wrapText="1"/>
    </xf>
    <xf numFmtId="0" fontId="4" fillId="0" borderId="63" xfId="4" applyFont="1" applyBorder="1" applyAlignment="1">
      <alignment horizontal="center" vertical="center" wrapText="1"/>
    </xf>
    <xf numFmtId="179" fontId="4" fillId="0" borderId="32" xfId="4" applyNumberFormat="1" applyFont="1" applyBorder="1" applyAlignment="1">
      <alignment horizontal="center" vertical="center" wrapText="1"/>
    </xf>
    <xf numFmtId="0" fontId="4" fillId="0" borderId="69" xfId="4" applyFont="1" applyAlignment="1">
      <alignment vertical="center"/>
    </xf>
    <xf numFmtId="177" fontId="4" fillId="0" borderId="69" xfId="4" applyNumberFormat="1" applyFont="1" applyAlignment="1">
      <alignment vertical="center"/>
    </xf>
    <xf numFmtId="0" fontId="4" fillId="0" borderId="69" xfId="4" applyFont="1" applyAlignment="1">
      <alignment horizontal="left" vertical="center"/>
    </xf>
    <xf numFmtId="0" fontId="6" fillId="0" borderId="69" xfId="4" applyAlignment="1">
      <alignment horizontal="left"/>
    </xf>
    <xf numFmtId="171" fontId="0" fillId="0" borderId="85" xfId="0" applyNumberFormat="1" applyBorder="1" applyAlignment="1">
      <alignment vertical="center"/>
    </xf>
    <xf numFmtId="9" fontId="4" fillId="26" borderId="32" xfId="0" applyNumberFormat="1" applyFont="1" applyFill="1" applyBorder="1" applyAlignment="1">
      <alignment horizontal="center" vertical="center" wrapText="1"/>
    </xf>
    <xf numFmtId="0" fontId="5" fillId="4" borderId="72" xfId="0" applyFont="1" applyFill="1" applyBorder="1" applyAlignment="1">
      <alignment horizontal="left" vertical="center" wrapText="1"/>
    </xf>
    <xf numFmtId="4" fontId="5" fillId="26" borderId="72" xfId="0" applyNumberFormat="1" applyFont="1" applyFill="1" applyBorder="1" applyAlignment="1">
      <alignment horizontal="center" vertical="center" wrapText="1"/>
    </xf>
    <xf numFmtId="176" fontId="22" fillId="4" borderId="72" xfId="0" applyNumberFormat="1" applyFont="1" applyFill="1" applyBorder="1" applyAlignment="1">
      <alignment horizontal="center" vertical="center" wrapText="1"/>
    </xf>
    <xf numFmtId="0" fontId="5" fillId="0" borderId="74" xfId="0" applyFont="1" applyBorder="1" applyAlignment="1">
      <alignment horizontal="left" vertical="center" wrapText="1"/>
    </xf>
    <xf numFmtId="9" fontId="5" fillId="0" borderId="42" xfId="0" applyNumberFormat="1" applyFont="1" applyBorder="1" applyAlignment="1">
      <alignment horizontal="center" vertical="center" wrapText="1"/>
    </xf>
    <xf numFmtId="9" fontId="5" fillId="0" borderId="53" xfId="0" applyNumberFormat="1" applyFont="1" applyBorder="1" applyAlignment="1">
      <alignment horizontal="center" vertical="center" wrapText="1"/>
    </xf>
    <xf numFmtId="0" fontId="5" fillId="4" borderId="77" xfId="0" applyFont="1" applyFill="1" applyBorder="1" applyAlignment="1">
      <alignment horizontal="left" vertical="center" wrapText="1"/>
    </xf>
    <xf numFmtId="9" fontId="4" fillId="4" borderId="77" xfId="0" applyNumberFormat="1" applyFont="1" applyFill="1" applyBorder="1" applyAlignment="1">
      <alignment horizontal="center" vertical="center" wrapText="1"/>
    </xf>
    <xf numFmtId="9" fontId="4" fillId="4" borderId="98" xfId="0" applyNumberFormat="1" applyFont="1" applyFill="1" applyBorder="1" applyAlignment="1">
      <alignment horizontal="center" vertical="center" wrapText="1"/>
    </xf>
    <xf numFmtId="9" fontId="5" fillId="0" borderId="98" xfId="0" applyNumberFormat="1" applyFont="1" applyBorder="1" applyAlignment="1">
      <alignment horizontal="center" vertical="center" wrapText="1"/>
    </xf>
    <xf numFmtId="0" fontId="28" fillId="0" borderId="69" xfId="3" applyFont="1" applyAlignment="1">
      <alignment vertical="center" wrapText="1"/>
    </xf>
    <xf numFmtId="0" fontId="34" fillId="0" borderId="69" xfId="3" applyFont="1"/>
    <xf numFmtId="0" fontId="6" fillId="9" borderId="54" xfId="0" applyFont="1" applyFill="1" applyBorder="1" applyAlignment="1">
      <alignment horizontal="left" vertical="center" wrapText="1"/>
    </xf>
    <xf numFmtId="0" fontId="6" fillId="8" borderId="54" xfId="0" applyFont="1" applyFill="1" applyBorder="1" applyAlignment="1">
      <alignment horizontal="left" vertical="center" wrapText="1"/>
    </xf>
    <xf numFmtId="9" fontId="6" fillId="8" borderId="54" xfId="0" applyNumberFormat="1" applyFont="1" applyFill="1" applyBorder="1" applyAlignment="1">
      <alignment horizontal="left" vertical="center" wrapText="1"/>
    </xf>
    <xf numFmtId="9" fontId="6"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5" fillId="0" borderId="22" xfId="0" applyFont="1" applyBorder="1" applyAlignment="1">
      <alignment horizontal="center" vertical="center" wrapText="1"/>
    </xf>
    <xf numFmtId="0" fontId="5" fillId="0" borderId="69" xfId="0" applyFont="1" applyBorder="1" applyAlignment="1">
      <alignment vertical="center" wrapText="1"/>
    </xf>
    <xf numFmtId="0" fontId="8" fillId="0" borderId="69" xfId="0" applyFont="1" applyBorder="1" applyAlignment="1">
      <alignment vertical="center" wrapText="1"/>
    </xf>
    <xf numFmtId="0" fontId="5" fillId="0" borderId="22" xfId="0" applyFont="1" applyBorder="1" applyAlignment="1">
      <alignment vertical="center" wrapText="1"/>
    </xf>
    <xf numFmtId="0" fontId="4" fillId="0" borderId="69" xfId="0" applyFont="1" applyBorder="1" applyAlignment="1">
      <alignment vertical="center" wrapText="1"/>
    </xf>
    <xf numFmtId="0" fontId="4" fillId="0" borderId="23" xfId="0" applyFont="1" applyBorder="1" applyAlignment="1">
      <alignment vertical="center" wrapText="1"/>
    </xf>
    <xf numFmtId="0" fontId="12" fillId="0" borderId="6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1" xfId="0" applyFont="1" applyBorder="1" applyAlignment="1">
      <alignment vertical="center" wrapText="1"/>
    </xf>
    <xf numFmtId="0" fontId="13" fillId="3" borderId="69" xfId="0" applyFont="1" applyFill="1" applyBorder="1" applyAlignment="1">
      <alignment vertical="center" wrapText="1"/>
    </xf>
    <xf numFmtId="0" fontId="4" fillId="0" borderId="22" xfId="0" applyFont="1" applyBorder="1" applyAlignment="1">
      <alignment vertical="center"/>
    </xf>
    <xf numFmtId="0" fontId="4" fillId="0" borderId="69"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wrapText="1"/>
    </xf>
    <xf numFmtId="166" fontId="0" fillId="0" borderId="42" xfId="0" applyNumberFormat="1" applyBorder="1" applyAlignment="1">
      <alignment vertical="center"/>
    </xf>
    <xf numFmtId="166" fontId="0" fillId="0" borderId="53" xfId="0" applyNumberFormat="1" applyBorder="1" applyAlignment="1">
      <alignment vertical="center"/>
    </xf>
    <xf numFmtId="0" fontId="5" fillId="0" borderId="69" xfId="0" applyFont="1" applyBorder="1" applyAlignment="1">
      <alignment horizontal="left" vertical="center" wrapText="1"/>
    </xf>
    <xf numFmtId="0" fontId="5" fillId="0" borderId="72" xfId="0" applyFont="1" applyBorder="1" applyAlignment="1">
      <alignment horizontal="center" vertical="center" wrapText="1"/>
    </xf>
    <xf numFmtId="164" fontId="5" fillId="0" borderId="72" xfId="0" applyNumberFormat="1" applyFont="1" applyBorder="1" applyAlignment="1">
      <alignment horizontal="center" vertical="center" wrapText="1"/>
    </xf>
    <xf numFmtId="168" fontId="5" fillId="0" borderId="72" xfId="0" applyNumberFormat="1" applyFont="1" applyBorder="1" applyAlignment="1">
      <alignment horizontal="center" vertical="center" wrapText="1"/>
    </xf>
    <xf numFmtId="166" fontId="5" fillId="0" borderId="72" xfId="0" applyNumberFormat="1" applyFont="1" applyBorder="1" applyAlignment="1">
      <alignment horizontal="center" vertical="center" wrapText="1"/>
    </xf>
    <xf numFmtId="0" fontId="0" fillId="0" borderId="69" xfId="0" applyBorder="1" applyAlignment="1">
      <alignment vertical="center"/>
    </xf>
    <xf numFmtId="0" fontId="5" fillId="0" borderId="68" xfId="0" applyFont="1" applyBorder="1" applyAlignment="1">
      <alignment horizontal="center" vertical="center" wrapText="1"/>
    </xf>
    <xf numFmtId="170" fontId="0" fillId="0" borderId="69" xfId="0" applyNumberFormat="1" applyBorder="1" applyAlignment="1">
      <alignment vertical="center"/>
    </xf>
    <xf numFmtId="9" fontId="5" fillId="0" borderId="72" xfId="0" applyNumberFormat="1" applyFont="1" applyBorder="1" applyAlignment="1">
      <alignment horizontal="center" vertical="center" wrapText="1"/>
    </xf>
    <xf numFmtId="9" fontId="4" fillId="0" borderId="74" xfId="0" applyNumberFormat="1" applyFont="1" applyBorder="1" applyAlignment="1">
      <alignment horizontal="center" vertical="center" wrapText="1"/>
    </xf>
    <xf numFmtId="9" fontId="5" fillId="0" borderId="66" xfId="0" applyNumberFormat="1" applyFont="1" applyBorder="1" applyAlignment="1">
      <alignment horizontal="center" vertical="center" wrapText="1"/>
    </xf>
    <xf numFmtId="1" fontId="5" fillId="0" borderId="72" xfId="0" applyNumberFormat="1" applyFont="1" applyBorder="1" applyAlignment="1">
      <alignment horizontal="center" vertical="center" wrapText="1"/>
    </xf>
    <xf numFmtId="169" fontId="5" fillId="0" borderId="72" xfId="0" applyNumberFormat="1" applyFont="1" applyBorder="1" applyAlignment="1">
      <alignment horizontal="center" vertical="center" wrapText="1"/>
    </xf>
    <xf numFmtId="2" fontId="5" fillId="0" borderId="72" xfId="0" applyNumberFormat="1" applyFont="1" applyBorder="1" applyAlignment="1">
      <alignment horizontal="center" vertical="center" wrapText="1"/>
    </xf>
    <xf numFmtId="180" fontId="5" fillId="0" borderId="72" xfId="0" applyNumberFormat="1" applyFont="1" applyBorder="1" applyAlignment="1">
      <alignment horizontal="center" vertical="center" wrapText="1"/>
    </xf>
    <xf numFmtId="0" fontId="0" fillId="8" borderId="69" xfId="0" applyFill="1" applyBorder="1" applyAlignment="1">
      <alignment vertical="center" wrapText="1"/>
    </xf>
    <xf numFmtId="175" fontId="5" fillId="0" borderId="72"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5" fillId="12" borderId="32" xfId="0" applyFont="1" applyFill="1" applyBorder="1" applyAlignment="1">
      <alignment horizontal="center" vertical="center"/>
    </xf>
    <xf numFmtId="0" fontId="5" fillId="0" borderId="32" xfId="0" applyFont="1" applyBorder="1" applyAlignment="1">
      <alignment horizontal="center" vertical="center"/>
    </xf>
    <xf numFmtId="0" fontId="4" fillId="0" borderId="72" xfId="0" applyFont="1" applyBorder="1" applyAlignment="1">
      <alignment horizontal="left" vertical="center"/>
    </xf>
    <xf numFmtId="0" fontId="5" fillId="0" borderId="72" xfId="0" applyFont="1" applyBorder="1" applyAlignment="1">
      <alignment horizontal="left" vertical="center" wrapText="1"/>
    </xf>
    <xf numFmtId="0" fontId="4" fillId="0" borderId="74" xfId="0" applyFont="1" applyBorder="1" applyAlignment="1">
      <alignment horizontal="left" vertical="center" wrapText="1"/>
    </xf>
    <xf numFmtId="0" fontId="5" fillId="0" borderId="32" xfId="0" applyFont="1" applyBorder="1" applyAlignment="1">
      <alignment horizontal="center" vertical="center" wrapText="1"/>
    </xf>
    <xf numFmtId="0" fontId="4" fillId="0" borderId="32" xfId="0" applyFont="1" applyBorder="1" applyAlignment="1">
      <alignment vertical="center" wrapText="1"/>
    </xf>
    <xf numFmtId="0" fontId="5" fillId="0" borderId="32" xfId="0" applyFont="1" applyBorder="1" applyAlignment="1">
      <alignment vertical="center" wrapText="1"/>
    </xf>
    <xf numFmtId="0" fontId="4" fillId="0" borderId="0" xfId="0" applyFont="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vertical="center"/>
    </xf>
    <xf numFmtId="0" fontId="4" fillId="0" borderId="32" xfId="0" applyFont="1" applyBorder="1" applyAlignment="1">
      <alignment horizontal="left" vertical="center"/>
    </xf>
    <xf numFmtId="0" fontId="4" fillId="0" borderId="53" xfId="0" applyFont="1" applyBorder="1" applyAlignment="1">
      <alignment horizontal="left" vertical="center"/>
    </xf>
    <xf numFmtId="177" fontId="4" fillId="0" borderId="32" xfId="0" applyNumberFormat="1" applyFont="1" applyBorder="1" applyAlignment="1">
      <alignment vertical="center"/>
    </xf>
    <xf numFmtId="0" fontId="5" fillId="0" borderId="0" xfId="0" applyFont="1" applyAlignment="1">
      <alignment horizontal="left" vertical="center"/>
    </xf>
    <xf numFmtId="0" fontId="5" fillId="4" borderId="32" xfId="0" applyFont="1" applyFill="1" applyBorder="1" applyAlignment="1">
      <alignment vertical="center"/>
    </xf>
    <xf numFmtId="177" fontId="4" fillId="0" borderId="53" xfId="0" applyNumberFormat="1" applyFont="1" applyBorder="1" applyAlignment="1">
      <alignment vertical="center"/>
    </xf>
    <xf numFmtId="49" fontId="4" fillId="0" borderId="53" xfId="0" applyNumberFormat="1" applyFont="1" applyBorder="1" applyAlignment="1">
      <alignment vertical="center"/>
    </xf>
    <xf numFmtId="49" fontId="4"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8" fillId="0" borderId="53" xfId="0" applyNumberFormat="1" applyFont="1" applyBorder="1" applyAlignment="1">
      <alignment horizontal="center" vertical="center" wrapText="1"/>
    </xf>
    <xf numFmtId="1" fontId="16" fillId="4" borderId="36" xfId="0" applyNumberFormat="1" applyFont="1" applyFill="1" applyBorder="1" applyAlignment="1">
      <alignment horizontal="center" vertical="center" wrapText="1"/>
    </xf>
    <xf numFmtId="0" fontId="5" fillId="28" borderId="72" xfId="0" applyFont="1" applyFill="1" applyBorder="1" applyAlignment="1">
      <alignment horizontal="center" vertical="center" wrapText="1"/>
    </xf>
    <xf numFmtId="172" fontId="31" fillId="24" borderId="58" xfId="2" applyNumberFormat="1" applyFont="1" applyFill="1" applyBorder="1" applyAlignment="1">
      <alignment vertical="center" wrapText="1"/>
    </xf>
    <xf numFmtId="172" fontId="31" fillId="23" borderId="58" xfId="2" applyNumberFormat="1" applyFont="1" applyFill="1" applyBorder="1" applyAlignment="1">
      <alignment vertical="center" wrapText="1"/>
    </xf>
    <xf numFmtId="172" fontId="32" fillId="0" borderId="58" xfId="2" applyNumberFormat="1" applyFont="1" applyBorder="1" applyAlignment="1">
      <alignment vertical="center" wrapText="1"/>
    </xf>
    <xf numFmtId="9" fontId="32" fillId="0" borderId="58" xfId="2" applyFont="1" applyBorder="1" applyAlignment="1">
      <alignment vertical="center"/>
    </xf>
    <xf numFmtId="10" fontId="32" fillId="0" borderId="58" xfId="2" applyNumberFormat="1" applyFont="1" applyBorder="1" applyAlignment="1">
      <alignment vertical="center"/>
    </xf>
    <xf numFmtId="5" fontId="0" fillId="0" borderId="77" xfId="0" applyNumberFormat="1" applyBorder="1" applyAlignment="1">
      <alignment vertical="center"/>
    </xf>
    <xf numFmtId="0" fontId="6" fillId="0" borderId="0" xfId="0" applyFont="1" applyAlignment="1">
      <alignment vertical="center"/>
    </xf>
    <xf numFmtId="4" fontId="22" fillId="4" borderId="72" xfId="0" applyNumberFormat="1" applyFont="1" applyFill="1" applyBorder="1" applyAlignment="1">
      <alignment horizontal="center" vertical="center" wrapText="1"/>
    </xf>
    <xf numFmtId="2" fontId="5" fillId="25" borderId="72" xfId="0" applyNumberFormat="1" applyFont="1" applyFill="1" applyBorder="1" applyAlignment="1">
      <alignment horizontal="center" vertical="center" wrapText="1"/>
    </xf>
    <xf numFmtId="172" fontId="6"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0" fontId="6" fillId="8" borderId="69" xfId="0" applyFont="1" applyFill="1" applyBorder="1" applyAlignment="1">
      <alignment vertical="center" wrapText="1"/>
    </xf>
    <xf numFmtId="181" fontId="5" fillId="0" borderId="72" xfId="0" applyNumberFormat="1" applyFont="1" applyBorder="1" applyAlignment="1">
      <alignment horizontal="center" vertical="center" wrapText="1"/>
    </xf>
    <xf numFmtId="3" fontId="5" fillId="4" borderId="72" xfId="4" applyNumberFormat="1" applyFont="1" applyFill="1" applyBorder="1" applyAlignment="1">
      <alignment horizontal="center" vertical="center" wrapText="1"/>
    </xf>
    <xf numFmtId="3" fontId="4" fillId="0" borderId="69" xfId="4" applyNumberFormat="1" applyFont="1" applyAlignment="1">
      <alignment vertical="center"/>
    </xf>
    <xf numFmtId="3" fontId="6" fillId="0" borderId="69" xfId="4" applyNumberFormat="1"/>
    <xf numFmtId="3" fontId="4" fillId="0" borderId="32" xfId="4" applyNumberFormat="1" applyFont="1" applyBorder="1" applyAlignment="1">
      <alignment horizontal="right" vertical="center" wrapText="1"/>
    </xf>
    <xf numFmtId="4" fontId="5" fillId="4" borderId="72" xfId="0" applyNumberFormat="1" applyFont="1" applyFill="1" applyBorder="1" applyAlignment="1">
      <alignment horizontal="right" vertical="center" wrapText="1"/>
    </xf>
    <xf numFmtId="3" fontId="35" fillId="0" borderId="69" xfId="0" applyNumberFormat="1" applyFont="1" applyBorder="1"/>
    <xf numFmtId="3" fontId="35" fillId="0" borderId="0" xfId="0" applyNumberFormat="1" applyFont="1"/>
    <xf numFmtId="3" fontId="37" fillId="29" borderId="59" xfId="0" applyNumberFormat="1" applyFont="1" applyFill="1" applyBorder="1" applyAlignment="1">
      <alignment horizontal="center" vertical="center"/>
    </xf>
    <xf numFmtId="3" fontId="37" fillId="29" borderId="58" xfId="0" applyNumberFormat="1" applyFont="1" applyFill="1" applyBorder="1" applyAlignment="1">
      <alignment horizontal="center" vertical="center"/>
    </xf>
    <xf numFmtId="3" fontId="38" fillId="28" borderId="58" xfId="0" applyNumberFormat="1" applyFont="1" applyFill="1" applyBorder="1" applyAlignment="1">
      <alignment horizontal="center" vertical="center"/>
    </xf>
    <xf numFmtId="3" fontId="36" fillId="31" borderId="58" xfId="0" applyNumberFormat="1" applyFont="1" applyFill="1" applyBorder="1"/>
    <xf numFmtId="3" fontId="37" fillId="30" borderId="58" xfId="0" applyNumberFormat="1" applyFont="1" applyFill="1" applyBorder="1" applyAlignment="1">
      <alignment horizontal="center" vertical="center"/>
    </xf>
    <xf numFmtId="0" fontId="31" fillId="0" borderId="58" xfId="0" applyFont="1" applyBorder="1"/>
    <xf numFmtId="0" fontId="32" fillId="0" borderId="58" xfId="0" applyFont="1" applyBorder="1"/>
    <xf numFmtId="0" fontId="10" fillId="0" borderId="0" xfId="0" applyFont="1"/>
    <xf numFmtId="3" fontId="31" fillId="30" borderId="58" xfId="0" applyNumberFormat="1" applyFont="1" applyFill="1" applyBorder="1"/>
    <xf numFmtId="3" fontId="39" fillId="32" borderId="58" xfId="0" applyNumberFormat="1" applyFont="1" applyFill="1" applyBorder="1"/>
    <xf numFmtId="3" fontId="39" fillId="0" borderId="58" xfId="0" applyNumberFormat="1" applyFont="1" applyBorder="1"/>
    <xf numFmtId="3" fontId="39" fillId="30" borderId="58" xfId="0" applyNumberFormat="1" applyFont="1" applyFill="1" applyBorder="1"/>
    <xf numFmtId="3" fontId="39" fillId="33" borderId="58" xfId="0" applyNumberFormat="1" applyFont="1" applyFill="1" applyBorder="1"/>
    <xf numFmtId="3" fontId="40" fillId="28" borderId="58" xfId="0" applyNumberFormat="1" applyFont="1" applyFill="1" applyBorder="1" applyAlignment="1">
      <alignment horizontal="right" wrapText="1"/>
    </xf>
    <xf numFmtId="3" fontId="40" fillId="0" borderId="58" xfId="0" applyNumberFormat="1" applyFont="1" applyBorder="1" applyAlignment="1">
      <alignment wrapText="1"/>
    </xf>
    <xf numFmtId="3" fontId="41" fillId="32" borderId="58" xfId="0" applyNumberFormat="1" applyFont="1" applyFill="1" applyBorder="1"/>
    <xf numFmtId="3" fontId="41" fillId="0" borderId="58" xfId="0" applyNumberFormat="1" applyFont="1" applyBorder="1"/>
    <xf numFmtId="3" fontId="41" fillId="30" borderId="58" xfId="0" applyNumberFormat="1" applyFont="1" applyFill="1" applyBorder="1"/>
    <xf numFmtId="3" fontId="41" fillId="33" borderId="58" xfId="0" applyNumberFormat="1" applyFont="1" applyFill="1" applyBorder="1"/>
    <xf numFmtId="3" fontId="0" fillId="0" borderId="0" xfId="0" applyNumberFormat="1"/>
    <xf numFmtId="3" fontId="21" fillId="0" borderId="69" xfId="0" applyNumberFormat="1" applyFont="1" applyBorder="1" applyAlignment="1">
      <alignment wrapText="1"/>
    </xf>
    <xf numFmtId="4" fontId="5" fillId="4" borderId="36" xfId="0" applyNumberFormat="1" applyFont="1" applyFill="1" applyBorder="1" applyAlignment="1">
      <alignment horizontal="center" vertical="center" wrapText="1"/>
    </xf>
    <xf numFmtId="3" fontId="31" fillId="0" borderId="0" xfId="0" applyNumberFormat="1" applyFont="1"/>
    <xf numFmtId="3" fontId="31" fillId="0" borderId="0" xfId="0" applyNumberFormat="1" applyFont="1" applyAlignment="1">
      <alignment vertical="center"/>
    </xf>
    <xf numFmtId="3" fontId="31" fillId="35" borderId="0" xfId="0" applyNumberFormat="1" applyFont="1" applyFill="1"/>
    <xf numFmtId="3" fontId="31" fillId="36" borderId="0" xfId="0" applyNumberFormat="1" applyFont="1" applyFill="1"/>
    <xf numFmtId="3" fontId="31" fillId="37" borderId="0" xfId="0" applyNumberFormat="1" applyFont="1" applyFill="1"/>
    <xf numFmtId="0" fontId="25" fillId="37" borderId="69" xfId="3" applyFont="1" applyFill="1"/>
    <xf numFmtId="0" fontId="5" fillId="4" borderId="72" xfId="4" applyFont="1" applyFill="1" applyBorder="1" applyAlignment="1">
      <alignment horizontal="center" vertical="center" wrapText="1"/>
    </xf>
    <xf numFmtId="3" fontId="6" fillId="0" borderId="69" xfId="4" applyNumberFormat="1" applyAlignment="1">
      <alignment vertical="center"/>
    </xf>
    <xf numFmtId="3" fontId="5" fillId="4" borderId="68" xfId="4" applyNumberFormat="1" applyFont="1" applyFill="1" applyBorder="1" applyAlignment="1">
      <alignment vertical="center"/>
    </xf>
    <xf numFmtId="3" fontId="5" fillId="4" borderId="62" xfId="4" applyNumberFormat="1" applyFont="1" applyFill="1" applyBorder="1" applyAlignment="1">
      <alignment vertical="center"/>
    </xf>
    <xf numFmtId="3" fontId="5" fillId="4" borderId="69" xfId="4" applyNumberFormat="1" applyFont="1" applyFill="1" applyAlignment="1">
      <alignment vertical="center"/>
    </xf>
    <xf numFmtId="3" fontId="5" fillId="4" borderId="76" xfId="4" applyNumberFormat="1" applyFont="1" applyFill="1" applyBorder="1" applyAlignment="1">
      <alignment vertical="center"/>
    </xf>
    <xf numFmtId="3" fontId="5" fillId="4" borderId="70" xfId="4" applyNumberFormat="1" applyFont="1" applyFill="1" applyBorder="1" applyAlignment="1">
      <alignment vertical="center"/>
    </xf>
    <xf numFmtId="3" fontId="5" fillId="4" borderId="71" xfId="4" applyNumberFormat="1" applyFont="1" applyFill="1" applyBorder="1" applyAlignment="1">
      <alignment vertical="center"/>
    </xf>
    <xf numFmtId="3" fontId="5" fillId="4" borderId="32" xfId="4" applyNumberFormat="1" applyFont="1" applyFill="1" applyBorder="1" applyAlignment="1">
      <alignment horizontal="center" vertical="center" wrapText="1"/>
    </xf>
    <xf numFmtId="0" fontId="6" fillId="0" borderId="58" xfId="0" applyFont="1" applyBorder="1"/>
    <xf numFmtId="3" fontId="31" fillId="30" borderId="58" xfId="0" applyNumberFormat="1" applyFont="1" applyFill="1" applyBorder="1" applyAlignment="1">
      <alignment vertical="center"/>
    </xf>
    <xf numFmtId="1" fontId="31" fillId="37" borderId="58" xfId="0" applyNumberFormat="1" applyFont="1" applyFill="1" applyBorder="1" applyAlignment="1">
      <alignment horizontal="center" vertical="center"/>
    </xf>
    <xf numFmtId="3" fontId="31" fillId="37" borderId="58" xfId="0" applyNumberFormat="1" applyFont="1" applyFill="1" applyBorder="1" applyAlignment="1">
      <alignment horizontal="center" vertical="center" wrapText="1"/>
    </xf>
    <xf numFmtId="3" fontId="39" fillId="37" borderId="58" xfId="0" applyNumberFormat="1" applyFont="1" applyFill="1" applyBorder="1"/>
    <xf numFmtId="1" fontId="0" fillId="9" borderId="54" xfId="0" applyNumberFormat="1" applyFill="1" applyBorder="1" applyAlignment="1">
      <alignment horizontal="center" vertical="center"/>
    </xf>
    <xf numFmtId="0" fontId="0" fillId="0" borderId="69" xfId="0" applyBorder="1"/>
    <xf numFmtId="0" fontId="5" fillId="4" borderId="32" xfId="4" applyFont="1" applyFill="1" applyBorder="1" applyAlignment="1">
      <alignment horizontal="left" vertical="center" wrapText="1"/>
    </xf>
    <xf numFmtId="0" fontId="5" fillId="4" borderId="32" xfId="4" applyFont="1" applyFill="1" applyBorder="1" applyAlignment="1">
      <alignment vertical="center" wrapText="1"/>
    </xf>
    <xf numFmtId="0" fontId="17" fillId="0" borderId="69" xfId="4" applyFont="1" applyAlignment="1">
      <alignment vertical="center"/>
    </xf>
    <xf numFmtId="0" fontId="17" fillId="0" borderId="69" xfId="4" applyFont="1" applyAlignment="1">
      <alignment horizontal="center" vertical="center"/>
    </xf>
    <xf numFmtId="0" fontId="18" fillId="4" borderId="73" xfId="4" applyFont="1" applyFill="1" applyBorder="1" applyAlignment="1">
      <alignment horizontal="center" vertical="center" wrapText="1"/>
    </xf>
    <xf numFmtId="0" fontId="18" fillId="4" borderId="74" xfId="4" applyFont="1" applyFill="1" applyBorder="1" applyAlignment="1">
      <alignment horizontal="center" vertical="center" wrapText="1"/>
    </xf>
    <xf numFmtId="49" fontId="5" fillId="4" borderId="72" xfId="4" applyNumberFormat="1" applyFont="1" applyFill="1" applyBorder="1" applyAlignment="1">
      <alignment horizontal="center" vertical="center" wrapText="1"/>
    </xf>
    <xf numFmtId="0" fontId="18" fillId="4" borderId="72" xfId="4" applyFont="1" applyFill="1" applyBorder="1" applyAlignment="1">
      <alignment horizontal="center" vertical="center" wrapText="1"/>
    </xf>
    <xf numFmtId="49" fontId="18" fillId="4" borderId="72" xfId="4" applyNumberFormat="1" applyFont="1" applyFill="1" applyBorder="1" applyAlignment="1">
      <alignment horizontal="center" vertical="center" wrapText="1"/>
    </xf>
    <xf numFmtId="0" fontId="17" fillId="0" borderId="32" xfId="4" applyFont="1" applyBorder="1" applyAlignment="1">
      <alignment vertical="center"/>
    </xf>
    <xf numFmtId="0" fontId="17" fillId="0" borderId="32" xfId="4" applyFont="1" applyBorder="1" applyAlignment="1">
      <alignment horizontal="center" vertical="center"/>
    </xf>
    <xf numFmtId="0" fontId="17" fillId="10" borderId="32" xfId="4" applyFont="1" applyFill="1" applyBorder="1" applyAlignment="1">
      <alignment horizontal="center" vertical="center"/>
    </xf>
    <xf numFmtId="178" fontId="16" fillId="11" borderId="32" xfId="4" applyNumberFormat="1" applyFont="1" applyFill="1" applyBorder="1" applyAlignment="1">
      <alignment horizontal="center" vertical="center"/>
    </xf>
    <xf numFmtId="178" fontId="16" fillId="0" borderId="32" xfId="4" applyNumberFormat="1" applyFont="1" applyBorder="1" applyAlignment="1">
      <alignment horizontal="center" vertical="center"/>
    </xf>
    <xf numFmtId="0" fontId="16" fillId="0" borderId="32" xfId="4" applyFont="1" applyBorder="1" applyAlignment="1">
      <alignment vertical="center"/>
    </xf>
    <xf numFmtId="0" fontId="16" fillId="0" borderId="32" xfId="4" applyFont="1" applyBorder="1" applyAlignment="1">
      <alignment vertical="center" wrapText="1"/>
    </xf>
    <xf numFmtId="0" fontId="17" fillId="0" borderId="32" xfId="4" applyFont="1" applyBorder="1" applyAlignment="1">
      <alignment horizontal="right" vertical="center"/>
    </xf>
    <xf numFmtId="0" fontId="16" fillId="11" borderId="32" xfId="4" applyFont="1" applyFill="1" applyBorder="1" applyAlignment="1">
      <alignment horizontal="left" vertical="center"/>
    </xf>
    <xf numFmtId="0" fontId="16" fillId="11" borderId="32" xfId="4" applyFont="1" applyFill="1" applyBorder="1" applyAlignment="1">
      <alignment horizontal="center" vertical="center"/>
    </xf>
    <xf numFmtId="0" fontId="16" fillId="11" borderId="32" xfId="4" applyFont="1" applyFill="1" applyBorder="1" applyAlignment="1">
      <alignment horizontal="right" vertical="center"/>
    </xf>
    <xf numFmtId="0" fontId="16" fillId="10" borderId="32" xfId="4" applyFont="1" applyFill="1" applyBorder="1" applyAlignment="1">
      <alignment horizontal="center" vertical="center"/>
    </xf>
    <xf numFmtId="0" fontId="17" fillId="0" borderId="32" xfId="4" quotePrefix="1" applyFont="1" applyBorder="1" applyAlignment="1">
      <alignment horizontal="right" vertical="center"/>
    </xf>
    <xf numFmtId="3" fontId="16" fillId="11" borderId="32" xfId="4" applyNumberFormat="1" applyFont="1" applyFill="1" applyBorder="1" applyAlignment="1">
      <alignment horizontal="right" vertical="center"/>
    </xf>
    <xf numFmtId="0" fontId="0" fillId="28" borderId="0" xfId="0" applyFill="1" applyAlignment="1">
      <alignment vertical="center"/>
    </xf>
    <xf numFmtId="1" fontId="31" fillId="34" borderId="58" xfId="0" applyNumberFormat="1" applyFont="1" applyFill="1" applyBorder="1" applyAlignment="1">
      <alignment horizontal="center" vertical="center"/>
    </xf>
    <xf numFmtId="17" fontId="31" fillId="0" borderId="0" xfId="0" applyNumberFormat="1" applyFont="1" applyAlignment="1">
      <alignment vertical="center" wrapText="1"/>
    </xf>
    <xf numFmtId="171" fontId="31" fillId="0" borderId="0" xfId="0" applyNumberFormat="1" applyFont="1" applyAlignment="1">
      <alignment horizontal="right"/>
    </xf>
    <xf numFmtId="9" fontId="4" fillId="26" borderId="77" xfId="0" applyNumberFormat="1" applyFont="1" applyFill="1" applyBorder="1" applyAlignment="1">
      <alignment horizontal="center" vertical="center" wrapText="1"/>
    </xf>
    <xf numFmtId="169" fontId="0" fillId="39" borderId="54" xfId="0" applyNumberFormat="1" applyFill="1" applyBorder="1" applyAlignment="1">
      <alignment horizontal="center" vertical="center"/>
    </xf>
    <xf numFmtId="9" fontId="4" fillId="25" borderId="32" xfId="0" applyNumberFormat="1" applyFont="1" applyFill="1" applyBorder="1" applyAlignment="1">
      <alignment horizontal="center" vertical="center" wrapText="1"/>
    </xf>
    <xf numFmtId="2" fontId="0" fillId="40" borderId="54" xfId="0" applyNumberFormat="1" applyFill="1" applyBorder="1" applyAlignment="1">
      <alignment horizontal="center" vertical="center"/>
    </xf>
    <xf numFmtId="1" fontId="16" fillId="25" borderId="36" xfId="0" applyNumberFormat="1" applyFont="1" applyFill="1" applyBorder="1" applyAlignment="1">
      <alignment horizontal="center" vertical="center" wrapText="1"/>
    </xf>
    <xf numFmtId="1" fontId="5" fillId="4" borderId="36" xfId="1" applyNumberFormat="1" applyFont="1" applyFill="1" applyBorder="1" applyAlignment="1">
      <alignment horizontal="right" vertical="center" wrapText="1"/>
    </xf>
    <xf numFmtId="0" fontId="0" fillId="41" borderId="54" xfId="0" applyFill="1" applyBorder="1" applyAlignment="1">
      <alignment horizontal="center" vertical="center"/>
    </xf>
    <xf numFmtId="0" fontId="0" fillId="42" borderId="54" xfId="0" applyFill="1" applyBorder="1" applyAlignment="1">
      <alignment horizontal="center" vertical="center"/>
    </xf>
    <xf numFmtId="49" fontId="6" fillId="0" borderId="69" xfId="0" applyNumberFormat="1" applyFont="1" applyBorder="1" applyAlignment="1">
      <alignment vertical="top" wrapText="1"/>
    </xf>
    <xf numFmtId="172" fontId="6" fillId="8" borderId="54" xfId="0" applyNumberFormat="1" applyFont="1" applyFill="1" applyBorder="1" applyAlignment="1">
      <alignment horizontal="left" vertical="center" wrapText="1"/>
    </xf>
    <xf numFmtId="0" fontId="39" fillId="0" borderId="58" xfId="0" applyFont="1" applyBorder="1"/>
    <xf numFmtId="3" fontId="31" fillId="30" borderId="58" xfId="0" applyNumberFormat="1" applyFont="1" applyFill="1" applyBorder="1" applyAlignment="1">
      <alignment horizontal="center"/>
    </xf>
    <xf numFmtId="3" fontId="39" fillId="0" borderId="69" xfId="0" applyNumberFormat="1" applyFont="1" applyBorder="1"/>
    <xf numFmtId="3" fontId="39" fillId="36" borderId="59" xfId="0" applyNumberFormat="1" applyFont="1" applyFill="1" applyBorder="1"/>
    <xf numFmtId="3" fontId="41" fillId="36" borderId="59" xfId="0" applyNumberFormat="1" applyFont="1" applyFill="1" applyBorder="1"/>
    <xf numFmtId="0" fontId="41" fillId="36" borderId="58" xfId="0" applyFont="1" applyFill="1" applyBorder="1"/>
    <xf numFmtId="3" fontId="41" fillId="36" borderId="58" xfId="0" applyNumberFormat="1" applyFont="1" applyFill="1" applyBorder="1"/>
    <xf numFmtId="3" fontId="41" fillId="0" borderId="69" xfId="0" applyNumberFormat="1" applyFont="1" applyBorder="1"/>
    <xf numFmtId="3" fontId="36" fillId="0" borderId="0" xfId="0" applyNumberFormat="1" applyFont="1"/>
    <xf numFmtId="0" fontId="41" fillId="38" borderId="58" xfId="0" applyFont="1" applyFill="1" applyBorder="1"/>
    <xf numFmtId="3" fontId="41" fillId="38" borderId="58" xfId="0" applyNumberFormat="1" applyFont="1" applyFill="1" applyBorder="1"/>
    <xf numFmtId="3" fontId="41" fillId="38" borderId="59" xfId="0" applyNumberFormat="1" applyFont="1" applyFill="1" applyBorder="1"/>
    <xf numFmtId="9" fontId="4" fillId="26" borderId="36" xfId="0" applyNumberFormat="1" applyFont="1" applyFill="1" applyBorder="1" applyAlignment="1">
      <alignment horizontal="center" vertical="center" wrapText="1"/>
    </xf>
    <xf numFmtId="4" fontId="4" fillId="0" borderId="32" xfId="4" applyNumberFormat="1" applyFont="1" applyBorder="1" applyAlignment="1">
      <alignment vertical="center" wrapText="1"/>
    </xf>
    <xf numFmtId="4" fontId="4" fillId="0" borderId="32" xfId="4" applyNumberFormat="1" applyFont="1" applyBorder="1" applyAlignment="1">
      <alignment horizontal="center" vertical="center" wrapText="1"/>
    </xf>
    <xf numFmtId="9" fontId="0" fillId="0" borderId="0" xfId="2" applyFont="1"/>
    <xf numFmtId="0" fontId="35" fillId="0" borderId="0" xfId="0" applyFont="1"/>
    <xf numFmtId="3" fontId="38" fillId="0" borderId="58" xfId="0" applyNumberFormat="1" applyFont="1" applyBorder="1" applyAlignment="1">
      <alignment horizontal="center" vertical="center"/>
    </xf>
    <xf numFmtId="173" fontId="5" fillId="0" borderId="72" xfId="0" applyNumberFormat="1" applyFont="1" applyBorder="1" applyAlignment="1">
      <alignment horizontal="center" vertical="center" wrapText="1"/>
    </xf>
    <xf numFmtId="182" fontId="5" fillId="0" borderId="72" xfId="0" applyNumberFormat="1" applyFont="1" applyBorder="1" applyAlignment="1">
      <alignment horizontal="center" vertical="center" wrapText="1"/>
    </xf>
    <xf numFmtId="1" fontId="0" fillId="21" borderId="54" xfId="0" applyNumberFormat="1" applyFill="1" applyBorder="1" applyAlignment="1">
      <alignment vertical="center"/>
    </xf>
    <xf numFmtId="1" fontId="0" fillId="22" borderId="54" xfId="0" applyNumberFormat="1" applyFill="1" applyBorder="1" applyAlignment="1">
      <alignment vertical="center"/>
    </xf>
    <xf numFmtId="172" fontId="0" fillId="22" borderId="54" xfId="0" applyNumberFormat="1" applyFill="1" applyBorder="1" applyAlignment="1">
      <alignment horizontal="center" vertical="center"/>
    </xf>
    <xf numFmtId="0" fontId="0" fillId="21" borderId="54" xfId="0" applyFill="1" applyBorder="1" applyAlignment="1">
      <alignment vertical="center"/>
    </xf>
    <xf numFmtId="2" fontId="0" fillId="0" borderId="0" xfId="0" applyNumberFormat="1" applyAlignment="1">
      <alignment vertical="center"/>
    </xf>
    <xf numFmtId="4" fontId="16" fillId="4" borderId="72" xfId="0" applyNumberFormat="1" applyFont="1" applyFill="1" applyBorder="1" applyAlignment="1">
      <alignment horizontal="center" vertical="center" wrapText="1"/>
    </xf>
    <xf numFmtId="1" fontId="5" fillId="0" borderId="0" xfId="0" applyNumberFormat="1" applyFont="1" applyAlignment="1">
      <alignment vertical="center" wrapText="1"/>
    </xf>
    <xf numFmtId="49" fontId="0" fillId="0" borderId="0" xfId="0" applyNumberFormat="1" applyAlignment="1">
      <alignment vertical="center"/>
    </xf>
    <xf numFmtId="4" fontId="16" fillId="4" borderId="36" xfId="0" applyNumberFormat="1" applyFont="1" applyFill="1" applyBorder="1" applyAlignment="1">
      <alignment horizontal="center" vertical="center" wrapText="1"/>
    </xf>
    <xf numFmtId="0" fontId="0" fillId="0" borderId="0" xfId="0" applyAlignment="1">
      <alignment horizontal="center" vertical="top"/>
    </xf>
    <xf numFmtId="168" fontId="0" fillId="6" borderId="54" xfId="0" applyNumberFormat="1" applyFill="1" applyBorder="1" applyAlignment="1">
      <alignment horizontal="center" vertical="center"/>
    </xf>
    <xf numFmtId="5" fontId="0" fillId="0" borderId="107" xfId="0" applyNumberFormat="1" applyBorder="1" applyAlignment="1">
      <alignment vertical="center"/>
    </xf>
    <xf numFmtId="5" fontId="0" fillId="0" borderId="74" xfId="0" applyNumberFormat="1" applyBorder="1" applyAlignment="1">
      <alignment vertical="center"/>
    </xf>
    <xf numFmtId="5" fontId="0" fillId="0" borderId="85" xfId="0" applyNumberFormat="1" applyBorder="1" applyAlignment="1">
      <alignment vertical="center"/>
    </xf>
    <xf numFmtId="9" fontId="0" fillId="0" borderId="53" xfId="0" applyNumberFormat="1" applyBorder="1" applyAlignment="1">
      <alignment vertical="center"/>
    </xf>
    <xf numFmtId="5" fontId="0" fillId="0" borderId="41" xfId="0" applyNumberFormat="1" applyBorder="1" applyAlignment="1">
      <alignment vertical="center"/>
    </xf>
    <xf numFmtId="0" fontId="0" fillId="0" borderId="67" xfId="0" applyBorder="1" applyAlignment="1">
      <alignment vertical="center"/>
    </xf>
    <xf numFmtId="9" fontId="0" fillId="0" borderId="66" xfId="0" applyNumberFormat="1" applyBorder="1" applyAlignment="1">
      <alignment vertical="center"/>
    </xf>
    <xf numFmtId="171" fontId="0" fillId="0" borderId="41" xfId="0" applyNumberFormat="1" applyBorder="1" applyAlignment="1">
      <alignment vertical="center"/>
    </xf>
    <xf numFmtId="171" fontId="0" fillId="0" borderId="74" xfId="0" applyNumberFormat="1" applyBorder="1" applyAlignment="1">
      <alignment vertical="center"/>
    </xf>
    <xf numFmtId="5" fontId="0" fillId="0" borderId="67" xfId="0" applyNumberFormat="1" applyBorder="1" applyAlignment="1">
      <alignment vertical="center"/>
    </xf>
    <xf numFmtId="0" fontId="6" fillId="9" borderId="69" xfId="0" applyFont="1" applyFill="1" applyBorder="1" applyAlignment="1">
      <alignment vertical="center" wrapText="1"/>
    </xf>
    <xf numFmtId="0" fontId="4" fillId="0" borderId="40" xfId="0" applyFont="1" applyBorder="1" applyAlignment="1">
      <alignment horizontal="justify" vertical="center" wrapText="1"/>
    </xf>
    <xf numFmtId="0" fontId="0" fillId="0" borderId="0" xfId="0" applyAlignment="1">
      <alignment horizontal="justify" vertical="center" wrapText="1"/>
    </xf>
    <xf numFmtId="9" fontId="10" fillId="0" borderId="0" xfId="0" applyNumberFormat="1" applyFont="1" applyAlignment="1">
      <alignment horizontal="justify" vertical="center" wrapText="1"/>
    </xf>
    <xf numFmtId="9" fontId="4" fillId="0" borderId="32" xfId="4" applyNumberFormat="1" applyFont="1" applyBorder="1" applyAlignment="1">
      <alignment horizontal="justify" vertical="center" wrapText="1"/>
    </xf>
    <xf numFmtId="0" fontId="4" fillId="0" borderId="32" xfId="4" applyFont="1" applyBorder="1" applyAlignment="1">
      <alignment horizontal="justify" vertical="center" wrapText="1"/>
    </xf>
    <xf numFmtId="0" fontId="14" fillId="0" borderId="32" xfId="4" applyFont="1" applyBorder="1" applyAlignment="1">
      <alignment horizontal="justify" vertical="center" wrapText="1"/>
    </xf>
    <xf numFmtId="164" fontId="4" fillId="0" borderId="32" xfId="4" applyNumberFormat="1" applyFont="1" applyBorder="1" applyAlignment="1">
      <alignment horizontal="justify" vertical="center" wrapText="1"/>
    </xf>
    <xf numFmtId="5" fontId="0" fillId="0" borderId="36" xfId="0" applyNumberFormat="1" applyBorder="1" applyAlignment="1" applyProtection="1">
      <alignment vertical="center"/>
      <protection locked="0"/>
    </xf>
    <xf numFmtId="5" fontId="0" fillId="0" borderId="29" xfId="0" applyNumberFormat="1" applyBorder="1" applyAlignment="1" applyProtection="1">
      <alignment vertical="center"/>
      <protection locked="0"/>
    </xf>
    <xf numFmtId="5" fontId="0" fillId="0" borderId="32" xfId="0" applyNumberFormat="1" applyBorder="1" applyAlignment="1" applyProtection="1">
      <alignment vertical="center"/>
      <protection locked="0"/>
    </xf>
    <xf numFmtId="166" fontId="0" fillId="0" borderId="32" xfId="0" applyNumberFormat="1" applyBorder="1" applyAlignment="1" applyProtection="1">
      <alignment vertical="center"/>
      <protection locked="0"/>
    </xf>
    <xf numFmtId="166" fontId="0" fillId="0" borderId="29" xfId="0" applyNumberFormat="1" applyBorder="1" applyAlignment="1" applyProtection="1">
      <alignment vertical="center"/>
      <protection locked="0"/>
    </xf>
    <xf numFmtId="0" fontId="2" fillId="0" borderId="69" xfId="3" applyFont="1"/>
    <xf numFmtId="9" fontId="2" fillId="0" borderId="69" xfId="3" applyNumberFormat="1" applyFont="1" applyAlignment="1">
      <alignment vertical="center"/>
    </xf>
    <xf numFmtId="0" fontId="2" fillId="0" borderId="69" xfId="3" applyFont="1" applyAlignment="1">
      <alignment vertical="center"/>
    </xf>
    <xf numFmtId="49" fontId="2" fillId="0" borderId="69" xfId="3" applyNumberFormat="1" applyFont="1" applyAlignment="1">
      <alignment vertical="center"/>
    </xf>
    <xf numFmtId="2" fontId="10" fillId="0" borderId="0" xfId="0" applyNumberFormat="1" applyFont="1" applyAlignment="1">
      <alignment horizontal="center" vertical="center"/>
    </xf>
    <xf numFmtId="9" fontId="15" fillId="28" borderId="32" xfId="0" applyNumberFormat="1" applyFont="1" applyFill="1" applyBorder="1" applyAlignment="1">
      <alignment horizontal="center" vertical="center" wrapText="1"/>
    </xf>
    <xf numFmtId="0" fontId="4" fillId="35" borderId="32" xfId="4" applyFont="1" applyFill="1" applyBorder="1" applyAlignment="1">
      <alignment horizontal="center" vertical="center" wrapText="1"/>
    </xf>
    <xf numFmtId="166" fontId="5" fillId="0" borderId="38" xfId="0" applyNumberFormat="1" applyFont="1" applyBorder="1" applyAlignment="1">
      <alignment horizontal="center" vertical="center" wrapText="1"/>
    </xf>
    <xf numFmtId="4" fontId="5" fillId="4" borderId="38" xfId="0" applyNumberFormat="1" applyFont="1" applyFill="1" applyBorder="1" applyAlignment="1">
      <alignment horizontal="right" vertical="center" wrapText="1"/>
    </xf>
    <xf numFmtId="9" fontId="10" fillId="0" borderId="69" xfId="0" applyNumberFormat="1" applyFont="1" applyBorder="1" applyAlignment="1">
      <alignment horizontal="center" vertical="center"/>
    </xf>
    <xf numFmtId="9" fontId="4" fillId="0" borderId="32" xfId="4" applyNumberFormat="1" applyFont="1" applyBorder="1" applyAlignment="1">
      <alignment vertical="center" wrapText="1"/>
    </xf>
    <xf numFmtId="172" fontId="4" fillId="0" borderId="32" xfId="4" applyNumberFormat="1" applyFont="1" applyBorder="1" applyAlignment="1">
      <alignment vertical="center" wrapText="1"/>
    </xf>
    <xf numFmtId="172" fontId="4" fillId="0" borderId="32" xfId="4" applyNumberFormat="1" applyFont="1" applyBorder="1" applyAlignment="1">
      <alignment horizontal="center" vertical="center" wrapText="1"/>
    </xf>
    <xf numFmtId="9" fontId="17" fillId="0" borderId="32" xfId="4" applyNumberFormat="1" applyFont="1" applyBorder="1" applyAlignment="1">
      <alignment horizontal="justify" vertical="center" wrapText="1"/>
    </xf>
    <xf numFmtId="0" fontId="17" fillId="0" borderId="32" xfId="4" applyFont="1" applyBorder="1" applyAlignment="1">
      <alignment horizontal="justify" vertical="center" wrapText="1"/>
    </xf>
    <xf numFmtId="0" fontId="6" fillId="0" borderId="0" xfId="0" applyFont="1"/>
    <xf numFmtId="44" fontId="0" fillId="0" borderId="0" xfId="11" applyFont="1"/>
    <xf numFmtId="3" fontId="5" fillId="45" borderId="32" xfId="4" applyNumberFormat="1" applyFont="1" applyFill="1" applyBorder="1" applyAlignment="1">
      <alignment horizontal="center" vertical="center" wrapText="1"/>
    </xf>
    <xf numFmtId="0" fontId="5" fillId="45" borderId="32" xfId="4" applyFont="1" applyFill="1" applyBorder="1" applyAlignment="1">
      <alignment horizontal="center" vertical="center" wrapText="1"/>
    </xf>
    <xf numFmtId="0" fontId="5" fillId="45" borderId="53" xfId="4" applyFont="1" applyFill="1" applyBorder="1" applyAlignment="1">
      <alignment horizontal="center" vertical="center" wrapText="1"/>
    </xf>
    <xf numFmtId="0" fontId="6" fillId="46" borderId="63" xfId="4" applyFill="1" applyBorder="1" applyAlignment="1"/>
    <xf numFmtId="0" fontId="5" fillId="0" borderId="42" xfId="4" applyFont="1" applyBorder="1" applyAlignment="1">
      <alignment horizontal="center" vertical="center"/>
    </xf>
    <xf numFmtId="0" fontId="6" fillId="0" borderId="70" xfId="4" applyBorder="1" applyAlignment="1"/>
    <xf numFmtId="0" fontId="6" fillId="0" borderId="71" xfId="4" applyBorder="1" applyAlignment="1"/>
    <xf numFmtId="0" fontId="5" fillId="0" borderId="27" xfId="4" applyFont="1" applyBorder="1" applyAlignment="1">
      <alignment horizontal="left" vertical="center" wrapText="1"/>
    </xf>
    <xf numFmtId="0" fontId="6" fillId="0" borderId="51" xfId="4" applyBorder="1" applyAlignment="1"/>
    <xf numFmtId="0" fontId="5" fillId="0" borderId="53" xfId="4" applyFont="1" applyBorder="1" applyAlignment="1">
      <alignment horizontal="center" vertical="center"/>
    </xf>
    <xf numFmtId="0" fontId="6" fillId="0" borderId="56" xfId="4" applyBorder="1" applyAlignment="1"/>
    <xf numFmtId="0" fontId="6" fillId="0" borderId="63" xfId="4" applyBorder="1" applyAlignment="1"/>
    <xf numFmtId="0" fontId="5" fillId="0" borderId="56" xfId="4" applyFont="1" applyBorder="1" applyAlignment="1">
      <alignment horizontal="left" vertical="center" wrapText="1"/>
    </xf>
    <xf numFmtId="0" fontId="5" fillId="0" borderId="38" xfId="4" applyFont="1" applyBorder="1" applyAlignment="1">
      <alignment horizontal="center" vertical="center"/>
    </xf>
    <xf numFmtId="0" fontId="6" fillId="0" borderId="68" xfId="4" applyBorder="1" applyAlignment="1"/>
    <xf numFmtId="0" fontId="6" fillId="0" borderId="62" xfId="4" applyBorder="1" applyAlignment="1"/>
    <xf numFmtId="0" fontId="6" fillId="0" borderId="42" xfId="4" applyBorder="1" applyAlignment="1"/>
    <xf numFmtId="0" fontId="5" fillId="0" borderId="53" xfId="4" applyFont="1" applyBorder="1" applyAlignment="1">
      <alignment horizontal="left" vertical="center" wrapText="1"/>
    </xf>
    <xf numFmtId="0" fontId="5" fillId="4" borderId="53" xfId="4" applyFont="1" applyFill="1" applyBorder="1" applyAlignment="1">
      <alignment horizontal="center" vertical="center"/>
    </xf>
    <xf numFmtId="0" fontId="5" fillId="4" borderId="38" xfId="4" applyFont="1" applyFill="1" applyBorder="1" applyAlignment="1">
      <alignment horizontal="center" vertical="center"/>
    </xf>
    <xf numFmtId="0" fontId="6" fillId="0" borderId="52" xfId="4" applyBorder="1" applyAlignment="1"/>
    <xf numFmtId="0" fontId="6" fillId="0" borderId="69" xfId="4" applyAlignment="1"/>
    <xf numFmtId="0" fontId="6" fillId="0" borderId="76" xfId="4" applyBorder="1" applyAlignment="1"/>
    <xf numFmtId="0" fontId="5" fillId="4" borderId="72" xfId="4" applyFont="1" applyFill="1" applyBorder="1" applyAlignment="1">
      <alignment horizontal="center" vertical="center" wrapText="1"/>
    </xf>
    <xf numFmtId="0" fontId="6" fillId="0" borderId="73" xfId="4" applyBorder="1" applyAlignment="1"/>
    <xf numFmtId="0" fontId="6" fillId="0" borderId="74" xfId="4" applyBorder="1" applyAlignment="1"/>
    <xf numFmtId="14" fontId="9" fillId="0" borderId="2" xfId="0" applyNumberFormat="1" applyFont="1" applyBorder="1" applyAlignment="1">
      <alignment horizontal="center" vertical="center"/>
    </xf>
    <xf numFmtId="0" fontId="6" fillId="0" borderId="12" xfId="0" applyFont="1" applyBorder="1" applyAlignment="1"/>
    <xf numFmtId="0" fontId="6" fillId="0" borderId="22" xfId="0" applyFont="1" applyBorder="1" applyAlignment="1"/>
    <xf numFmtId="0" fontId="6" fillId="0" borderId="23" xfId="0" applyFont="1" applyBorder="1" applyAlignment="1"/>
    <xf numFmtId="0" fontId="6" fillId="0" borderId="20" xfId="0" applyFont="1" applyBorder="1" applyAlignment="1"/>
    <xf numFmtId="0" fontId="6" fillId="0" borderId="21" xfId="0" applyFont="1" applyBorder="1" applyAlignment="1"/>
    <xf numFmtId="0" fontId="5" fillId="0" borderId="53" xfId="4" applyFont="1" applyBorder="1" applyAlignment="1">
      <alignment horizontal="center" vertical="center" wrapText="1"/>
    </xf>
    <xf numFmtId="0" fontId="5" fillId="4" borderId="42" xfId="4" applyFont="1" applyFill="1" applyBorder="1" applyAlignment="1">
      <alignment horizontal="left" vertical="center"/>
    </xf>
    <xf numFmtId="0" fontId="4" fillId="0" borderId="42" xfId="4" applyFont="1" applyBorder="1" applyAlignment="1">
      <alignment horizontal="left" vertical="center"/>
    </xf>
    <xf numFmtId="0" fontId="5" fillId="4" borderId="53" xfId="4" applyFont="1" applyFill="1" applyBorder="1" applyAlignment="1">
      <alignment horizontal="left" vertical="center"/>
    </xf>
    <xf numFmtId="0" fontId="4" fillId="0" borderId="53" xfId="4" applyFont="1" applyBorder="1" applyAlignment="1">
      <alignment horizontal="left" vertical="center"/>
    </xf>
    <xf numFmtId="0" fontId="5" fillId="4" borderId="53" xfId="4" applyFont="1" applyFill="1" applyBorder="1" applyAlignment="1">
      <alignment horizontal="center" vertical="center" wrapText="1"/>
    </xf>
    <xf numFmtId="3" fontId="5" fillId="4" borderId="53" xfId="4" applyNumberFormat="1" applyFont="1" applyFill="1" applyBorder="1" applyAlignment="1">
      <alignment horizontal="center" vertical="center"/>
    </xf>
    <xf numFmtId="3" fontId="6" fillId="0" borderId="56" xfId="4" applyNumberFormat="1" applyBorder="1" applyAlignment="1"/>
    <xf numFmtId="3" fontId="6" fillId="0" borderId="63" xfId="4" applyNumberFormat="1" applyBorder="1" applyAlignment="1"/>
    <xf numFmtId="0" fontId="5" fillId="10" borderId="38" xfId="4" applyFont="1" applyFill="1" applyBorder="1" applyAlignment="1">
      <alignment horizontal="center" vertical="center" wrapText="1"/>
    </xf>
    <xf numFmtId="3" fontId="5" fillId="0" borderId="53" xfId="4" applyNumberFormat="1" applyFont="1" applyBorder="1" applyAlignment="1">
      <alignment horizontal="left" vertical="center" wrapText="1"/>
    </xf>
    <xf numFmtId="3" fontId="5" fillId="10" borderId="38" xfId="4" applyNumberFormat="1" applyFont="1" applyFill="1" applyBorder="1" applyAlignment="1">
      <alignment horizontal="center" vertical="center" wrapText="1"/>
    </xf>
    <xf numFmtId="3" fontId="6" fillId="0" borderId="68" xfId="4" applyNumberFormat="1" applyBorder="1" applyAlignment="1"/>
    <xf numFmtId="3" fontId="6" fillId="0" borderId="62" xfId="4" applyNumberFormat="1" applyBorder="1" applyAlignment="1"/>
    <xf numFmtId="3" fontId="6" fillId="0" borderId="52" xfId="4" applyNumberFormat="1" applyBorder="1" applyAlignment="1"/>
    <xf numFmtId="3" fontId="6" fillId="0" borderId="69" xfId="4" applyNumberFormat="1" applyAlignment="1"/>
    <xf numFmtId="3" fontId="6" fillId="0" borderId="76" xfId="4" applyNumberFormat="1" applyBorder="1" applyAlignment="1"/>
    <xf numFmtId="3" fontId="6" fillId="0" borderId="42" xfId="4" applyNumberFormat="1" applyBorder="1" applyAlignment="1"/>
    <xf numFmtId="3" fontId="6" fillId="0" borderId="70" xfId="4" applyNumberFormat="1" applyBorder="1" applyAlignment="1"/>
    <xf numFmtId="3" fontId="6" fillId="0" borderId="71" xfId="4" applyNumberFormat="1" applyBorder="1" applyAlignment="1"/>
    <xf numFmtId="0" fontId="6" fillId="0" borderId="74" xfId="4" applyBorder="1" applyAlignment="1">
      <alignment horizontal="center"/>
    </xf>
    <xf numFmtId="0" fontId="6" fillId="0" borderId="69" xfId="0" applyFont="1" applyBorder="1" applyAlignment="1">
      <alignment horizontal="left" vertical="center" wrapText="1"/>
    </xf>
    <xf numFmtId="2" fontId="4" fillId="0" borderId="92" xfId="0" applyNumberFormat="1" applyFont="1" applyBorder="1" applyAlignment="1">
      <alignment horizontal="left" vertical="center" wrapText="1"/>
    </xf>
    <xf numFmtId="0" fontId="6" fillId="0" borderId="96" xfId="0" applyFont="1" applyBorder="1" applyAlignment="1"/>
    <xf numFmtId="9" fontId="4" fillId="0" borderId="72" xfId="0" applyNumberFormat="1" applyFont="1" applyBorder="1" applyAlignment="1">
      <alignment horizontal="center" vertical="center" wrapText="1"/>
    </xf>
    <xf numFmtId="0" fontId="6" fillId="0" borderId="97" xfId="0" applyFont="1" applyBorder="1" applyAlignment="1"/>
    <xf numFmtId="0" fontId="5" fillId="2" borderId="86" xfId="0" applyFont="1" applyFill="1" applyBorder="1" applyAlignment="1">
      <alignment horizontal="center" vertical="center" wrapText="1"/>
    </xf>
    <xf numFmtId="0" fontId="6" fillId="0" borderId="91" xfId="0" applyFont="1" applyBorder="1" applyAlignment="1"/>
    <xf numFmtId="0" fontId="5" fillId="2" borderId="87" xfId="0" applyFont="1" applyFill="1" applyBorder="1" applyAlignment="1">
      <alignment horizontal="center" vertical="center" wrapText="1"/>
    </xf>
    <xf numFmtId="0" fontId="6" fillId="0" borderId="74" xfId="0" applyFont="1" applyBorder="1" applyAlignment="1"/>
    <xf numFmtId="9" fontId="4" fillId="0" borderId="73" xfId="0" applyNumberFormat="1" applyFont="1" applyBorder="1" applyAlignment="1">
      <alignment horizontal="center" vertical="center" wrapText="1"/>
    </xf>
    <xf numFmtId="0" fontId="5" fillId="2" borderId="88" xfId="0" applyFont="1" applyFill="1" applyBorder="1" applyAlignment="1">
      <alignment horizontal="center" vertical="center" wrapText="1"/>
    </xf>
    <xf numFmtId="0" fontId="6" fillId="0" borderId="89" xfId="0" applyFont="1" applyBorder="1" applyAlignment="1"/>
    <xf numFmtId="0" fontId="6" fillId="0" borderId="90" xfId="0" applyFont="1" applyBorder="1" applyAlignment="1"/>
    <xf numFmtId="0" fontId="6" fillId="0" borderId="79" xfId="0" applyFont="1" applyBorder="1" applyAlignment="1"/>
    <xf numFmtId="0" fontId="5" fillId="2" borderId="53" xfId="0" applyFont="1" applyFill="1" applyBorder="1" applyAlignment="1">
      <alignment horizontal="center" vertical="center" wrapText="1"/>
    </xf>
    <xf numFmtId="0" fontId="6" fillId="0" borderId="56" xfId="0" applyFont="1" applyBorder="1" applyAlignment="1"/>
    <xf numFmtId="0" fontId="6" fillId="0" borderId="81" xfId="0" applyFont="1" applyBorder="1" applyAlignment="1"/>
    <xf numFmtId="9" fontId="4" fillId="0" borderId="38" xfId="5" applyNumberFormat="1" applyFont="1" applyBorder="1" applyAlignment="1" applyProtection="1">
      <alignment horizontal="justify" vertical="center" wrapText="1"/>
      <protection locked="0"/>
    </xf>
    <xf numFmtId="0" fontId="6" fillId="0" borderId="68" xfId="5" applyFont="1" applyBorder="1" applyAlignment="1" applyProtection="1">
      <alignment horizontal="justify" vertical="center"/>
      <protection locked="0"/>
    </xf>
    <xf numFmtId="0" fontId="6" fillId="0" borderId="93" xfId="5" applyFont="1" applyBorder="1" applyAlignment="1" applyProtection="1">
      <alignment horizontal="justify" vertical="center"/>
      <protection locked="0"/>
    </xf>
    <xf numFmtId="0" fontId="6" fillId="0" borderId="52" xfId="5" applyFont="1" applyBorder="1" applyAlignment="1" applyProtection="1">
      <alignment horizontal="justify" vertical="center"/>
      <protection locked="0"/>
    </xf>
    <xf numFmtId="0" fontId="6" fillId="0" borderId="69" xfId="5" applyFont="1" applyAlignment="1" applyProtection="1">
      <alignment horizontal="justify" vertical="center"/>
      <protection locked="0"/>
    </xf>
    <xf numFmtId="0" fontId="6" fillId="0" borderId="94" xfId="5" applyFont="1" applyBorder="1" applyAlignment="1" applyProtection="1">
      <alignment horizontal="justify" vertical="center"/>
      <protection locked="0"/>
    </xf>
    <xf numFmtId="9" fontId="17" fillId="0" borderId="58" xfId="9" applyNumberFormat="1" applyFont="1" applyBorder="1" applyAlignment="1" applyProtection="1">
      <alignment horizontal="left" vertical="center" wrapText="1"/>
      <protection locked="0"/>
    </xf>
    <xf numFmtId="0" fontId="6" fillId="0" borderId="58" xfId="9" applyFont="1" applyBorder="1" applyAlignment="1" applyProtection="1">
      <alignment horizontal="left" vertical="center"/>
      <protection locked="0"/>
    </xf>
    <xf numFmtId="0" fontId="6" fillId="0" borderId="95" xfId="9" applyFont="1" applyBorder="1" applyAlignment="1" applyProtection="1">
      <alignment horizontal="left" vertical="center"/>
      <protection locked="0"/>
    </xf>
    <xf numFmtId="0" fontId="6" fillId="0" borderId="99" xfId="9" applyFont="1" applyBorder="1" applyAlignment="1" applyProtection="1">
      <alignment horizontal="left" vertical="center"/>
      <protection locked="0"/>
    </xf>
    <xf numFmtId="0" fontId="6" fillId="0" borderId="100" xfId="9" applyFont="1" applyBorder="1" applyAlignment="1" applyProtection="1">
      <alignment horizontal="left" vertical="center"/>
      <protection locked="0"/>
    </xf>
    <xf numFmtId="0" fontId="5" fillId="2" borderId="40" xfId="0" applyFont="1" applyFill="1" applyBorder="1" applyAlignment="1">
      <alignment horizontal="center" vertical="center" wrapText="1"/>
    </xf>
    <xf numFmtId="0" fontId="6" fillId="0" borderId="41" xfId="0" applyFont="1" applyBorder="1" applyAlignment="1"/>
    <xf numFmtId="0" fontId="4" fillId="0" borderId="40" xfId="0" applyFont="1" applyBorder="1" applyAlignment="1">
      <alignment horizontal="left" vertical="center" wrapText="1"/>
    </xf>
    <xf numFmtId="0" fontId="6" fillId="0" borderId="65" xfId="0" applyFont="1" applyBorder="1" applyAlignment="1"/>
    <xf numFmtId="10" fontId="5" fillId="0" borderId="72" xfId="0" applyNumberFormat="1" applyFont="1" applyBorder="1" applyAlignment="1">
      <alignment horizontal="center" vertical="center" wrapText="1"/>
    </xf>
    <xf numFmtId="0" fontId="6" fillId="0" borderId="73" xfId="0" applyFont="1" applyBorder="1" applyAlignment="1"/>
    <xf numFmtId="4" fontId="5" fillId="0" borderId="38" xfId="0" applyNumberFormat="1" applyFont="1" applyBorder="1" applyAlignment="1">
      <alignment horizontal="center" vertical="center" wrapText="1"/>
    </xf>
    <xf numFmtId="0" fontId="6" fillId="0" borderId="62" xfId="0" applyFont="1" applyBorder="1" applyAlignment="1"/>
    <xf numFmtId="0" fontId="5" fillId="2" borderId="7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6" fillId="0" borderId="68" xfId="0" applyFont="1" applyBorder="1" applyAlignment="1"/>
    <xf numFmtId="0" fontId="6" fillId="0" borderId="39" xfId="0" applyFont="1" applyBorder="1" applyAlignment="1"/>
    <xf numFmtId="0" fontId="6" fillId="0" borderId="42" xfId="0" applyFont="1" applyBorder="1" applyAlignment="1"/>
    <xf numFmtId="0" fontId="6" fillId="0" borderId="70" xfId="0" applyFont="1" applyBorder="1" applyAlignment="1"/>
    <xf numFmtId="0" fontId="6" fillId="0" borderId="43" xfId="0" applyFont="1" applyBorder="1" applyAlignment="1"/>
    <xf numFmtId="0" fontId="5" fillId="2" borderId="67"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6" fillId="0" borderId="17" xfId="0" applyFont="1" applyBorder="1" applyAlignment="1"/>
    <xf numFmtId="0" fontId="5" fillId="2" borderId="61" xfId="0" applyFont="1" applyFill="1" applyBorder="1" applyAlignment="1">
      <alignment horizontal="center" vertical="center" wrapText="1"/>
    </xf>
    <xf numFmtId="0" fontId="6" fillId="0" borderId="75" xfId="0" applyFont="1" applyBorder="1" applyAlignment="1"/>
    <xf numFmtId="0" fontId="6" fillId="0" borderId="71" xfId="0" applyFont="1" applyBorder="1" applyAlignment="1"/>
    <xf numFmtId="0" fontId="5" fillId="2" borderId="13" xfId="0" applyFont="1" applyFill="1" applyBorder="1" applyAlignment="1">
      <alignment horizontal="center" vertical="center" wrapText="1"/>
    </xf>
    <xf numFmtId="0" fontId="6" fillId="0" borderId="27" xfId="0" applyFont="1" applyBorder="1" applyAlignment="1"/>
    <xf numFmtId="164" fontId="5" fillId="0" borderId="16" xfId="0" applyNumberFormat="1" applyFont="1" applyBorder="1" applyAlignment="1">
      <alignment horizontal="center" vertical="center" wrapText="1"/>
    </xf>
    <xf numFmtId="0" fontId="5" fillId="2" borderId="19" xfId="0" applyFont="1" applyFill="1" applyBorder="1" applyAlignment="1">
      <alignment horizontal="center" vertical="center" wrapText="1"/>
    </xf>
    <xf numFmtId="0" fontId="6" fillId="0" borderId="19" xfId="0" applyFont="1" applyBorder="1" applyAlignment="1"/>
    <xf numFmtId="0" fontId="5" fillId="2" borderId="1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69" xfId="0" applyFont="1" applyBorder="1" applyAlignment="1"/>
    <xf numFmtId="0" fontId="5" fillId="2" borderId="42" xfId="0" applyFont="1" applyFill="1" applyBorder="1" applyAlignment="1">
      <alignment horizontal="center" vertical="center" wrapText="1"/>
    </xf>
    <xf numFmtId="9" fontId="4" fillId="0" borderId="38" xfId="10" applyNumberFormat="1" applyFont="1" applyBorder="1" applyAlignment="1">
      <alignment horizontal="justify" vertical="center" wrapText="1"/>
    </xf>
    <xf numFmtId="0" fontId="6" fillId="0" borderId="68" xfId="10" applyFont="1" applyBorder="1" applyAlignment="1">
      <alignment horizontal="justify" vertical="center"/>
    </xf>
    <xf numFmtId="0" fontId="6" fillId="0" borderId="62" xfId="10" applyFont="1" applyBorder="1" applyAlignment="1">
      <alignment horizontal="justify" vertical="center"/>
    </xf>
    <xf numFmtId="0" fontId="6" fillId="0" borderId="52" xfId="10" applyFont="1" applyBorder="1" applyAlignment="1">
      <alignment horizontal="justify" vertical="center"/>
    </xf>
    <xf numFmtId="0" fontId="6" fillId="0" borderId="69" xfId="10" applyFont="1" applyAlignment="1">
      <alignment horizontal="justify" vertical="center"/>
    </xf>
    <xf numFmtId="0" fontId="6" fillId="0" borderId="76" xfId="10" applyFont="1" applyBorder="1" applyAlignment="1">
      <alignment horizontal="justify" vertical="center"/>
    </xf>
    <xf numFmtId="0" fontId="6" fillId="0" borderId="39" xfId="10" applyFont="1" applyBorder="1" applyAlignment="1">
      <alignment horizontal="justify" vertical="center"/>
    </xf>
    <xf numFmtId="0" fontId="6" fillId="0" borderId="23" xfId="10" applyFont="1" applyBorder="1" applyAlignment="1">
      <alignment horizontal="justify" vertical="center"/>
    </xf>
    <xf numFmtId="0" fontId="4" fillId="0" borderId="53" xfId="0" applyFont="1" applyBorder="1" applyAlignment="1">
      <alignment horizontal="left" vertical="center" wrapText="1"/>
    </xf>
    <xf numFmtId="0" fontId="6" fillId="0" borderId="5" xfId="0" applyFont="1" applyBorder="1" applyAlignment="1"/>
    <xf numFmtId="0" fontId="5" fillId="0" borderId="13" xfId="0" applyFont="1" applyBorder="1" applyAlignment="1">
      <alignment horizontal="center" vertical="center" wrapText="1"/>
    </xf>
    <xf numFmtId="0" fontId="6" fillId="0" borderId="3" xfId="0" applyFont="1" applyBorder="1" applyAlignment="1"/>
    <xf numFmtId="0" fontId="6" fillId="0" borderId="63" xfId="0" applyFont="1" applyBorder="1" applyAlignment="1"/>
    <xf numFmtId="0" fontId="11" fillId="0" borderId="16" xfId="0" applyFont="1" applyBorder="1" applyAlignment="1">
      <alignment horizontal="left" vertical="center" wrapText="1"/>
    </xf>
    <xf numFmtId="0" fontId="5" fillId="2" borderId="20" xfId="0" applyFont="1" applyFill="1" applyBorder="1" applyAlignment="1">
      <alignment horizontal="center" vertical="center" wrapText="1"/>
    </xf>
    <xf numFmtId="0" fontId="6" fillId="0" borderId="18" xfId="0" applyFont="1" applyBorder="1" applyAlignment="1"/>
    <xf numFmtId="9" fontId="5" fillId="0" borderId="16"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0" borderId="16" xfId="0" applyFont="1" applyBorder="1" applyAlignment="1">
      <alignment horizontal="center" vertical="center" wrapText="1"/>
    </xf>
    <xf numFmtId="0" fontId="5" fillId="2" borderId="14" xfId="0" applyFont="1" applyFill="1" applyBorder="1" applyAlignment="1">
      <alignment horizontal="center" vertical="center" wrapText="1"/>
    </xf>
    <xf numFmtId="0" fontId="6" fillId="0" borderId="34" xfId="0" applyFont="1" applyBorder="1" applyAlignment="1"/>
    <xf numFmtId="0" fontId="11" fillId="0" borderId="2" xfId="0" applyFont="1" applyBorder="1" applyAlignment="1">
      <alignment horizontal="left" vertical="center" wrapText="1"/>
    </xf>
    <xf numFmtId="0" fontId="6" fillId="0" borderId="11" xfId="0" applyFont="1" applyBorder="1" applyAlignment="1"/>
    <xf numFmtId="0" fontId="0" fillId="0" borderId="0" xfId="0" applyAlignment="1"/>
    <xf numFmtId="0" fontId="5" fillId="2" borderId="2" xfId="0" applyFont="1" applyFill="1" applyBorder="1" applyAlignment="1">
      <alignment horizontal="left" vertical="center" wrapText="1"/>
    </xf>
    <xf numFmtId="0" fontId="7" fillId="0" borderId="27" xfId="0" applyFont="1" applyBorder="1" applyAlignment="1">
      <alignment horizontal="left" vertical="center" wrapText="1"/>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7" fillId="0" borderId="34" xfId="0" applyFont="1" applyBorder="1" applyAlignment="1">
      <alignment horizontal="left" vertical="center" wrapText="1"/>
    </xf>
    <xf numFmtId="0" fontId="6" fillId="0" borderId="7" xfId="0" applyFont="1" applyBorder="1" applyAlignment="1"/>
    <xf numFmtId="0" fontId="7" fillId="0" borderId="56" xfId="0" applyFont="1" applyBorder="1" applyAlignment="1">
      <alignment horizontal="left" vertical="center" wrapText="1"/>
    </xf>
    <xf numFmtId="0" fontId="25" fillId="0" borderId="124" xfId="0" applyFont="1" applyBorder="1" applyAlignment="1">
      <alignment horizontal="center" vertical="center" wrapText="1"/>
    </xf>
    <xf numFmtId="0" fontId="25" fillId="0" borderId="125" xfId="0" applyFont="1" applyBorder="1" applyAlignment="1">
      <alignment horizontal="center" vertical="center" wrapText="1"/>
    </xf>
    <xf numFmtId="0" fontId="25" fillId="0" borderId="128" xfId="0" applyFont="1" applyBorder="1" applyAlignment="1">
      <alignment horizontal="center" vertical="center" wrapText="1"/>
    </xf>
    <xf numFmtId="0" fontId="25" fillId="0" borderId="129" xfId="0" applyFont="1" applyBorder="1" applyAlignment="1">
      <alignment horizontal="center" vertical="center" wrapText="1"/>
    </xf>
    <xf numFmtId="0" fontId="0" fillId="0" borderId="128" xfId="0" applyBorder="1" applyAlignment="1">
      <alignment horizontal="center" vertical="center"/>
    </xf>
    <xf numFmtId="0" fontId="0" fillId="0" borderId="129" xfId="0" applyBorder="1" applyAlignment="1">
      <alignment horizontal="center" vertical="center"/>
    </xf>
    <xf numFmtId="0" fontId="5" fillId="43" borderId="115" xfId="3" applyFont="1" applyFill="1" applyBorder="1" applyAlignment="1">
      <alignment horizontal="left" vertical="center" wrapText="1"/>
    </xf>
    <xf numFmtId="0" fontId="5" fillId="43" borderId="116" xfId="3" applyFont="1" applyFill="1" applyBorder="1" applyAlignment="1">
      <alignment horizontal="left" vertical="center" wrapText="1"/>
    </xf>
    <xf numFmtId="0" fontId="5" fillId="43" borderId="119" xfId="3" applyFont="1" applyFill="1" applyBorder="1" applyAlignment="1">
      <alignment horizontal="left" vertical="center" wrapText="1"/>
    </xf>
    <xf numFmtId="0" fontId="5" fillId="43" borderId="94" xfId="3" applyFont="1" applyFill="1" applyBorder="1" applyAlignment="1">
      <alignment horizontal="left" vertical="center" wrapText="1"/>
    </xf>
    <xf numFmtId="0" fontId="5" fillId="43" borderId="121" xfId="3" applyFont="1" applyFill="1" applyBorder="1" applyAlignment="1">
      <alignment horizontal="left" vertical="center" wrapText="1"/>
    </xf>
    <xf numFmtId="0" fontId="5" fillId="43" borderId="122" xfId="3"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4" xfId="0" applyFont="1" applyBorder="1" applyAlignment="1"/>
    <xf numFmtId="0" fontId="6" fillId="0" borderId="6" xfId="0" applyFont="1" applyBorder="1" applyAlignment="1"/>
    <xf numFmtId="0" fontId="5" fillId="0" borderId="2" xfId="0" applyFont="1" applyBorder="1" applyAlignment="1">
      <alignment horizontal="center" vertical="center"/>
    </xf>
    <xf numFmtId="0" fontId="43" fillId="0" borderId="117" xfId="0" applyFont="1" applyBorder="1" applyAlignment="1">
      <alignment horizontal="center" vertical="center"/>
    </xf>
    <xf numFmtId="0" fontId="43" fillId="0" borderId="120" xfId="0" applyFont="1" applyBorder="1" applyAlignment="1">
      <alignment horizontal="center" vertical="center"/>
    </xf>
    <xf numFmtId="0" fontId="43" fillId="0" borderId="123" xfId="0" applyFont="1" applyBorder="1" applyAlignment="1">
      <alignment horizontal="center" vertical="center"/>
    </xf>
    <xf numFmtId="0" fontId="5" fillId="43" borderId="118" xfId="3" applyFont="1" applyFill="1" applyBorder="1" applyAlignment="1">
      <alignment horizontal="left" vertical="center" wrapText="1"/>
    </xf>
    <xf numFmtId="0" fontId="5" fillId="43" borderId="69" xfId="3" applyFont="1" applyFill="1" applyAlignment="1">
      <alignment horizontal="left" vertical="center" wrapText="1"/>
    </xf>
    <xf numFmtId="0" fontId="5" fillId="43" borderId="111" xfId="3" applyFont="1" applyFill="1" applyBorder="1" applyAlignment="1">
      <alignment horizontal="left" vertical="center" wrapText="1"/>
    </xf>
    <xf numFmtId="14" fontId="44" fillId="0" borderId="115" xfId="0" applyNumberFormat="1" applyFont="1" applyBorder="1" applyAlignment="1">
      <alignment horizontal="center" vertical="center"/>
    </xf>
    <xf numFmtId="0" fontId="44" fillId="0" borderId="116" xfId="0" applyFont="1" applyBorder="1" applyAlignment="1">
      <alignment horizontal="center" vertical="center"/>
    </xf>
    <xf numFmtId="0" fontId="44" fillId="0" borderId="119" xfId="0" applyFont="1" applyBorder="1" applyAlignment="1">
      <alignment horizontal="center" vertical="center"/>
    </xf>
    <xf numFmtId="0" fontId="44" fillId="0" borderId="94" xfId="0" applyFont="1" applyBorder="1" applyAlignment="1">
      <alignment horizontal="center" vertical="center"/>
    </xf>
    <xf numFmtId="0" fontId="44" fillId="0" borderId="121" xfId="0" applyFont="1" applyBorder="1" applyAlignment="1">
      <alignment horizontal="center" vertical="center"/>
    </xf>
    <xf numFmtId="0" fontId="44" fillId="0" borderId="122" xfId="0" applyFont="1"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25" fillId="0" borderId="126" xfId="0" applyFont="1" applyBorder="1" applyAlignment="1">
      <alignment horizontal="center" vertical="center" wrapText="1"/>
    </xf>
    <xf numFmtId="0" fontId="25" fillId="0" borderId="127" xfId="0" applyFont="1" applyBorder="1" applyAlignment="1">
      <alignment horizontal="center" vertical="center" wrapText="1"/>
    </xf>
    <xf numFmtId="0" fontId="0" fillId="0" borderId="126" xfId="0" applyBorder="1" applyAlignment="1">
      <alignment horizontal="center" vertical="center"/>
    </xf>
    <xf numFmtId="0" fontId="0" fillId="0" borderId="127" xfId="0" applyBorder="1" applyAlignment="1">
      <alignment horizontal="center" vertical="center"/>
    </xf>
    <xf numFmtId="2" fontId="4" fillId="0" borderId="65" xfId="0" applyNumberFormat="1" applyFont="1" applyBorder="1" applyAlignment="1">
      <alignment vertical="center" wrapText="1"/>
    </xf>
    <xf numFmtId="0" fontId="5" fillId="2" borderId="48" xfId="0" applyFont="1" applyFill="1" applyBorder="1" applyAlignment="1">
      <alignment horizontal="center" vertical="center" wrapText="1"/>
    </xf>
    <xf numFmtId="2" fontId="4" fillId="0" borderId="40" xfId="0" applyNumberFormat="1" applyFont="1" applyBorder="1" applyAlignment="1">
      <alignment vertical="center" wrapText="1"/>
    </xf>
    <xf numFmtId="0" fontId="14" fillId="0" borderId="53" xfId="0" applyFont="1" applyBorder="1" applyAlignment="1">
      <alignment horizontal="left" vertical="center" wrapText="1"/>
    </xf>
    <xf numFmtId="3" fontId="5" fillId="0" borderId="38" xfId="0" applyNumberFormat="1" applyFont="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6" fillId="0" borderId="51" xfId="0" applyFont="1" applyBorder="1" applyAlignment="1"/>
    <xf numFmtId="9" fontId="14" fillId="0" borderId="38" xfId="0" applyNumberFormat="1" applyFont="1" applyBorder="1" applyAlignment="1">
      <alignment horizontal="left" vertical="center" wrapText="1"/>
    </xf>
    <xf numFmtId="0" fontId="6" fillId="0" borderId="52" xfId="0" applyFont="1" applyBorder="1" applyAlignment="1"/>
    <xf numFmtId="9" fontId="14" fillId="0" borderId="38" xfId="0" applyNumberFormat="1" applyFont="1" applyBorder="1" applyAlignment="1">
      <alignment horizontal="center" vertical="center" wrapText="1"/>
    </xf>
    <xf numFmtId="0" fontId="6" fillId="0" borderId="44" xfId="0" applyFont="1" applyBorder="1" applyAlignment="1"/>
    <xf numFmtId="2" fontId="4" fillId="0" borderId="72" xfId="0" applyNumberFormat="1" applyFont="1" applyBorder="1" applyAlignment="1">
      <alignment horizontal="center" vertical="center" wrapText="1"/>
    </xf>
    <xf numFmtId="0" fontId="6" fillId="0" borderId="45" xfId="0" applyFont="1" applyBorder="1" applyAlignment="1"/>
    <xf numFmtId="0" fontId="6" fillId="0" borderId="46" xfId="0" applyFont="1" applyBorder="1" applyAlignment="1"/>
    <xf numFmtId="2" fontId="4" fillId="0" borderId="40" xfId="0" applyNumberFormat="1" applyFont="1" applyBorder="1" applyAlignment="1">
      <alignment horizontal="center" vertical="center" wrapText="1"/>
    </xf>
    <xf numFmtId="2" fontId="4" fillId="0" borderId="73" xfId="0" applyNumberFormat="1" applyFont="1" applyBorder="1" applyAlignment="1">
      <alignment horizontal="center" vertical="center" wrapText="1"/>
    </xf>
    <xf numFmtId="0" fontId="9" fillId="0" borderId="1" xfId="0" applyFont="1" applyBorder="1" applyAlignment="1">
      <alignment horizontal="center" vertical="center"/>
    </xf>
    <xf numFmtId="0" fontId="5" fillId="0" borderId="40" xfId="0" applyFont="1" applyBorder="1" applyAlignment="1">
      <alignment horizontal="center" vertical="center" wrapText="1"/>
    </xf>
    <xf numFmtId="0" fontId="5" fillId="0" borderId="72" xfId="0" applyFont="1" applyBorder="1" applyAlignment="1">
      <alignment horizontal="center" vertical="center" wrapText="1"/>
    </xf>
    <xf numFmtId="0" fontId="5" fillId="3" borderId="22" xfId="0" applyFont="1" applyFill="1" applyBorder="1" applyAlignment="1">
      <alignment horizontal="center" vertical="center" wrapText="1"/>
    </xf>
    <xf numFmtId="0" fontId="4"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9"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5" fillId="7" borderId="56" xfId="0" applyFont="1" applyFill="1" applyBorder="1" applyAlignment="1">
      <alignment horizontal="left" vertical="center" wrapText="1"/>
    </xf>
    <xf numFmtId="0" fontId="5" fillId="0" borderId="27" xfId="0" applyFont="1" applyBorder="1" applyAlignment="1">
      <alignment horizontal="left"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10" fillId="0" borderId="14" xfId="0" applyFont="1" applyBorder="1" applyAlignment="1">
      <alignment horizontal="center" vertical="center" wrapText="1"/>
    </xf>
    <xf numFmtId="0" fontId="10" fillId="0" borderId="67" xfId="0" applyFont="1" applyBorder="1" applyAlignment="1">
      <alignment horizontal="center" vertical="center" wrapText="1"/>
    </xf>
    <xf numFmtId="171" fontId="5" fillId="0" borderId="53" xfId="0" applyNumberFormat="1" applyFont="1" applyBorder="1" applyAlignment="1">
      <alignment horizontal="center" vertical="center" wrapText="1"/>
    </xf>
    <xf numFmtId="0" fontId="5" fillId="0" borderId="34" xfId="0" applyFont="1" applyBorder="1" applyAlignment="1">
      <alignment horizontal="left" vertical="center" wrapText="1"/>
    </xf>
    <xf numFmtId="0" fontId="0" fillId="0" borderId="13" xfId="0" applyBorder="1" applyAlignment="1">
      <alignment horizontal="center" vertical="center"/>
    </xf>
    <xf numFmtId="0" fontId="10" fillId="0" borderId="13"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7" xfId="0" applyFont="1" applyBorder="1" applyAlignment="1">
      <alignment horizontal="center" vertical="center" wrapText="1"/>
    </xf>
    <xf numFmtId="171" fontId="5" fillId="0" borderId="66" xfId="0" applyNumberFormat="1" applyFont="1" applyBorder="1" applyAlignment="1">
      <alignment horizontal="center" vertical="center" wrapText="1"/>
    </xf>
    <xf numFmtId="0" fontId="6" fillId="0" borderId="64" xfId="0" applyFont="1" applyBorder="1" applyAlignment="1"/>
    <xf numFmtId="171" fontId="5" fillId="0" borderId="14" xfId="0" applyNumberFormat="1" applyFont="1" applyBorder="1" applyAlignment="1">
      <alignment horizontal="center" vertical="center" wrapText="1"/>
    </xf>
    <xf numFmtId="171" fontId="5" fillId="0" borderId="53" xfId="0" applyNumberFormat="1" applyFont="1" applyBorder="1" applyAlignment="1">
      <alignment horizontal="center" vertical="center"/>
    </xf>
    <xf numFmtId="0" fontId="6" fillId="0" borderId="47" xfId="0" applyFont="1" applyBorder="1" applyAlignment="1"/>
    <xf numFmtId="49" fontId="6" fillId="0" borderId="69" xfId="0" applyNumberFormat="1" applyFont="1" applyBorder="1" applyAlignment="1">
      <alignment horizontal="left" vertical="center" wrapText="1"/>
    </xf>
    <xf numFmtId="0" fontId="4" fillId="0" borderId="38" xfId="0" applyFont="1" applyBorder="1" applyAlignment="1" applyProtection="1">
      <alignment horizontal="justify" vertical="center" wrapText="1"/>
      <protection locked="0"/>
    </xf>
    <xf numFmtId="0" fontId="4" fillId="0" borderId="68" xfId="0" applyFont="1" applyBorder="1" applyAlignment="1" applyProtection="1">
      <alignment horizontal="justify" vertical="center" wrapText="1"/>
      <protection locked="0"/>
    </xf>
    <xf numFmtId="0" fontId="4" fillId="0" borderId="62" xfId="0" applyFont="1" applyBorder="1" applyAlignment="1" applyProtection="1">
      <alignment horizontal="justify" vertical="center" wrapText="1"/>
      <protection locked="0"/>
    </xf>
    <xf numFmtId="0" fontId="4" fillId="0" borderId="46" xfId="0" applyFont="1" applyBorder="1" applyAlignment="1" applyProtection="1">
      <alignment horizontal="justify" vertical="center" wrapText="1"/>
      <protection locked="0"/>
    </xf>
    <xf numFmtId="0" fontId="4" fillId="0" borderId="18" xfId="0" applyFont="1" applyBorder="1" applyAlignment="1" applyProtection="1">
      <alignment horizontal="justify" vertical="center" wrapText="1"/>
      <protection locked="0"/>
    </xf>
    <xf numFmtId="0" fontId="4" fillId="0" borderId="47" xfId="0" applyFont="1" applyBorder="1" applyAlignment="1" applyProtection="1">
      <alignment horizontal="justify" vertical="center" wrapText="1"/>
      <protection locked="0"/>
    </xf>
    <xf numFmtId="0" fontId="17" fillId="0" borderId="38" xfId="0" applyFont="1" applyBorder="1" applyAlignment="1" applyProtection="1">
      <alignment horizontal="justify" vertical="center" wrapText="1"/>
      <protection locked="0"/>
    </xf>
    <xf numFmtId="0" fontId="17" fillId="0" borderId="68" xfId="0" applyFont="1" applyBorder="1" applyAlignment="1" applyProtection="1">
      <alignment horizontal="justify" vertical="center" wrapText="1"/>
      <protection locked="0"/>
    </xf>
    <xf numFmtId="0" fontId="17" fillId="0" borderId="62" xfId="0" applyFont="1" applyBorder="1" applyAlignment="1" applyProtection="1">
      <alignment horizontal="justify" vertical="center" wrapText="1"/>
      <protection locked="0"/>
    </xf>
    <xf numFmtId="0" fontId="17" fillId="0" borderId="46" xfId="0" applyFont="1" applyBorder="1" applyAlignment="1" applyProtection="1">
      <alignment horizontal="justify" vertical="center" wrapText="1"/>
      <protection locked="0"/>
    </xf>
    <xf numFmtId="0" fontId="17" fillId="0" borderId="18" xfId="0" applyFont="1" applyBorder="1" applyAlignment="1" applyProtection="1">
      <alignment horizontal="justify" vertical="center" wrapText="1"/>
      <protection locked="0"/>
    </xf>
    <xf numFmtId="0" fontId="17" fillId="0" borderId="47" xfId="0" applyFont="1" applyBorder="1" applyAlignment="1" applyProtection="1">
      <alignment horizontal="justify" vertical="center" wrapText="1"/>
      <protection locked="0"/>
    </xf>
    <xf numFmtId="0" fontId="17" fillId="0" borderId="39" xfId="0" applyFont="1" applyBorder="1" applyAlignment="1" applyProtection="1">
      <alignment horizontal="justify" vertical="center" wrapText="1"/>
      <protection locked="0"/>
    </xf>
    <xf numFmtId="0" fontId="17" fillId="0" borderId="21" xfId="0" applyFont="1" applyBorder="1" applyAlignment="1" applyProtection="1">
      <alignment horizontal="justify" vertical="center" wrapText="1"/>
      <protection locked="0"/>
    </xf>
    <xf numFmtId="0" fontId="17" fillId="0" borderId="53" xfId="0" applyFont="1" applyBorder="1" applyAlignment="1">
      <alignment horizontal="left" vertical="center" wrapText="1"/>
    </xf>
    <xf numFmtId="0" fontId="21" fillId="0" borderId="56" xfId="0" applyFont="1" applyBorder="1" applyAlignment="1"/>
    <xf numFmtId="0" fontId="21" fillId="0" borderId="5" xfId="0" applyFont="1" applyBorder="1" applyAlignment="1"/>
    <xf numFmtId="2" fontId="4" fillId="0" borderId="40" xfId="0" applyNumberFormat="1" applyFont="1" applyBorder="1" applyAlignment="1">
      <alignment horizontal="left" vertical="center" wrapText="1"/>
    </xf>
    <xf numFmtId="0" fontId="4" fillId="0" borderId="38"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23"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23" xfId="0" applyFont="1" applyBorder="1" applyAlignment="1">
      <alignment horizontal="center" vertical="center" wrapText="1"/>
    </xf>
    <xf numFmtId="0" fontId="4" fillId="0" borderId="19" xfId="0" applyFont="1" applyBorder="1" applyAlignment="1"/>
    <xf numFmtId="164" fontId="5" fillId="0" borderId="16" xfId="0" applyNumberFormat="1" applyFont="1" applyBorder="1" applyAlignment="1">
      <alignment vertical="center" wrapText="1"/>
    </xf>
    <xf numFmtId="49" fontId="6" fillId="0" borderId="69" xfId="0" applyNumberFormat="1" applyFont="1" applyBorder="1" applyAlignment="1">
      <alignment horizontal="left" vertical="top" wrapText="1"/>
    </xf>
    <xf numFmtId="0" fontId="4" fillId="0" borderId="38" xfId="0" applyFont="1" applyBorder="1" applyAlignment="1" applyProtection="1">
      <alignment horizontal="center" vertical="center" wrapText="1"/>
      <protection locked="0"/>
    </xf>
    <xf numFmtId="0" fontId="4" fillId="0" borderId="68"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39"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174" fontId="5" fillId="0" borderId="38" xfId="0" applyNumberFormat="1" applyFont="1" applyBorder="1" applyAlignment="1">
      <alignment horizontal="center" vertical="center" wrapText="1"/>
    </xf>
    <xf numFmtId="2" fontId="4" fillId="0" borderId="65" xfId="0" applyNumberFormat="1" applyFont="1" applyBorder="1" applyAlignment="1">
      <alignment horizontal="left" vertical="center" wrapText="1"/>
    </xf>
    <xf numFmtId="0" fontId="4" fillId="0" borderId="101" xfId="0" applyFont="1" applyBorder="1" applyAlignment="1" applyProtection="1">
      <alignment horizontal="justify" vertical="center" wrapText="1"/>
      <protection locked="0"/>
    </xf>
    <xf numFmtId="0" fontId="4" fillId="0" borderId="102" xfId="0" applyFont="1" applyBorder="1" applyAlignment="1" applyProtection="1">
      <alignment horizontal="justify" vertical="center" wrapText="1"/>
      <protection locked="0"/>
    </xf>
    <xf numFmtId="0" fontId="4" fillId="0" borderId="113" xfId="0" applyFont="1" applyBorder="1" applyAlignment="1" applyProtection="1">
      <alignment horizontal="justify" vertical="center" wrapText="1"/>
      <protection locked="0"/>
    </xf>
    <xf numFmtId="0" fontId="4" fillId="0" borderId="114" xfId="0" applyFont="1" applyBorder="1" applyAlignment="1" applyProtection="1">
      <alignment horizontal="justify" vertical="center" wrapText="1"/>
      <protection locked="0"/>
    </xf>
    <xf numFmtId="0" fontId="4" fillId="0" borderId="70" xfId="0" applyFont="1" applyBorder="1" applyAlignment="1" applyProtection="1">
      <alignment horizontal="justify" vertical="center" wrapText="1"/>
      <protection locked="0"/>
    </xf>
    <xf numFmtId="0" fontId="4" fillId="0" borderId="71" xfId="0" applyFont="1" applyBorder="1" applyAlignment="1" applyProtection="1">
      <alignment horizontal="justify" vertical="center" wrapText="1"/>
      <protection locked="0"/>
    </xf>
    <xf numFmtId="0" fontId="17" fillId="0" borderId="52" xfId="0" applyFont="1" applyBorder="1" applyAlignment="1" applyProtection="1">
      <alignment horizontal="justify" vertical="center" wrapText="1"/>
      <protection locked="0"/>
    </xf>
    <xf numFmtId="0" fontId="17" fillId="0" borderId="69" xfId="0" applyFont="1" applyBorder="1" applyAlignment="1" applyProtection="1">
      <alignment horizontal="justify" vertical="center" wrapText="1"/>
      <protection locked="0"/>
    </xf>
    <xf numFmtId="0" fontId="17" fillId="0" borderId="23" xfId="0" applyFont="1" applyBorder="1" applyAlignment="1" applyProtection="1">
      <alignment horizontal="justify" vertical="center" wrapText="1"/>
      <protection locked="0"/>
    </xf>
    <xf numFmtId="0" fontId="6" fillId="0" borderId="41" xfId="0" applyFont="1" applyBorder="1" applyAlignment="1">
      <alignment vertical="center"/>
    </xf>
    <xf numFmtId="0" fontId="6" fillId="0" borderId="74" xfId="0" applyFont="1" applyBorder="1" applyAlignment="1">
      <alignment vertical="center"/>
    </xf>
    <xf numFmtId="173" fontId="5" fillId="0" borderId="16" xfId="0" applyNumberFormat="1" applyFont="1" applyBorder="1" applyAlignment="1">
      <alignment horizontal="center" vertical="center" wrapText="1"/>
    </xf>
    <xf numFmtId="0" fontId="5" fillId="2" borderId="78"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6" fillId="0" borderId="83" xfId="0" applyFont="1" applyBorder="1" applyAlignment="1"/>
    <xf numFmtId="9" fontId="4" fillId="0" borderId="38" xfId="0" applyNumberFormat="1"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4" fillId="0" borderId="6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9" fontId="4" fillId="0" borderId="58" xfId="0" applyNumberFormat="1" applyFont="1" applyBorder="1" applyAlignment="1" applyProtection="1">
      <alignment horizontal="justify" vertical="center" wrapText="1"/>
      <protection locked="0"/>
    </xf>
    <xf numFmtId="0" fontId="6" fillId="0" borderId="58" xfId="0" applyFont="1" applyBorder="1" applyAlignment="1" applyProtection="1">
      <alignment horizontal="justify" vertical="center"/>
      <protection locked="0"/>
    </xf>
    <xf numFmtId="0" fontId="6" fillId="0" borderId="95" xfId="0" applyFont="1" applyBorder="1" applyAlignment="1" applyProtection="1">
      <alignment horizontal="justify" vertical="center"/>
      <protection locked="0"/>
    </xf>
    <xf numFmtId="0" fontId="17" fillId="0" borderId="38" xfId="0" applyFont="1" applyBorder="1" applyAlignment="1" applyProtection="1">
      <alignment horizontal="left" vertical="center" wrapText="1"/>
      <protection locked="0"/>
    </xf>
    <xf numFmtId="0" fontId="17" fillId="0" borderId="68"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38" xfId="0" applyFont="1" applyBorder="1" applyAlignment="1" applyProtection="1">
      <alignment horizontal="left" vertical="top" wrapText="1"/>
      <protection locked="0"/>
    </xf>
    <xf numFmtId="0" fontId="17" fillId="0" borderId="68" xfId="0" applyFont="1" applyBorder="1" applyAlignment="1" applyProtection="1">
      <alignment horizontal="left" vertical="top" wrapText="1"/>
      <protection locked="0"/>
    </xf>
    <xf numFmtId="0" fontId="17" fillId="0" borderId="39" xfId="0" applyFont="1" applyBorder="1" applyAlignment="1" applyProtection="1">
      <alignment horizontal="left" vertical="top" wrapText="1"/>
      <protection locked="0"/>
    </xf>
    <xf numFmtId="0" fontId="17" fillId="0" borderId="52" xfId="0" applyFont="1" applyBorder="1" applyAlignment="1" applyProtection="1">
      <alignment horizontal="left" vertical="top" wrapText="1"/>
      <protection locked="0"/>
    </xf>
    <xf numFmtId="0" fontId="17" fillId="0" borderId="69" xfId="0" applyFont="1" applyBorder="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173" fontId="5" fillId="0" borderId="16" xfId="0" applyNumberFormat="1" applyFont="1" applyBorder="1" applyAlignment="1">
      <alignment vertical="center" wrapText="1"/>
    </xf>
    <xf numFmtId="9" fontId="4" fillId="28" borderId="32" xfId="0" applyNumberFormat="1" applyFont="1" applyFill="1" applyBorder="1" applyAlignment="1">
      <alignment horizontal="center" vertical="center" wrapText="1"/>
    </xf>
    <xf numFmtId="0" fontId="6" fillId="28" borderId="32" xfId="0" applyFont="1" applyFill="1" applyBorder="1" applyAlignment="1">
      <alignment horizontal="center" vertical="center"/>
    </xf>
    <xf numFmtId="0" fontId="5" fillId="2" borderId="52" xfId="0" applyFont="1" applyFill="1" applyBorder="1" applyAlignment="1">
      <alignment horizontal="center" vertical="center" wrapText="1"/>
    </xf>
    <xf numFmtId="0" fontId="6" fillId="0" borderId="76" xfId="0" applyFont="1" applyBorder="1" applyAlignment="1"/>
    <xf numFmtId="9" fontId="4" fillId="28" borderId="38" xfId="0" applyNumberFormat="1" applyFont="1" applyFill="1" applyBorder="1" applyAlignment="1" applyProtection="1">
      <alignment horizontal="left" vertical="center" wrapText="1"/>
      <protection locked="0"/>
    </xf>
    <xf numFmtId="0" fontId="6" fillId="28" borderId="68" xfId="0" applyFont="1" applyFill="1" applyBorder="1" applyAlignment="1" applyProtection="1">
      <alignment horizontal="left" vertical="center"/>
      <protection locked="0"/>
    </xf>
    <xf numFmtId="0" fontId="6" fillId="28" borderId="93" xfId="0" applyFont="1" applyFill="1" applyBorder="1" applyAlignment="1" applyProtection="1">
      <alignment horizontal="left" vertical="center"/>
      <protection locked="0"/>
    </xf>
    <xf numFmtId="0" fontId="6" fillId="28" borderId="52" xfId="0" applyFont="1" applyFill="1" applyBorder="1" applyAlignment="1" applyProtection="1">
      <alignment horizontal="left" vertical="center"/>
      <protection locked="0"/>
    </xf>
    <xf numFmtId="0" fontId="6" fillId="28" borderId="69" xfId="0" applyFont="1" applyFill="1" applyBorder="1" applyAlignment="1" applyProtection="1">
      <alignment horizontal="left" vertical="center"/>
      <protection locked="0"/>
    </xf>
    <xf numFmtId="0" fontId="6" fillId="28" borderId="94" xfId="0" applyFont="1" applyFill="1" applyBorder="1" applyAlignment="1" applyProtection="1">
      <alignment horizontal="left" vertical="center"/>
      <protection locked="0"/>
    </xf>
    <xf numFmtId="2" fontId="4" fillId="0" borderId="92" xfId="0" applyNumberFormat="1" applyFont="1" applyBorder="1" applyAlignment="1">
      <alignment horizontal="justify" vertical="center" wrapText="1"/>
    </xf>
    <xf numFmtId="0" fontId="6" fillId="0" borderId="96" xfId="0" applyFont="1" applyBorder="1" applyAlignment="1">
      <alignment horizontal="justify" vertical="center" wrapText="1"/>
    </xf>
    <xf numFmtId="0" fontId="17" fillId="44" borderId="101" xfId="0" applyFont="1" applyFill="1" applyBorder="1" applyAlignment="1">
      <alignment vertical="center" wrapText="1"/>
    </xf>
    <xf numFmtId="0" fontId="17" fillId="44" borderId="102" xfId="0" applyFont="1" applyFill="1" applyBorder="1" applyAlignment="1">
      <alignment vertical="center" wrapText="1"/>
    </xf>
    <xf numFmtId="0" fontId="17" fillId="44" borderId="130" xfId="0" applyFont="1" applyFill="1" applyBorder="1" applyAlignment="1">
      <alignment vertical="center" wrapText="1"/>
    </xf>
    <xf numFmtId="0" fontId="17" fillId="44" borderId="131" xfId="0" applyFont="1" applyFill="1" applyBorder="1" applyAlignment="1">
      <alignment vertical="center" wrapText="1"/>
    </xf>
    <xf numFmtId="0" fontId="17" fillId="44" borderId="18" xfId="0" applyFont="1" applyFill="1" applyBorder="1" applyAlignment="1">
      <alignment vertical="center" wrapText="1"/>
    </xf>
    <xf numFmtId="0" fontId="17" fillId="44" borderId="21" xfId="0" applyFont="1" applyFill="1" applyBorder="1" applyAlignment="1">
      <alignment vertical="center" wrapText="1"/>
    </xf>
    <xf numFmtId="0" fontId="6" fillId="0" borderId="132" xfId="0" applyFont="1" applyBorder="1" applyAlignment="1"/>
    <xf numFmtId="0" fontId="6" fillId="0" borderId="91" xfId="0" applyFont="1" applyBorder="1" applyAlignment="1">
      <alignment horizontal="justify" vertical="center" wrapText="1"/>
    </xf>
    <xf numFmtId="0" fontId="4" fillId="0" borderId="40" xfId="0" applyFont="1" applyBorder="1" applyAlignment="1">
      <alignment horizontal="justify" vertical="center" wrapText="1"/>
    </xf>
    <xf numFmtId="0" fontId="6" fillId="0" borderId="65" xfId="0" applyFont="1" applyBorder="1" applyAlignment="1">
      <alignment horizontal="justify" vertical="center"/>
    </xf>
    <xf numFmtId="9" fontId="4" fillId="28" borderId="38" xfId="0" applyNumberFormat="1" applyFont="1" applyFill="1" applyBorder="1" applyAlignment="1" applyProtection="1">
      <alignment horizontal="justify" vertical="center" wrapText="1"/>
      <protection locked="0"/>
    </xf>
    <xf numFmtId="0" fontId="6" fillId="28" borderId="68" xfId="0" applyFont="1" applyFill="1" applyBorder="1" applyAlignment="1" applyProtection="1">
      <alignment horizontal="justify" vertical="center" wrapText="1"/>
      <protection locked="0"/>
    </xf>
    <xf numFmtId="0" fontId="6" fillId="28" borderId="39" xfId="0" applyFont="1" applyFill="1" applyBorder="1" applyAlignment="1" applyProtection="1">
      <alignment horizontal="justify" vertical="center" wrapText="1"/>
      <protection locked="0"/>
    </xf>
    <xf numFmtId="0" fontId="6" fillId="28" borderId="52" xfId="0" applyFont="1" applyFill="1" applyBorder="1" applyAlignment="1" applyProtection="1">
      <alignment horizontal="justify" vertical="center" wrapText="1"/>
      <protection locked="0"/>
    </xf>
    <xf numFmtId="0" fontId="6" fillId="28" borderId="0" xfId="0" applyFont="1" applyFill="1" applyAlignment="1" applyProtection="1">
      <alignment horizontal="justify" vertical="center" wrapText="1"/>
      <protection locked="0"/>
    </xf>
    <xf numFmtId="0" fontId="6" fillId="28" borderId="23" xfId="0" applyFont="1" applyFill="1" applyBorder="1" applyAlignment="1" applyProtection="1">
      <alignment horizontal="justify" vertical="center" wrapText="1"/>
      <protection locked="0"/>
    </xf>
    <xf numFmtId="0" fontId="6" fillId="0" borderId="68"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28" borderId="68" xfId="0" applyFont="1" applyFill="1" applyBorder="1" applyAlignment="1" applyProtection="1">
      <alignment horizontal="left" vertical="center" wrapText="1"/>
      <protection locked="0"/>
    </xf>
    <xf numFmtId="0" fontId="6" fillId="28" borderId="39" xfId="0" applyFont="1" applyFill="1" applyBorder="1" applyAlignment="1" applyProtection="1">
      <alignment horizontal="left" vertical="center" wrapText="1"/>
      <protection locked="0"/>
    </xf>
    <xf numFmtId="0" fontId="6" fillId="28" borderId="110" xfId="0" applyFont="1" applyFill="1" applyBorder="1" applyAlignment="1" applyProtection="1">
      <alignment horizontal="left" vertical="center" wrapText="1"/>
      <protection locked="0"/>
    </xf>
    <xf numFmtId="0" fontId="6" fillId="28" borderId="111" xfId="0" applyFont="1" applyFill="1" applyBorder="1" applyAlignment="1" applyProtection="1">
      <alignment horizontal="left" vertical="center" wrapText="1"/>
      <protection locked="0"/>
    </xf>
    <xf numFmtId="0" fontId="6" fillId="28" borderId="112" xfId="0" applyFont="1" applyFill="1" applyBorder="1" applyAlignment="1" applyProtection="1">
      <alignment horizontal="left" vertical="center" wrapText="1"/>
      <protection locked="0"/>
    </xf>
    <xf numFmtId="2" fontId="4" fillId="0" borderId="40" xfId="0" applyNumberFormat="1" applyFont="1" applyBorder="1" applyAlignment="1">
      <alignment horizontal="justify" vertical="center" wrapText="1"/>
    </xf>
    <xf numFmtId="0" fontId="6" fillId="0" borderId="41" xfId="0" applyFont="1" applyBorder="1" applyAlignment="1">
      <alignment horizontal="justify" vertical="center" wrapText="1"/>
    </xf>
    <xf numFmtId="9" fontId="47" fillId="28" borderId="38" xfId="0" applyNumberFormat="1" applyFont="1" applyFill="1" applyBorder="1" applyAlignment="1" applyProtection="1">
      <alignment horizontal="left" vertical="center" wrapText="1"/>
      <protection locked="0"/>
    </xf>
    <xf numFmtId="0" fontId="45" fillId="28" borderId="68" xfId="0" applyFont="1" applyFill="1" applyBorder="1" applyAlignment="1" applyProtection="1">
      <alignment horizontal="left" vertical="center" wrapText="1"/>
      <protection locked="0"/>
    </xf>
    <xf numFmtId="0" fontId="45" fillId="28" borderId="39" xfId="0" applyFont="1" applyFill="1" applyBorder="1" applyAlignment="1" applyProtection="1">
      <alignment horizontal="left" vertical="center" wrapText="1"/>
      <protection locked="0"/>
    </xf>
    <xf numFmtId="0" fontId="45" fillId="28" borderId="52" xfId="0" applyFont="1" applyFill="1" applyBorder="1" applyAlignment="1" applyProtection="1">
      <alignment horizontal="left" vertical="center" wrapText="1"/>
      <protection locked="0"/>
    </xf>
    <xf numFmtId="0" fontId="45" fillId="28" borderId="0" xfId="0" applyFont="1" applyFill="1" applyAlignment="1" applyProtection="1">
      <alignment horizontal="left" vertical="center" wrapText="1"/>
      <protection locked="0"/>
    </xf>
    <xf numFmtId="0" fontId="45" fillId="28" borderId="23" xfId="0" applyFont="1" applyFill="1" applyBorder="1" applyAlignment="1" applyProtection="1">
      <alignment horizontal="left" vertical="center" wrapText="1"/>
      <protection locked="0"/>
    </xf>
    <xf numFmtId="9" fontId="4" fillId="0" borderId="38" xfId="0" applyNumberFormat="1" applyFont="1" applyBorder="1" applyAlignment="1" applyProtection="1">
      <alignment horizontal="justify" vertical="center" wrapText="1"/>
      <protection locked="0"/>
    </xf>
    <xf numFmtId="0" fontId="0" fillId="0" borderId="68" xfId="0"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0" fontId="0" fillId="0" borderId="5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2" fontId="4" fillId="0" borderId="65" xfId="0" applyNumberFormat="1" applyFont="1" applyBorder="1" applyAlignment="1">
      <alignment horizontal="justify" vertical="center" wrapText="1"/>
    </xf>
    <xf numFmtId="0" fontId="6" fillId="0" borderId="44" xfId="0" applyFont="1" applyBorder="1" applyAlignment="1">
      <alignment horizontal="justify" vertical="center" wrapText="1"/>
    </xf>
    <xf numFmtId="9" fontId="4" fillId="28" borderId="38" xfId="0" applyNumberFormat="1" applyFont="1" applyFill="1" applyBorder="1" applyAlignment="1" applyProtection="1">
      <alignment horizontal="center" vertical="center" wrapText="1"/>
      <protection locked="0"/>
    </xf>
    <xf numFmtId="0" fontId="6" fillId="28" borderId="68" xfId="0" applyFont="1" applyFill="1" applyBorder="1" applyAlignment="1" applyProtection="1">
      <alignment horizontal="center" vertical="center" wrapText="1"/>
      <protection locked="0"/>
    </xf>
    <xf numFmtId="0" fontId="6" fillId="28" borderId="62" xfId="0" applyFont="1" applyFill="1" applyBorder="1" applyAlignment="1" applyProtection="1">
      <alignment horizontal="center" vertical="center" wrapText="1"/>
      <protection locked="0"/>
    </xf>
    <xf numFmtId="0" fontId="6" fillId="28" borderId="46" xfId="0" applyFont="1" applyFill="1" applyBorder="1" applyAlignment="1" applyProtection="1">
      <alignment horizontal="center" vertical="center" wrapText="1"/>
      <protection locked="0"/>
    </xf>
    <xf numFmtId="0" fontId="6" fillId="28" borderId="18" xfId="0" applyFont="1" applyFill="1" applyBorder="1" applyAlignment="1" applyProtection="1">
      <alignment horizontal="center" vertical="center" wrapText="1"/>
      <protection locked="0"/>
    </xf>
    <xf numFmtId="0" fontId="6" fillId="28" borderId="47" xfId="0" applyFont="1" applyFill="1" applyBorder="1" applyAlignment="1" applyProtection="1">
      <alignment horizontal="center" vertical="center" wrapText="1"/>
      <protection locked="0"/>
    </xf>
    <xf numFmtId="0" fontId="4" fillId="28" borderId="38" xfId="0" applyFont="1" applyFill="1" applyBorder="1" applyAlignment="1">
      <alignment horizontal="center" vertical="center" wrapText="1"/>
    </xf>
    <xf numFmtId="0" fontId="4" fillId="28" borderId="68" xfId="0" applyFont="1" applyFill="1" applyBorder="1" applyAlignment="1">
      <alignment horizontal="center" vertical="center" wrapText="1"/>
    </xf>
    <xf numFmtId="0" fontId="4" fillId="28" borderId="62" xfId="0" applyFont="1" applyFill="1" applyBorder="1" applyAlignment="1">
      <alignment horizontal="center" vertical="center" wrapText="1"/>
    </xf>
    <xf numFmtId="0" fontId="4" fillId="28" borderId="46" xfId="0" applyFont="1" applyFill="1" applyBorder="1" applyAlignment="1">
      <alignment horizontal="center" vertical="center" wrapText="1"/>
    </xf>
    <xf numFmtId="0" fontId="4" fillId="28" borderId="18" xfId="0" applyFont="1" applyFill="1" applyBorder="1" applyAlignment="1">
      <alignment horizontal="center" vertical="center" wrapText="1"/>
    </xf>
    <xf numFmtId="0" fontId="4" fillId="28" borderId="47" xfId="0" applyFont="1" applyFill="1" applyBorder="1" applyAlignment="1">
      <alignment horizontal="center" vertical="center" wrapText="1"/>
    </xf>
    <xf numFmtId="0" fontId="4" fillId="28" borderId="39" xfId="0" applyFont="1" applyFill="1" applyBorder="1" applyAlignment="1">
      <alignment horizontal="center" vertical="center" wrapText="1"/>
    </xf>
    <xf numFmtId="0" fontId="4" fillId="28" borderId="21" xfId="0" applyFont="1" applyFill="1" applyBorder="1" applyAlignment="1">
      <alignment horizontal="center" vertical="center" wrapText="1"/>
    </xf>
    <xf numFmtId="0" fontId="17" fillId="0" borderId="10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33" xfId="0" applyFont="1" applyBorder="1" applyAlignment="1">
      <alignment horizontal="center" vertical="center" wrapText="1"/>
    </xf>
    <xf numFmtId="0" fontId="17" fillId="0" borderId="105" xfId="0" applyFont="1" applyBorder="1" applyAlignment="1">
      <alignment horizontal="center" vertical="center" wrapText="1"/>
    </xf>
    <xf numFmtId="0" fontId="32" fillId="23" borderId="58" xfId="0" applyFont="1" applyFill="1" applyBorder="1" applyAlignment="1">
      <alignment horizontal="center"/>
    </xf>
    <xf numFmtId="0" fontId="32" fillId="24" borderId="58" xfId="0" applyFont="1" applyFill="1" applyBorder="1" applyAlignment="1">
      <alignment horizontal="center"/>
    </xf>
    <xf numFmtId="0" fontId="28" fillId="0" borderId="69" xfId="3" applyFont="1" applyAlignment="1">
      <alignment horizontal="center" vertical="center" wrapText="1"/>
    </xf>
    <xf numFmtId="0" fontId="5" fillId="0" borderId="53" xfId="4" applyFont="1" applyBorder="1" applyAlignment="1">
      <alignment vertical="center" wrapText="1"/>
    </xf>
    <xf numFmtId="0" fontId="5" fillId="0" borderId="38" xfId="4" applyFont="1" applyBorder="1" applyAlignment="1">
      <alignment vertical="center" wrapText="1"/>
    </xf>
    <xf numFmtId="0" fontId="16" fillId="0" borderId="42" xfId="4" applyFont="1" applyBorder="1" applyAlignment="1">
      <alignment horizontal="center" vertical="center"/>
    </xf>
    <xf numFmtId="0" fontId="16" fillId="0" borderId="42" xfId="4" applyFont="1" applyBorder="1" applyAlignment="1">
      <alignment horizontal="left" vertical="center"/>
    </xf>
    <xf numFmtId="0" fontId="6" fillId="0" borderId="70" xfId="4" applyBorder="1" applyAlignment="1">
      <alignment horizontal="left"/>
    </xf>
    <xf numFmtId="0" fontId="6" fillId="0" borderId="56" xfId="4" applyBorder="1" applyAlignment="1">
      <alignment horizontal="left"/>
    </xf>
    <xf numFmtId="0" fontId="6" fillId="0" borderId="63" xfId="4" applyBorder="1" applyAlignment="1">
      <alignment horizontal="left"/>
    </xf>
    <xf numFmtId="0" fontId="5" fillId="4" borderId="53" xfId="4" applyFont="1" applyFill="1" applyBorder="1" applyAlignment="1">
      <alignment horizontal="left" vertical="center" wrapText="1"/>
    </xf>
    <xf numFmtId="3" fontId="36" fillId="31" borderId="58" xfId="0" applyNumberFormat="1" applyFont="1" applyFill="1" applyBorder="1" applyAlignment="1">
      <alignment horizontal="center"/>
    </xf>
    <xf numFmtId="1" fontId="36" fillId="30" borderId="108" xfId="0" applyNumberFormat="1" applyFont="1" applyFill="1" applyBorder="1" applyAlignment="1">
      <alignment horizontal="center" vertical="center"/>
    </xf>
    <xf numFmtId="1" fontId="36" fillId="30" borderId="109" xfId="0" applyNumberFormat="1" applyFont="1" applyFill="1" applyBorder="1" applyAlignment="1">
      <alignment horizontal="center" vertical="center"/>
    </xf>
    <xf numFmtId="3" fontId="36" fillId="31" borderId="58" xfId="0" applyNumberFormat="1" applyFont="1" applyFill="1" applyBorder="1" applyAlignment="1">
      <alignment horizontal="center" wrapText="1"/>
    </xf>
    <xf numFmtId="0" fontId="42" fillId="0" borderId="58" xfId="0" applyFont="1" applyBorder="1" applyAlignment="1">
      <alignment horizontal="center" vertical="center" wrapText="1"/>
    </xf>
    <xf numFmtId="3" fontId="31" fillId="30" borderId="58" xfId="0" applyNumberFormat="1" applyFont="1" applyFill="1" applyBorder="1" applyAlignment="1">
      <alignment horizontal="center" vertical="center" wrapText="1"/>
    </xf>
    <xf numFmtId="1" fontId="31" fillId="30" borderId="59" xfId="0" applyNumberFormat="1" applyFont="1" applyFill="1" applyBorder="1" applyAlignment="1">
      <alignment horizontal="center"/>
    </xf>
    <xf numFmtId="1" fontId="31" fillId="30" borderId="106" xfId="0" applyNumberFormat="1" applyFont="1" applyFill="1" applyBorder="1" applyAlignment="1">
      <alignment horizontal="center"/>
    </xf>
    <xf numFmtId="1" fontId="31" fillId="30" borderId="57" xfId="0" applyNumberFormat="1" applyFont="1" applyFill="1" applyBorder="1" applyAlignment="1">
      <alignment horizontal="center"/>
    </xf>
    <xf numFmtId="1" fontId="31" fillId="34" borderId="58" xfId="0" applyNumberFormat="1" applyFont="1" applyFill="1" applyBorder="1" applyAlignment="1">
      <alignment horizontal="center" vertical="center"/>
    </xf>
    <xf numFmtId="3" fontId="31" fillId="33" borderId="58" xfId="0" applyNumberFormat="1" applyFont="1" applyFill="1" applyBorder="1" applyAlignment="1">
      <alignment horizontal="center" vertical="center" wrapText="1"/>
    </xf>
    <xf numFmtId="0" fontId="31" fillId="0" borderId="58" xfId="0" applyFont="1" applyBorder="1" applyAlignment="1">
      <alignment horizontal="center" vertical="center"/>
    </xf>
    <xf numFmtId="1" fontId="31" fillId="32" borderId="58" xfId="0" applyNumberFormat="1" applyFont="1" applyFill="1" applyBorder="1" applyAlignment="1">
      <alignment horizontal="center" vertical="center"/>
    </xf>
    <xf numFmtId="1" fontId="31" fillId="30" borderId="58" xfId="0" applyNumberFormat="1" applyFont="1" applyFill="1" applyBorder="1" applyAlignment="1">
      <alignment horizontal="center"/>
    </xf>
    <xf numFmtId="0" fontId="31" fillId="37" borderId="59" xfId="0" applyFont="1" applyFill="1" applyBorder="1" applyAlignment="1">
      <alignment horizontal="center" vertical="center"/>
    </xf>
    <xf numFmtId="0" fontId="31" fillId="37" borderId="106" xfId="0" applyFont="1" applyFill="1" applyBorder="1" applyAlignment="1">
      <alignment horizontal="center" vertical="center"/>
    </xf>
    <xf numFmtId="0" fontId="31" fillId="37" borderId="57" xfId="0" applyFont="1" applyFill="1" applyBorder="1" applyAlignment="1">
      <alignment horizontal="center" vertical="center"/>
    </xf>
    <xf numFmtId="0" fontId="31" fillId="0" borderId="101" xfId="0" applyFont="1" applyBorder="1" applyAlignment="1">
      <alignment horizontal="center" vertical="center"/>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58" xfId="0" applyFont="1" applyBorder="1" applyAlignment="1">
      <alignment horizontal="left" vertical="center" wrapText="1"/>
    </xf>
    <xf numFmtId="1" fontId="31" fillId="30" borderId="58" xfId="0" applyNumberFormat="1" applyFont="1" applyFill="1" applyBorder="1" applyAlignment="1">
      <alignment horizontal="center" vertical="center"/>
    </xf>
    <xf numFmtId="0" fontId="5" fillId="12" borderId="53" xfId="0" applyFont="1" applyFill="1" applyBorder="1" applyAlignment="1">
      <alignment horizontal="center" vertical="center"/>
    </xf>
    <xf numFmtId="0" fontId="5" fillId="0" borderId="53" xfId="0" applyFont="1" applyBorder="1" applyAlignment="1">
      <alignment horizontal="left" vertical="center" wrapText="1"/>
    </xf>
    <xf numFmtId="0" fontId="4" fillId="0" borderId="72" xfId="0" applyFont="1" applyBorder="1" applyAlignment="1">
      <alignment horizontal="left" vertical="center" wrapText="1"/>
    </xf>
    <xf numFmtId="177" fontId="4" fillId="0" borderId="38" xfId="0" applyNumberFormat="1" applyFont="1" applyBorder="1" applyAlignment="1">
      <alignment horizontal="left" vertical="center"/>
    </xf>
    <xf numFmtId="0" fontId="0" fillId="0" borderId="76" xfId="0" applyBorder="1" applyAlignment="1">
      <alignment horizontal="center"/>
    </xf>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xf numFmtId="0" fontId="4" fillId="47" borderId="119" xfId="12" applyFont="1" applyFill="1" applyBorder="1" applyAlignment="1">
      <alignment vertical="center" wrapText="1"/>
    </xf>
    <xf numFmtId="0" fontId="4" fillId="47" borderId="69" xfId="12" applyFont="1" applyFill="1" applyAlignment="1">
      <alignment vertical="center" wrapText="1"/>
    </xf>
    <xf numFmtId="0" fontId="5" fillId="43" borderId="58" xfId="12" applyFont="1" applyFill="1" applyBorder="1" applyAlignment="1">
      <alignment horizontal="center" vertical="center" wrapText="1"/>
    </xf>
    <xf numFmtId="0" fontId="5" fillId="43" borderId="58" xfId="12" applyFont="1" applyFill="1" applyBorder="1" applyAlignment="1">
      <alignment horizontal="center" vertical="center" wrapText="1"/>
    </xf>
    <xf numFmtId="0" fontId="1" fillId="0" borderId="69" xfId="13"/>
    <xf numFmtId="0" fontId="1" fillId="0" borderId="69" xfId="13" applyAlignment="1">
      <alignment vertical="center"/>
    </xf>
    <xf numFmtId="0" fontId="5" fillId="47" borderId="119" xfId="12" applyFont="1" applyFill="1" applyBorder="1" applyAlignment="1">
      <alignment vertical="center" wrapText="1"/>
    </xf>
    <xf numFmtId="0" fontId="5" fillId="47" borderId="69" xfId="12" applyFont="1" applyFill="1" applyAlignment="1">
      <alignment vertical="center" wrapText="1"/>
    </xf>
    <xf numFmtId="0" fontId="5" fillId="43" borderId="59" xfId="12" applyFont="1" applyFill="1" applyBorder="1" applyAlignment="1">
      <alignment horizontal="center" vertical="center" wrapText="1"/>
    </xf>
    <xf numFmtId="4" fontId="1" fillId="0" borderId="58" xfId="14" applyNumberFormat="1" applyFont="1" applyBorder="1" applyAlignment="1">
      <alignment vertical="center"/>
    </xf>
    <xf numFmtId="4" fontId="1" fillId="0" borderId="58" xfId="15" applyNumberFormat="1" applyFont="1" applyBorder="1" applyAlignment="1">
      <alignment vertical="center"/>
    </xf>
    <xf numFmtId="9" fontId="1" fillId="0" borderId="58" xfId="14" applyFont="1" applyBorder="1" applyAlignment="1">
      <alignment vertical="center"/>
    </xf>
    <xf numFmtId="184" fontId="1" fillId="0" borderId="58" xfId="15" applyNumberFormat="1" applyFont="1" applyBorder="1" applyAlignment="1">
      <alignment vertical="center"/>
    </xf>
    <xf numFmtId="0" fontId="50" fillId="0" borderId="58" xfId="13" applyFont="1" applyBorder="1" applyAlignment="1">
      <alignment horizontal="center" vertical="center" wrapText="1"/>
    </xf>
    <xf numFmtId="0" fontId="50" fillId="0" borderId="69" xfId="13" applyFont="1" applyAlignment="1">
      <alignment horizontal="center" vertical="center" wrapText="1"/>
    </xf>
    <xf numFmtId="0" fontId="29" fillId="0" borderId="58" xfId="12" applyFont="1" applyBorder="1" applyAlignment="1">
      <alignment horizontal="left" vertical="center" wrapText="1"/>
    </xf>
    <xf numFmtId="0" fontId="29" fillId="0" borderId="58" xfId="13" applyFont="1" applyBorder="1" applyAlignment="1">
      <alignment horizontal="justify" vertical="center" wrapText="1"/>
    </xf>
    <xf numFmtId="9" fontId="29" fillId="0" borderId="58" xfId="13" applyNumberFormat="1" applyFont="1" applyBorder="1" applyAlignment="1">
      <alignment horizontal="justify" vertical="center" wrapText="1"/>
    </xf>
    <xf numFmtId="0" fontId="29" fillId="0" borderId="58" xfId="13" applyFont="1" applyBorder="1" applyAlignment="1">
      <alignment horizontal="justify" vertical="center" wrapText="1"/>
    </xf>
    <xf numFmtId="4" fontId="1" fillId="0" borderId="58" xfId="13" applyNumberFormat="1" applyBorder="1" applyAlignment="1">
      <alignment vertical="center"/>
    </xf>
    <xf numFmtId="9" fontId="1" fillId="0" borderId="69" xfId="16" applyFont="1" applyBorder="1"/>
    <xf numFmtId="4" fontId="1" fillId="0" borderId="57" xfId="13" applyNumberFormat="1" applyBorder="1" applyAlignment="1">
      <alignment vertical="center"/>
    </xf>
    <xf numFmtId="0" fontId="1" fillId="0" borderId="58" xfId="13" applyBorder="1" applyAlignment="1">
      <alignment vertical="center"/>
    </xf>
    <xf numFmtId="1" fontId="1" fillId="0" borderId="58" xfId="13" applyNumberFormat="1" applyBorder="1" applyAlignment="1">
      <alignment vertical="center"/>
    </xf>
    <xf numFmtId="9" fontId="1" fillId="0" borderId="58" xfId="13" applyNumberFormat="1" applyBorder="1" applyAlignment="1">
      <alignment vertical="center"/>
    </xf>
    <xf numFmtId="9" fontId="1" fillId="0" borderId="69" xfId="13" applyNumberFormat="1" applyAlignment="1">
      <alignment vertical="center"/>
    </xf>
    <xf numFmtId="0" fontId="29" fillId="0" borderId="108" xfId="12" applyFont="1" applyBorder="1" applyAlignment="1">
      <alignment horizontal="left" vertical="center" wrapText="1"/>
    </xf>
    <xf numFmtId="0" fontId="29" fillId="0" borderId="134" xfId="12" applyFont="1" applyBorder="1" applyAlignment="1">
      <alignment horizontal="left" vertical="center" wrapText="1"/>
    </xf>
    <xf numFmtId="49" fontId="1" fillId="0" borderId="58" xfId="13" applyNumberFormat="1" applyBorder="1" applyAlignment="1">
      <alignment vertical="center"/>
    </xf>
    <xf numFmtId="0" fontId="29" fillId="0" borderId="109" xfId="12" applyFont="1" applyBorder="1" applyAlignment="1">
      <alignment horizontal="left" vertical="center" wrapText="1"/>
    </xf>
    <xf numFmtId="41" fontId="1" fillId="0" borderId="58" xfId="13" applyNumberFormat="1" applyBorder="1" applyAlignment="1">
      <alignment vertical="center"/>
    </xf>
    <xf numFmtId="4" fontId="1" fillId="0" borderId="69" xfId="13" applyNumberFormat="1" applyAlignment="1">
      <alignment vertical="center"/>
    </xf>
    <xf numFmtId="0" fontId="1" fillId="0" borderId="58" xfId="15" applyNumberFormat="1" applyFont="1" applyBorder="1" applyAlignment="1">
      <alignment vertical="center"/>
    </xf>
    <xf numFmtId="0" fontId="1" fillId="0" borderId="58" xfId="14" applyNumberFormat="1" applyFont="1" applyBorder="1" applyAlignment="1">
      <alignment vertical="center"/>
    </xf>
    <xf numFmtId="2" fontId="4" fillId="0" borderId="58" xfId="12" applyNumberFormat="1" applyFont="1" applyBorder="1" applyAlignment="1">
      <alignment vertical="center" wrapText="1"/>
    </xf>
    <xf numFmtId="172" fontId="4" fillId="0" borderId="108" xfId="14" applyNumberFormat="1" applyFont="1" applyFill="1" applyBorder="1" applyAlignment="1" applyProtection="1">
      <alignment horizontal="center" vertical="center" wrapText="1"/>
    </xf>
    <xf numFmtId="172" fontId="4" fillId="0" borderId="58" xfId="14" applyNumberFormat="1" applyFont="1" applyFill="1" applyBorder="1" applyAlignment="1" applyProtection="1">
      <alignment horizontal="center" vertical="center" wrapText="1"/>
    </xf>
    <xf numFmtId="0" fontId="5" fillId="0" borderId="58" xfId="12" applyFont="1" applyBorder="1" applyAlignment="1">
      <alignment horizontal="left" vertical="center" wrapText="1"/>
    </xf>
    <xf numFmtId="10" fontId="5" fillId="0" borderId="58" xfId="12" applyNumberFormat="1" applyFont="1" applyBorder="1" applyAlignment="1">
      <alignment horizontal="center" vertical="center" wrapText="1"/>
    </xf>
    <xf numFmtId="172" fontId="4" fillId="0" borderId="134" xfId="14" applyNumberFormat="1" applyFont="1" applyFill="1" applyBorder="1" applyAlignment="1" applyProtection="1">
      <alignment horizontal="center" vertical="center" wrapText="1"/>
    </xf>
    <xf numFmtId="0" fontId="5" fillId="25" borderId="58" xfId="12" applyFont="1" applyFill="1" applyBorder="1" applyAlignment="1">
      <alignment horizontal="left" vertical="center" wrapText="1"/>
    </xf>
    <xf numFmtId="10" fontId="4" fillId="25" borderId="58" xfId="14" applyNumberFormat="1" applyFont="1" applyFill="1" applyBorder="1" applyAlignment="1" applyProtection="1">
      <alignment horizontal="center" vertical="center" wrapText="1"/>
      <protection locked="0"/>
    </xf>
    <xf numFmtId="172" fontId="4" fillId="0" borderId="109" xfId="14" applyNumberFormat="1" applyFont="1" applyFill="1" applyBorder="1" applyAlignment="1" applyProtection="1">
      <alignment horizontal="center" vertical="center" wrapText="1"/>
    </xf>
    <xf numFmtId="10" fontId="4" fillId="0" borderId="58" xfId="14" applyNumberFormat="1" applyFont="1" applyFill="1" applyBorder="1" applyAlignment="1" applyProtection="1">
      <alignment horizontal="center" vertical="center" wrapText="1"/>
    </xf>
    <xf numFmtId="172" fontId="1" fillId="0" borderId="69" xfId="13" applyNumberFormat="1" applyAlignment="1">
      <alignment vertical="center"/>
    </xf>
  </cellXfs>
  <cellStyles count="17">
    <cellStyle name="Millares [0]" xfId="1" builtinId="6"/>
    <cellStyle name="Millares [0] 2" xfId="6" xr:uid="{A69D2BA7-B6DA-4C50-9896-53DEEA5D4AD0}"/>
    <cellStyle name="Millares 2" xfId="15" xr:uid="{74015293-39D7-40F9-9E89-074AE04332A2}"/>
    <cellStyle name="Moneda" xfId="11" builtinId="4"/>
    <cellStyle name="Normal" xfId="0" builtinId="0"/>
    <cellStyle name="Normal 2" xfId="3" xr:uid="{2F694335-C5A6-4DAD-9C06-EB4E5E88B454}"/>
    <cellStyle name="Normal 2 2" xfId="8" xr:uid="{C41CFB76-A109-4D0C-92E9-9BCF2F71BF34}"/>
    <cellStyle name="Normal 2 2 2" xfId="12" xr:uid="{3686BBEC-232F-4ACB-AC57-B1C04CBDED36}"/>
    <cellStyle name="Normal 3" xfId="4" xr:uid="{5DF4FAF7-9808-454F-9DED-C6E74751A7D2}"/>
    <cellStyle name="Normal 3 2" xfId="13" xr:uid="{25C22A41-8DC6-4C3D-8F30-BDDEB12325BD}"/>
    <cellStyle name="Normal 4" xfId="5" xr:uid="{01862B7E-E941-49DF-968C-A10DBE0021B9}"/>
    <cellStyle name="Normal 5" xfId="9" xr:uid="{31289790-232A-4FCE-AB0B-BA3D5D1D495F}"/>
    <cellStyle name="Normal 6" xfId="10" xr:uid="{697693D3-AE56-4C60-B0FC-DFB72B149E70}"/>
    <cellStyle name="Porcentaje" xfId="2" builtinId="5"/>
    <cellStyle name="Porcentaje 2" xfId="7" xr:uid="{BD372315-A536-4FC6-9D05-02FA5521356C}"/>
    <cellStyle name="Porcentaje 2 2" xfId="14" xr:uid="{4D75391F-FCAF-4101-9957-94F23D2A1249}"/>
    <cellStyle name="Porcentaje 3" xfId="16" xr:uid="{E3F37DAF-5F0F-4863-B552-872849F6DDA8}"/>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581025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1025" y="85725"/>
          <a:ext cx="1171575" cy="1152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Enero%202022\7718%20Seguimiento%20a%20enero%20consolidado%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DMUJER%202022\Proyecto%20de%20inversion\Seguimiento\2022\Febrero%202022\7718%20Seguimiento%20plan%20de%20acci&#243;n%20a%20febrero%202022%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refreshError="1"/>
      <sheetData sheetId="2">
        <row r="39">
          <cell r="D39">
            <v>0</v>
          </cell>
        </row>
      </sheetData>
      <sheetData sheetId="3" refreshError="1">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refreshError="1"/>
      <sheetData sheetId="5" refreshError="1">
        <row r="34">
          <cell r="Q34" t="str">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ell>
        </row>
        <row r="35">
          <cell r="D35">
            <v>0.75372499999999998</v>
          </cell>
        </row>
      </sheetData>
      <sheetData sheetId="6" refreshError="1"/>
      <sheetData sheetId="7" refreshError="1">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Indicadores PA"/>
      <sheetName val="Ptto2022"/>
      <sheetName val="Indic Gestión SPI"/>
      <sheetName val="Territorialización PA - PMR"/>
      <sheetName val="Relevos 2021-2022"/>
      <sheetName val="Manzanas2020-2022"/>
      <sheetName val="Formación 2020-2022"/>
      <sheetName val="Instructivo"/>
      <sheetName val="Generalidades"/>
      <sheetName val="Hoja1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8">
          <cell r="J18" t="str">
            <v>Número de mujeres formadas en cuidados, en el marco de la estrategia cuidado a cuidadoras</v>
          </cell>
        </row>
        <row r="19">
          <cell r="J19" t="str">
            <v>Número de atenciones de relevo de cuidado en casa, en el marco de la estrategia cuidado a cuidadoras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Claudia Marcela Rodríguez Pinzón" id="{574CCC1F-E5AB-4AE8-92B2-47425E2BA801}"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35" dT="2022-04-01T12:18:46.67" personId="{574CCC1F-E5AB-4AE8-92B2-47425E2BA801}" id="{F58D33A9-A9B8-4D91-8A8A-66A9B1F42F99}">
    <text xml:space="preserve">Los Sectores son constantes, por lo que no aplica la sumatoria de los mismos mes tras mes.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64A2-5E9F-4B3A-93B0-413F432B9D04}">
  <sheetPr>
    <tabColor rgb="FF00B050"/>
  </sheetPr>
  <dimension ref="A1:AL104"/>
  <sheetViews>
    <sheetView zoomScale="85" zoomScaleNormal="85" workbookViewId="0">
      <pane xSplit="4" ySplit="2" topLeftCell="E3" activePane="bottomRight" state="frozen"/>
      <selection pane="topRight" activeCell="D1" sqref="D1"/>
      <selection pane="bottomLeft" activeCell="A4" sqref="A4"/>
      <selection pane="bottomRight" activeCell="G14" sqref="G14"/>
    </sheetView>
  </sheetViews>
  <sheetFormatPr baseColWidth="10" defaultRowHeight="15"/>
  <cols>
    <col min="1" max="1" width="4.85546875" style="906" customWidth="1"/>
    <col min="2" max="2" width="30.7109375" style="906" customWidth="1"/>
    <col min="3" max="3" width="6.42578125" style="906" customWidth="1"/>
    <col min="4" max="4" width="25.28515625" style="906" customWidth="1"/>
    <col min="5" max="5" width="18.7109375" style="906" customWidth="1"/>
    <col min="6" max="7" width="17.85546875" style="906" customWidth="1"/>
    <col min="8" max="19" width="15.7109375" style="906" customWidth="1"/>
    <col min="20" max="20" width="18.28515625" style="906" customWidth="1"/>
    <col min="21" max="21" width="15.7109375" style="906" customWidth="1"/>
    <col min="22" max="22" width="11.42578125" style="905"/>
    <col min="23" max="27" width="15.7109375" style="906" customWidth="1"/>
    <col min="28" max="28" width="17.140625" style="906" customWidth="1"/>
    <col min="29" max="29" width="13.28515625" style="906" customWidth="1"/>
    <col min="30" max="35" width="11.42578125" style="906" customWidth="1"/>
    <col min="36" max="36" width="17.7109375" style="906" customWidth="1"/>
    <col min="37" max="37" width="11.42578125" style="906"/>
    <col min="38" max="38" width="15.28515625" style="906" bestFit="1" customWidth="1"/>
    <col min="39" max="256" width="11.42578125" style="906"/>
    <col min="257" max="257" width="6.42578125" style="906" customWidth="1"/>
    <col min="258" max="258" width="30.7109375" style="906" customWidth="1"/>
    <col min="259" max="259" width="19.42578125" style="906" customWidth="1"/>
    <col min="260" max="260" width="30.7109375" style="906" customWidth="1"/>
    <col min="261" max="263" width="17.85546875" style="906" customWidth="1"/>
    <col min="264" max="277" width="15.7109375" style="906" customWidth="1"/>
    <col min="278" max="278" width="11.42578125" style="906"/>
    <col min="279" max="283" width="15.7109375" style="906" customWidth="1"/>
    <col min="284" max="284" width="11.42578125" style="906"/>
    <col min="285" max="285" width="13.28515625" style="906" customWidth="1"/>
    <col min="286" max="291" width="11.42578125" style="906"/>
    <col min="292" max="292" width="14.5703125" style="906" customWidth="1"/>
    <col min="293" max="512" width="11.42578125" style="906"/>
    <col min="513" max="513" width="6.42578125" style="906" customWidth="1"/>
    <col min="514" max="514" width="30.7109375" style="906" customWidth="1"/>
    <col min="515" max="515" width="19.42578125" style="906" customWidth="1"/>
    <col min="516" max="516" width="30.7109375" style="906" customWidth="1"/>
    <col min="517" max="519" width="17.85546875" style="906" customWidth="1"/>
    <col min="520" max="533" width="15.7109375" style="906" customWidth="1"/>
    <col min="534" max="534" width="11.42578125" style="906"/>
    <col min="535" max="539" width="15.7109375" style="906" customWidth="1"/>
    <col min="540" max="540" width="11.42578125" style="906"/>
    <col min="541" max="541" width="13.28515625" style="906" customWidth="1"/>
    <col min="542" max="547" width="11.42578125" style="906"/>
    <col min="548" max="548" width="14.5703125" style="906" customWidth="1"/>
    <col min="549" max="768" width="11.42578125" style="906"/>
    <col min="769" max="769" width="6.42578125" style="906" customWidth="1"/>
    <col min="770" max="770" width="30.7109375" style="906" customWidth="1"/>
    <col min="771" max="771" width="19.42578125" style="906" customWidth="1"/>
    <col min="772" max="772" width="30.7109375" style="906" customWidth="1"/>
    <col min="773" max="775" width="17.85546875" style="906" customWidth="1"/>
    <col min="776" max="789" width="15.7109375" style="906" customWidth="1"/>
    <col min="790" max="790" width="11.42578125" style="906"/>
    <col min="791" max="795" width="15.7109375" style="906" customWidth="1"/>
    <col min="796" max="796" width="11.42578125" style="906"/>
    <col min="797" max="797" width="13.28515625" style="906" customWidth="1"/>
    <col min="798" max="803" width="11.42578125" style="906"/>
    <col min="804" max="804" width="14.5703125" style="906" customWidth="1"/>
    <col min="805" max="1024" width="11.42578125" style="906"/>
    <col min="1025" max="1025" width="6.42578125" style="906" customWidth="1"/>
    <col min="1026" max="1026" width="30.7109375" style="906" customWidth="1"/>
    <col min="1027" max="1027" width="19.42578125" style="906" customWidth="1"/>
    <col min="1028" max="1028" width="30.7109375" style="906" customWidth="1"/>
    <col min="1029" max="1031" width="17.85546875" style="906" customWidth="1"/>
    <col min="1032" max="1045" width="15.7109375" style="906" customWidth="1"/>
    <col min="1046" max="1046" width="11.42578125" style="906"/>
    <col min="1047" max="1051" width="15.7109375" style="906" customWidth="1"/>
    <col min="1052" max="1052" width="11.42578125" style="906"/>
    <col min="1053" max="1053" width="13.28515625" style="906" customWidth="1"/>
    <col min="1054" max="1059" width="11.42578125" style="906"/>
    <col min="1060" max="1060" width="14.5703125" style="906" customWidth="1"/>
    <col min="1061" max="1280" width="11.42578125" style="906"/>
    <col min="1281" max="1281" width="6.42578125" style="906" customWidth="1"/>
    <col min="1282" max="1282" width="30.7109375" style="906" customWidth="1"/>
    <col min="1283" max="1283" width="19.42578125" style="906" customWidth="1"/>
    <col min="1284" max="1284" width="30.7109375" style="906" customWidth="1"/>
    <col min="1285" max="1287" width="17.85546875" style="906" customWidth="1"/>
    <col min="1288" max="1301" width="15.7109375" style="906" customWidth="1"/>
    <col min="1302" max="1302" width="11.42578125" style="906"/>
    <col min="1303" max="1307" width="15.7109375" style="906" customWidth="1"/>
    <col min="1308" max="1308" width="11.42578125" style="906"/>
    <col min="1309" max="1309" width="13.28515625" style="906" customWidth="1"/>
    <col min="1310" max="1315" width="11.42578125" style="906"/>
    <col min="1316" max="1316" width="14.5703125" style="906" customWidth="1"/>
    <col min="1317" max="1536" width="11.42578125" style="906"/>
    <col min="1537" max="1537" width="6.42578125" style="906" customWidth="1"/>
    <col min="1538" max="1538" width="30.7109375" style="906" customWidth="1"/>
    <col min="1539" max="1539" width="19.42578125" style="906" customWidth="1"/>
    <col min="1540" max="1540" width="30.7109375" style="906" customWidth="1"/>
    <col min="1541" max="1543" width="17.85546875" style="906" customWidth="1"/>
    <col min="1544" max="1557" width="15.7109375" style="906" customWidth="1"/>
    <col min="1558" max="1558" width="11.42578125" style="906"/>
    <col min="1559" max="1563" width="15.7109375" style="906" customWidth="1"/>
    <col min="1564" max="1564" width="11.42578125" style="906"/>
    <col min="1565" max="1565" width="13.28515625" style="906" customWidth="1"/>
    <col min="1566" max="1571" width="11.42578125" style="906"/>
    <col min="1572" max="1572" width="14.5703125" style="906" customWidth="1"/>
    <col min="1573" max="1792" width="11.42578125" style="906"/>
    <col min="1793" max="1793" width="6.42578125" style="906" customWidth="1"/>
    <col min="1794" max="1794" width="30.7109375" style="906" customWidth="1"/>
    <col min="1795" max="1795" width="19.42578125" style="906" customWidth="1"/>
    <col min="1796" max="1796" width="30.7109375" style="906" customWidth="1"/>
    <col min="1797" max="1799" width="17.85546875" style="906" customWidth="1"/>
    <col min="1800" max="1813" width="15.7109375" style="906" customWidth="1"/>
    <col min="1814" max="1814" width="11.42578125" style="906"/>
    <col min="1815" max="1819" width="15.7109375" style="906" customWidth="1"/>
    <col min="1820" max="1820" width="11.42578125" style="906"/>
    <col min="1821" max="1821" width="13.28515625" style="906" customWidth="1"/>
    <col min="1822" max="1827" width="11.42578125" style="906"/>
    <col min="1828" max="1828" width="14.5703125" style="906" customWidth="1"/>
    <col min="1829" max="2048" width="11.42578125" style="906"/>
    <col min="2049" max="2049" width="6.42578125" style="906" customWidth="1"/>
    <col min="2050" max="2050" width="30.7109375" style="906" customWidth="1"/>
    <col min="2051" max="2051" width="19.42578125" style="906" customWidth="1"/>
    <col min="2052" max="2052" width="30.7109375" style="906" customWidth="1"/>
    <col min="2053" max="2055" width="17.85546875" style="906" customWidth="1"/>
    <col min="2056" max="2069" width="15.7109375" style="906" customWidth="1"/>
    <col min="2070" max="2070" width="11.42578125" style="906"/>
    <col min="2071" max="2075" width="15.7109375" style="906" customWidth="1"/>
    <col min="2076" max="2076" width="11.42578125" style="906"/>
    <col min="2077" max="2077" width="13.28515625" style="906" customWidth="1"/>
    <col min="2078" max="2083" width="11.42578125" style="906"/>
    <col min="2084" max="2084" width="14.5703125" style="906" customWidth="1"/>
    <col min="2085" max="2304" width="11.42578125" style="906"/>
    <col min="2305" max="2305" width="6.42578125" style="906" customWidth="1"/>
    <col min="2306" max="2306" width="30.7109375" style="906" customWidth="1"/>
    <col min="2307" max="2307" width="19.42578125" style="906" customWidth="1"/>
    <col min="2308" max="2308" width="30.7109375" style="906" customWidth="1"/>
    <col min="2309" max="2311" width="17.85546875" style="906" customWidth="1"/>
    <col min="2312" max="2325" width="15.7109375" style="906" customWidth="1"/>
    <col min="2326" max="2326" width="11.42578125" style="906"/>
    <col min="2327" max="2331" width="15.7109375" style="906" customWidth="1"/>
    <col min="2332" max="2332" width="11.42578125" style="906"/>
    <col min="2333" max="2333" width="13.28515625" style="906" customWidth="1"/>
    <col min="2334" max="2339" width="11.42578125" style="906"/>
    <col min="2340" max="2340" width="14.5703125" style="906" customWidth="1"/>
    <col min="2341" max="2560" width="11.42578125" style="906"/>
    <col min="2561" max="2561" width="6.42578125" style="906" customWidth="1"/>
    <col min="2562" max="2562" width="30.7109375" style="906" customWidth="1"/>
    <col min="2563" max="2563" width="19.42578125" style="906" customWidth="1"/>
    <col min="2564" max="2564" width="30.7109375" style="906" customWidth="1"/>
    <col min="2565" max="2567" width="17.85546875" style="906" customWidth="1"/>
    <col min="2568" max="2581" width="15.7109375" style="906" customWidth="1"/>
    <col min="2582" max="2582" width="11.42578125" style="906"/>
    <col min="2583" max="2587" width="15.7109375" style="906" customWidth="1"/>
    <col min="2588" max="2588" width="11.42578125" style="906"/>
    <col min="2589" max="2589" width="13.28515625" style="906" customWidth="1"/>
    <col min="2590" max="2595" width="11.42578125" style="906"/>
    <col min="2596" max="2596" width="14.5703125" style="906" customWidth="1"/>
    <col min="2597" max="2816" width="11.42578125" style="906"/>
    <col min="2817" max="2817" width="6.42578125" style="906" customWidth="1"/>
    <col min="2818" max="2818" width="30.7109375" style="906" customWidth="1"/>
    <col min="2819" max="2819" width="19.42578125" style="906" customWidth="1"/>
    <col min="2820" max="2820" width="30.7109375" style="906" customWidth="1"/>
    <col min="2821" max="2823" width="17.85546875" style="906" customWidth="1"/>
    <col min="2824" max="2837" width="15.7109375" style="906" customWidth="1"/>
    <col min="2838" max="2838" width="11.42578125" style="906"/>
    <col min="2839" max="2843" width="15.7109375" style="906" customWidth="1"/>
    <col min="2844" max="2844" width="11.42578125" style="906"/>
    <col min="2845" max="2845" width="13.28515625" style="906" customWidth="1"/>
    <col min="2846" max="2851" width="11.42578125" style="906"/>
    <col min="2852" max="2852" width="14.5703125" style="906" customWidth="1"/>
    <col min="2853" max="3072" width="11.42578125" style="906"/>
    <col min="3073" max="3073" width="6.42578125" style="906" customWidth="1"/>
    <col min="3074" max="3074" width="30.7109375" style="906" customWidth="1"/>
    <col min="3075" max="3075" width="19.42578125" style="906" customWidth="1"/>
    <col min="3076" max="3076" width="30.7109375" style="906" customWidth="1"/>
    <col min="3077" max="3079" width="17.85546875" style="906" customWidth="1"/>
    <col min="3080" max="3093" width="15.7109375" style="906" customWidth="1"/>
    <col min="3094" max="3094" width="11.42578125" style="906"/>
    <col min="3095" max="3099" width="15.7109375" style="906" customWidth="1"/>
    <col min="3100" max="3100" width="11.42578125" style="906"/>
    <col min="3101" max="3101" width="13.28515625" style="906" customWidth="1"/>
    <col min="3102" max="3107" width="11.42578125" style="906"/>
    <col min="3108" max="3108" width="14.5703125" style="906" customWidth="1"/>
    <col min="3109" max="3328" width="11.42578125" style="906"/>
    <col min="3329" max="3329" width="6.42578125" style="906" customWidth="1"/>
    <col min="3330" max="3330" width="30.7109375" style="906" customWidth="1"/>
    <col min="3331" max="3331" width="19.42578125" style="906" customWidth="1"/>
    <col min="3332" max="3332" width="30.7109375" style="906" customWidth="1"/>
    <col min="3333" max="3335" width="17.85546875" style="906" customWidth="1"/>
    <col min="3336" max="3349" width="15.7109375" style="906" customWidth="1"/>
    <col min="3350" max="3350" width="11.42578125" style="906"/>
    <col min="3351" max="3355" width="15.7109375" style="906" customWidth="1"/>
    <col min="3356" max="3356" width="11.42578125" style="906"/>
    <col min="3357" max="3357" width="13.28515625" style="906" customWidth="1"/>
    <col min="3358" max="3363" width="11.42578125" style="906"/>
    <col min="3364" max="3364" width="14.5703125" style="906" customWidth="1"/>
    <col min="3365" max="3584" width="11.42578125" style="906"/>
    <col min="3585" max="3585" width="6.42578125" style="906" customWidth="1"/>
    <col min="3586" max="3586" width="30.7109375" style="906" customWidth="1"/>
    <col min="3587" max="3587" width="19.42578125" style="906" customWidth="1"/>
    <col min="3588" max="3588" width="30.7109375" style="906" customWidth="1"/>
    <col min="3589" max="3591" width="17.85546875" style="906" customWidth="1"/>
    <col min="3592" max="3605" width="15.7109375" style="906" customWidth="1"/>
    <col min="3606" max="3606" width="11.42578125" style="906"/>
    <col min="3607" max="3611" width="15.7109375" style="906" customWidth="1"/>
    <col min="3612" max="3612" width="11.42578125" style="906"/>
    <col min="3613" max="3613" width="13.28515625" style="906" customWidth="1"/>
    <col min="3614" max="3619" width="11.42578125" style="906"/>
    <col min="3620" max="3620" width="14.5703125" style="906" customWidth="1"/>
    <col min="3621" max="3840" width="11.42578125" style="906"/>
    <col min="3841" max="3841" width="6.42578125" style="906" customWidth="1"/>
    <col min="3842" max="3842" width="30.7109375" style="906" customWidth="1"/>
    <col min="3843" max="3843" width="19.42578125" style="906" customWidth="1"/>
    <col min="3844" max="3844" width="30.7109375" style="906" customWidth="1"/>
    <col min="3845" max="3847" width="17.85546875" style="906" customWidth="1"/>
    <col min="3848" max="3861" width="15.7109375" style="906" customWidth="1"/>
    <col min="3862" max="3862" width="11.42578125" style="906"/>
    <col min="3863" max="3867" width="15.7109375" style="906" customWidth="1"/>
    <col min="3868" max="3868" width="11.42578125" style="906"/>
    <col min="3869" max="3869" width="13.28515625" style="906" customWidth="1"/>
    <col min="3870" max="3875" width="11.42578125" style="906"/>
    <col min="3876" max="3876" width="14.5703125" style="906" customWidth="1"/>
    <col min="3877" max="4096" width="11.42578125" style="906"/>
    <col min="4097" max="4097" width="6.42578125" style="906" customWidth="1"/>
    <col min="4098" max="4098" width="30.7109375" style="906" customWidth="1"/>
    <col min="4099" max="4099" width="19.42578125" style="906" customWidth="1"/>
    <col min="4100" max="4100" width="30.7109375" style="906" customWidth="1"/>
    <col min="4101" max="4103" width="17.85546875" style="906" customWidth="1"/>
    <col min="4104" max="4117" width="15.7109375" style="906" customWidth="1"/>
    <col min="4118" max="4118" width="11.42578125" style="906"/>
    <col min="4119" max="4123" width="15.7109375" style="906" customWidth="1"/>
    <col min="4124" max="4124" width="11.42578125" style="906"/>
    <col min="4125" max="4125" width="13.28515625" style="906" customWidth="1"/>
    <col min="4126" max="4131" width="11.42578125" style="906"/>
    <col min="4132" max="4132" width="14.5703125" style="906" customWidth="1"/>
    <col min="4133" max="4352" width="11.42578125" style="906"/>
    <col min="4353" max="4353" width="6.42578125" style="906" customWidth="1"/>
    <col min="4354" max="4354" width="30.7109375" style="906" customWidth="1"/>
    <col min="4355" max="4355" width="19.42578125" style="906" customWidth="1"/>
    <col min="4356" max="4356" width="30.7109375" style="906" customWidth="1"/>
    <col min="4357" max="4359" width="17.85546875" style="906" customWidth="1"/>
    <col min="4360" max="4373" width="15.7109375" style="906" customWidth="1"/>
    <col min="4374" max="4374" width="11.42578125" style="906"/>
    <col min="4375" max="4379" width="15.7109375" style="906" customWidth="1"/>
    <col min="4380" max="4380" width="11.42578125" style="906"/>
    <col min="4381" max="4381" width="13.28515625" style="906" customWidth="1"/>
    <col min="4382" max="4387" width="11.42578125" style="906"/>
    <col min="4388" max="4388" width="14.5703125" style="906" customWidth="1"/>
    <col min="4389" max="4608" width="11.42578125" style="906"/>
    <col min="4609" max="4609" width="6.42578125" style="906" customWidth="1"/>
    <col min="4610" max="4610" width="30.7109375" style="906" customWidth="1"/>
    <col min="4611" max="4611" width="19.42578125" style="906" customWidth="1"/>
    <col min="4612" max="4612" width="30.7109375" style="906" customWidth="1"/>
    <col min="4613" max="4615" width="17.85546875" style="906" customWidth="1"/>
    <col min="4616" max="4629" width="15.7109375" style="906" customWidth="1"/>
    <col min="4630" max="4630" width="11.42578125" style="906"/>
    <col min="4631" max="4635" width="15.7109375" style="906" customWidth="1"/>
    <col min="4636" max="4636" width="11.42578125" style="906"/>
    <col min="4637" max="4637" width="13.28515625" style="906" customWidth="1"/>
    <col min="4638" max="4643" width="11.42578125" style="906"/>
    <col min="4644" max="4644" width="14.5703125" style="906" customWidth="1"/>
    <col min="4645" max="4864" width="11.42578125" style="906"/>
    <col min="4865" max="4865" width="6.42578125" style="906" customWidth="1"/>
    <col min="4866" max="4866" width="30.7109375" style="906" customWidth="1"/>
    <col min="4867" max="4867" width="19.42578125" style="906" customWidth="1"/>
    <col min="4868" max="4868" width="30.7109375" style="906" customWidth="1"/>
    <col min="4869" max="4871" width="17.85546875" style="906" customWidth="1"/>
    <col min="4872" max="4885" width="15.7109375" style="906" customWidth="1"/>
    <col min="4886" max="4886" width="11.42578125" style="906"/>
    <col min="4887" max="4891" width="15.7109375" style="906" customWidth="1"/>
    <col min="4892" max="4892" width="11.42578125" style="906"/>
    <col min="4893" max="4893" width="13.28515625" style="906" customWidth="1"/>
    <col min="4894" max="4899" width="11.42578125" style="906"/>
    <col min="4900" max="4900" width="14.5703125" style="906" customWidth="1"/>
    <col min="4901" max="5120" width="11.42578125" style="906"/>
    <col min="5121" max="5121" width="6.42578125" style="906" customWidth="1"/>
    <col min="5122" max="5122" width="30.7109375" style="906" customWidth="1"/>
    <col min="5123" max="5123" width="19.42578125" style="906" customWidth="1"/>
    <col min="5124" max="5124" width="30.7109375" style="906" customWidth="1"/>
    <col min="5125" max="5127" width="17.85546875" style="906" customWidth="1"/>
    <col min="5128" max="5141" width="15.7109375" style="906" customWidth="1"/>
    <col min="5142" max="5142" width="11.42578125" style="906"/>
    <col min="5143" max="5147" width="15.7109375" style="906" customWidth="1"/>
    <col min="5148" max="5148" width="11.42578125" style="906"/>
    <col min="5149" max="5149" width="13.28515625" style="906" customWidth="1"/>
    <col min="5150" max="5155" width="11.42578125" style="906"/>
    <col min="5156" max="5156" width="14.5703125" style="906" customWidth="1"/>
    <col min="5157" max="5376" width="11.42578125" style="906"/>
    <col min="5377" max="5377" width="6.42578125" style="906" customWidth="1"/>
    <col min="5378" max="5378" width="30.7109375" style="906" customWidth="1"/>
    <col min="5379" max="5379" width="19.42578125" style="906" customWidth="1"/>
    <col min="5380" max="5380" width="30.7109375" style="906" customWidth="1"/>
    <col min="5381" max="5383" width="17.85546875" style="906" customWidth="1"/>
    <col min="5384" max="5397" width="15.7109375" style="906" customWidth="1"/>
    <col min="5398" max="5398" width="11.42578125" style="906"/>
    <col min="5399" max="5403" width="15.7109375" style="906" customWidth="1"/>
    <col min="5404" max="5404" width="11.42578125" style="906"/>
    <col min="5405" max="5405" width="13.28515625" style="906" customWidth="1"/>
    <col min="5406" max="5411" width="11.42578125" style="906"/>
    <col min="5412" max="5412" width="14.5703125" style="906" customWidth="1"/>
    <col min="5413" max="5632" width="11.42578125" style="906"/>
    <col min="5633" max="5633" width="6.42578125" style="906" customWidth="1"/>
    <col min="5634" max="5634" width="30.7109375" style="906" customWidth="1"/>
    <col min="5635" max="5635" width="19.42578125" style="906" customWidth="1"/>
    <col min="5636" max="5636" width="30.7109375" style="906" customWidth="1"/>
    <col min="5637" max="5639" width="17.85546875" style="906" customWidth="1"/>
    <col min="5640" max="5653" width="15.7109375" style="906" customWidth="1"/>
    <col min="5654" max="5654" width="11.42578125" style="906"/>
    <col min="5655" max="5659" width="15.7109375" style="906" customWidth="1"/>
    <col min="5660" max="5660" width="11.42578125" style="906"/>
    <col min="5661" max="5661" width="13.28515625" style="906" customWidth="1"/>
    <col min="5662" max="5667" width="11.42578125" style="906"/>
    <col min="5668" max="5668" width="14.5703125" style="906" customWidth="1"/>
    <col min="5669" max="5888" width="11.42578125" style="906"/>
    <col min="5889" max="5889" width="6.42578125" style="906" customWidth="1"/>
    <col min="5890" max="5890" width="30.7109375" style="906" customWidth="1"/>
    <col min="5891" max="5891" width="19.42578125" style="906" customWidth="1"/>
    <col min="5892" max="5892" width="30.7109375" style="906" customWidth="1"/>
    <col min="5893" max="5895" width="17.85546875" style="906" customWidth="1"/>
    <col min="5896" max="5909" width="15.7109375" style="906" customWidth="1"/>
    <col min="5910" max="5910" width="11.42578125" style="906"/>
    <col min="5911" max="5915" width="15.7109375" style="906" customWidth="1"/>
    <col min="5916" max="5916" width="11.42578125" style="906"/>
    <col min="5917" max="5917" width="13.28515625" style="906" customWidth="1"/>
    <col min="5918" max="5923" width="11.42578125" style="906"/>
    <col min="5924" max="5924" width="14.5703125" style="906" customWidth="1"/>
    <col min="5925" max="6144" width="11.42578125" style="906"/>
    <col min="6145" max="6145" width="6.42578125" style="906" customWidth="1"/>
    <col min="6146" max="6146" width="30.7109375" style="906" customWidth="1"/>
    <col min="6147" max="6147" width="19.42578125" style="906" customWidth="1"/>
    <col min="6148" max="6148" width="30.7109375" style="906" customWidth="1"/>
    <col min="6149" max="6151" width="17.85546875" style="906" customWidth="1"/>
    <col min="6152" max="6165" width="15.7109375" style="906" customWidth="1"/>
    <col min="6166" max="6166" width="11.42578125" style="906"/>
    <col min="6167" max="6171" width="15.7109375" style="906" customWidth="1"/>
    <col min="6172" max="6172" width="11.42578125" style="906"/>
    <col min="6173" max="6173" width="13.28515625" style="906" customWidth="1"/>
    <col min="6174" max="6179" width="11.42578125" style="906"/>
    <col min="6180" max="6180" width="14.5703125" style="906" customWidth="1"/>
    <col min="6181" max="6400" width="11.42578125" style="906"/>
    <col min="6401" max="6401" width="6.42578125" style="906" customWidth="1"/>
    <col min="6402" max="6402" width="30.7109375" style="906" customWidth="1"/>
    <col min="6403" max="6403" width="19.42578125" style="906" customWidth="1"/>
    <col min="6404" max="6404" width="30.7109375" style="906" customWidth="1"/>
    <col min="6405" max="6407" width="17.85546875" style="906" customWidth="1"/>
    <col min="6408" max="6421" width="15.7109375" style="906" customWidth="1"/>
    <col min="6422" max="6422" width="11.42578125" style="906"/>
    <col min="6423" max="6427" width="15.7109375" style="906" customWidth="1"/>
    <col min="6428" max="6428" width="11.42578125" style="906"/>
    <col min="6429" max="6429" width="13.28515625" style="906" customWidth="1"/>
    <col min="6430" max="6435" width="11.42578125" style="906"/>
    <col min="6436" max="6436" width="14.5703125" style="906" customWidth="1"/>
    <col min="6437" max="6656" width="11.42578125" style="906"/>
    <col min="6657" max="6657" width="6.42578125" style="906" customWidth="1"/>
    <col min="6658" max="6658" width="30.7109375" style="906" customWidth="1"/>
    <col min="6659" max="6659" width="19.42578125" style="906" customWidth="1"/>
    <col min="6660" max="6660" width="30.7109375" style="906" customWidth="1"/>
    <col min="6661" max="6663" width="17.85546875" style="906" customWidth="1"/>
    <col min="6664" max="6677" width="15.7109375" style="906" customWidth="1"/>
    <col min="6678" max="6678" width="11.42578125" style="906"/>
    <col min="6679" max="6683" width="15.7109375" style="906" customWidth="1"/>
    <col min="6684" max="6684" width="11.42578125" style="906"/>
    <col min="6685" max="6685" width="13.28515625" style="906" customWidth="1"/>
    <col min="6686" max="6691" width="11.42578125" style="906"/>
    <col min="6692" max="6692" width="14.5703125" style="906" customWidth="1"/>
    <col min="6693" max="6912" width="11.42578125" style="906"/>
    <col min="6913" max="6913" width="6.42578125" style="906" customWidth="1"/>
    <col min="6914" max="6914" width="30.7109375" style="906" customWidth="1"/>
    <col min="6915" max="6915" width="19.42578125" style="906" customWidth="1"/>
    <col min="6916" max="6916" width="30.7109375" style="906" customWidth="1"/>
    <col min="6917" max="6919" width="17.85546875" style="906" customWidth="1"/>
    <col min="6920" max="6933" width="15.7109375" style="906" customWidth="1"/>
    <col min="6934" max="6934" width="11.42578125" style="906"/>
    <col min="6935" max="6939" width="15.7109375" style="906" customWidth="1"/>
    <col min="6940" max="6940" width="11.42578125" style="906"/>
    <col min="6941" max="6941" width="13.28515625" style="906" customWidth="1"/>
    <col min="6942" max="6947" width="11.42578125" style="906"/>
    <col min="6948" max="6948" width="14.5703125" style="906" customWidth="1"/>
    <col min="6949" max="7168" width="11.42578125" style="906"/>
    <col min="7169" max="7169" width="6.42578125" style="906" customWidth="1"/>
    <col min="7170" max="7170" width="30.7109375" style="906" customWidth="1"/>
    <col min="7171" max="7171" width="19.42578125" style="906" customWidth="1"/>
    <col min="7172" max="7172" width="30.7109375" style="906" customWidth="1"/>
    <col min="7173" max="7175" width="17.85546875" style="906" customWidth="1"/>
    <col min="7176" max="7189" width="15.7109375" style="906" customWidth="1"/>
    <col min="7190" max="7190" width="11.42578125" style="906"/>
    <col min="7191" max="7195" width="15.7109375" style="906" customWidth="1"/>
    <col min="7196" max="7196" width="11.42578125" style="906"/>
    <col min="7197" max="7197" width="13.28515625" style="906" customWidth="1"/>
    <col min="7198" max="7203" width="11.42578125" style="906"/>
    <col min="7204" max="7204" width="14.5703125" style="906" customWidth="1"/>
    <col min="7205" max="7424" width="11.42578125" style="906"/>
    <col min="7425" max="7425" width="6.42578125" style="906" customWidth="1"/>
    <col min="7426" max="7426" width="30.7109375" style="906" customWidth="1"/>
    <col min="7427" max="7427" width="19.42578125" style="906" customWidth="1"/>
    <col min="7428" max="7428" width="30.7109375" style="906" customWidth="1"/>
    <col min="7429" max="7431" width="17.85546875" style="906" customWidth="1"/>
    <col min="7432" max="7445" width="15.7109375" style="906" customWidth="1"/>
    <col min="7446" max="7446" width="11.42578125" style="906"/>
    <col min="7447" max="7451" width="15.7109375" style="906" customWidth="1"/>
    <col min="7452" max="7452" width="11.42578125" style="906"/>
    <col min="7453" max="7453" width="13.28515625" style="906" customWidth="1"/>
    <col min="7454" max="7459" width="11.42578125" style="906"/>
    <col min="7460" max="7460" width="14.5703125" style="906" customWidth="1"/>
    <col min="7461" max="7680" width="11.42578125" style="906"/>
    <col min="7681" max="7681" width="6.42578125" style="906" customWidth="1"/>
    <col min="7682" max="7682" width="30.7109375" style="906" customWidth="1"/>
    <col min="7683" max="7683" width="19.42578125" style="906" customWidth="1"/>
    <col min="7684" max="7684" width="30.7109375" style="906" customWidth="1"/>
    <col min="7685" max="7687" width="17.85546875" style="906" customWidth="1"/>
    <col min="7688" max="7701" width="15.7109375" style="906" customWidth="1"/>
    <col min="7702" max="7702" width="11.42578125" style="906"/>
    <col min="7703" max="7707" width="15.7109375" style="906" customWidth="1"/>
    <col min="7708" max="7708" width="11.42578125" style="906"/>
    <col min="7709" max="7709" width="13.28515625" style="906" customWidth="1"/>
    <col min="7710" max="7715" width="11.42578125" style="906"/>
    <col min="7716" max="7716" width="14.5703125" style="906" customWidth="1"/>
    <col min="7717" max="7936" width="11.42578125" style="906"/>
    <col min="7937" max="7937" width="6.42578125" style="906" customWidth="1"/>
    <col min="7938" max="7938" width="30.7109375" style="906" customWidth="1"/>
    <col min="7939" max="7939" width="19.42578125" style="906" customWidth="1"/>
    <col min="7940" max="7940" width="30.7109375" style="906" customWidth="1"/>
    <col min="7941" max="7943" width="17.85546875" style="906" customWidth="1"/>
    <col min="7944" max="7957" width="15.7109375" style="906" customWidth="1"/>
    <col min="7958" max="7958" width="11.42578125" style="906"/>
    <col min="7959" max="7963" width="15.7109375" style="906" customWidth="1"/>
    <col min="7964" max="7964" width="11.42578125" style="906"/>
    <col min="7965" max="7965" width="13.28515625" style="906" customWidth="1"/>
    <col min="7966" max="7971" width="11.42578125" style="906"/>
    <col min="7972" max="7972" width="14.5703125" style="906" customWidth="1"/>
    <col min="7973" max="8192" width="11.42578125" style="906"/>
    <col min="8193" max="8193" width="6.42578125" style="906" customWidth="1"/>
    <col min="8194" max="8194" width="30.7109375" style="906" customWidth="1"/>
    <col min="8195" max="8195" width="19.42578125" style="906" customWidth="1"/>
    <col min="8196" max="8196" width="30.7109375" style="906" customWidth="1"/>
    <col min="8197" max="8199" width="17.85546875" style="906" customWidth="1"/>
    <col min="8200" max="8213" width="15.7109375" style="906" customWidth="1"/>
    <col min="8214" max="8214" width="11.42578125" style="906"/>
    <col min="8215" max="8219" width="15.7109375" style="906" customWidth="1"/>
    <col min="8220" max="8220" width="11.42578125" style="906"/>
    <col min="8221" max="8221" width="13.28515625" style="906" customWidth="1"/>
    <col min="8222" max="8227" width="11.42578125" style="906"/>
    <col min="8228" max="8228" width="14.5703125" style="906" customWidth="1"/>
    <col min="8229" max="8448" width="11.42578125" style="906"/>
    <col min="8449" max="8449" width="6.42578125" style="906" customWidth="1"/>
    <col min="8450" max="8450" width="30.7109375" style="906" customWidth="1"/>
    <col min="8451" max="8451" width="19.42578125" style="906" customWidth="1"/>
    <col min="8452" max="8452" width="30.7109375" style="906" customWidth="1"/>
    <col min="8453" max="8455" width="17.85546875" style="906" customWidth="1"/>
    <col min="8456" max="8469" width="15.7109375" style="906" customWidth="1"/>
    <col min="8470" max="8470" width="11.42578125" style="906"/>
    <col min="8471" max="8475" width="15.7109375" style="906" customWidth="1"/>
    <col min="8476" max="8476" width="11.42578125" style="906"/>
    <col min="8477" max="8477" width="13.28515625" style="906" customWidth="1"/>
    <col min="8478" max="8483" width="11.42578125" style="906"/>
    <col min="8484" max="8484" width="14.5703125" style="906" customWidth="1"/>
    <col min="8485" max="8704" width="11.42578125" style="906"/>
    <col min="8705" max="8705" width="6.42578125" style="906" customWidth="1"/>
    <col min="8706" max="8706" width="30.7109375" style="906" customWidth="1"/>
    <col min="8707" max="8707" width="19.42578125" style="906" customWidth="1"/>
    <col min="8708" max="8708" width="30.7109375" style="906" customWidth="1"/>
    <col min="8709" max="8711" width="17.85546875" style="906" customWidth="1"/>
    <col min="8712" max="8725" width="15.7109375" style="906" customWidth="1"/>
    <col min="8726" max="8726" width="11.42578125" style="906"/>
    <col min="8727" max="8731" width="15.7109375" style="906" customWidth="1"/>
    <col min="8732" max="8732" width="11.42578125" style="906"/>
    <col min="8733" max="8733" width="13.28515625" style="906" customWidth="1"/>
    <col min="8734" max="8739" width="11.42578125" style="906"/>
    <col min="8740" max="8740" width="14.5703125" style="906" customWidth="1"/>
    <col min="8741" max="8960" width="11.42578125" style="906"/>
    <col min="8961" max="8961" width="6.42578125" style="906" customWidth="1"/>
    <col min="8962" max="8962" width="30.7109375" style="906" customWidth="1"/>
    <col min="8963" max="8963" width="19.42578125" style="906" customWidth="1"/>
    <col min="8964" max="8964" width="30.7109375" style="906" customWidth="1"/>
    <col min="8965" max="8967" width="17.85546875" style="906" customWidth="1"/>
    <col min="8968" max="8981" width="15.7109375" style="906" customWidth="1"/>
    <col min="8982" max="8982" width="11.42578125" style="906"/>
    <col min="8983" max="8987" width="15.7109375" style="906" customWidth="1"/>
    <col min="8988" max="8988" width="11.42578125" style="906"/>
    <col min="8989" max="8989" width="13.28515625" style="906" customWidth="1"/>
    <col min="8990" max="8995" width="11.42578125" style="906"/>
    <col min="8996" max="8996" width="14.5703125" style="906" customWidth="1"/>
    <col min="8997" max="9216" width="11.42578125" style="906"/>
    <col min="9217" max="9217" width="6.42578125" style="906" customWidth="1"/>
    <col min="9218" max="9218" width="30.7109375" style="906" customWidth="1"/>
    <col min="9219" max="9219" width="19.42578125" style="906" customWidth="1"/>
    <col min="9220" max="9220" width="30.7109375" style="906" customWidth="1"/>
    <col min="9221" max="9223" width="17.85546875" style="906" customWidth="1"/>
    <col min="9224" max="9237" width="15.7109375" style="906" customWidth="1"/>
    <col min="9238" max="9238" width="11.42578125" style="906"/>
    <col min="9239" max="9243" width="15.7109375" style="906" customWidth="1"/>
    <col min="9244" max="9244" width="11.42578125" style="906"/>
    <col min="9245" max="9245" width="13.28515625" style="906" customWidth="1"/>
    <col min="9246" max="9251" width="11.42578125" style="906"/>
    <col min="9252" max="9252" width="14.5703125" style="906" customWidth="1"/>
    <col min="9253" max="9472" width="11.42578125" style="906"/>
    <col min="9473" max="9473" width="6.42578125" style="906" customWidth="1"/>
    <col min="9474" max="9474" width="30.7109375" style="906" customWidth="1"/>
    <col min="9475" max="9475" width="19.42578125" style="906" customWidth="1"/>
    <col min="9476" max="9476" width="30.7109375" style="906" customWidth="1"/>
    <col min="9477" max="9479" width="17.85546875" style="906" customWidth="1"/>
    <col min="9480" max="9493" width="15.7109375" style="906" customWidth="1"/>
    <col min="9494" max="9494" width="11.42578125" style="906"/>
    <col min="9495" max="9499" width="15.7109375" style="906" customWidth="1"/>
    <col min="9500" max="9500" width="11.42578125" style="906"/>
    <col min="9501" max="9501" width="13.28515625" style="906" customWidth="1"/>
    <col min="9502" max="9507" width="11.42578125" style="906"/>
    <col min="9508" max="9508" width="14.5703125" style="906" customWidth="1"/>
    <col min="9509" max="9728" width="11.42578125" style="906"/>
    <col min="9729" max="9729" width="6.42578125" style="906" customWidth="1"/>
    <col min="9730" max="9730" width="30.7109375" style="906" customWidth="1"/>
    <col min="9731" max="9731" width="19.42578125" style="906" customWidth="1"/>
    <col min="9732" max="9732" width="30.7109375" style="906" customWidth="1"/>
    <col min="9733" max="9735" width="17.85546875" style="906" customWidth="1"/>
    <col min="9736" max="9749" width="15.7109375" style="906" customWidth="1"/>
    <col min="9750" max="9750" width="11.42578125" style="906"/>
    <col min="9751" max="9755" width="15.7109375" style="906" customWidth="1"/>
    <col min="9756" max="9756" width="11.42578125" style="906"/>
    <col min="9757" max="9757" width="13.28515625" style="906" customWidth="1"/>
    <col min="9758" max="9763" width="11.42578125" style="906"/>
    <col min="9764" max="9764" width="14.5703125" style="906" customWidth="1"/>
    <col min="9765" max="9984" width="11.42578125" style="906"/>
    <col min="9985" max="9985" width="6.42578125" style="906" customWidth="1"/>
    <col min="9986" max="9986" width="30.7109375" style="906" customWidth="1"/>
    <col min="9987" max="9987" width="19.42578125" style="906" customWidth="1"/>
    <col min="9988" max="9988" width="30.7109375" style="906" customWidth="1"/>
    <col min="9989" max="9991" width="17.85546875" style="906" customWidth="1"/>
    <col min="9992" max="10005" width="15.7109375" style="906" customWidth="1"/>
    <col min="10006" max="10006" width="11.42578125" style="906"/>
    <col min="10007" max="10011" width="15.7109375" style="906" customWidth="1"/>
    <col min="10012" max="10012" width="11.42578125" style="906"/>
    <col min="10013" max="10013" width="13.28515625" style="906" customWidth="1"/>
    <col min="10014" max="10019" width="11.42578125" style="906"/>
    <col min="10020" max="10020" width="14.5703125" style="906" customWidth="1"/>
    <col min="10021" max="10240" width="11.42578125" style="906"/>
    <col min="10241" max="10241" width="6.42578125" style="906" customWidth="1"/>
    <col min="10242" max="10242" width="30.7109375" style="906" customWidth="1"/>
    <col min="10243" max="10243" width="19.42578125" style="906" customWidth="1"/>
    <col min="10244" max="10244" width="30.7109375" style="906" customWidth="1"/>
    <col min="10245" max="10247" width="17.85546875" style="906" customWidth="1"/>
    <col min="10248" max="10261" width="15.7109375" style="906" customWidth="1"/>
    <col min="10262" max="10262" width="11.42578125" style="906"/>
    <col min="10263" max="10267" width="15.7109375" style="906" customWidth="1"/>
    <col min="10268" max="10268" width="11.42578125" style="906"/>
    <col min="10269" max="10269" width="13.28515625" style="906" customWidth="1"/>
    <col min="10270" max="10275" width="11.42578125" style="906"/>
    <col min="10276" max="10276" width="14.5703125" style="906" customWidth="1"/>
    <col min="10277" max="10496" width="11.42578125" style="906"/>
    <col min="10497" max="10497" width="6.42578125" style="906" customWidth="1"/>
    <col min="10498" max="10498" width="30.7109375" style="906" customWidth="1"/>
    <col min="10499" max="10499" width="19.42578125" style="906" customWidth="1"/>
    <col min="10500" max="10500" width="30.7109375" style="906" customWidth="1"/>
    <col min="10501" max="10503" width="17.85546875" style="906" customWidth="1"/>
    <col min="10504" max="10517" width="15.7109375" style="906" customWidth="1"/>
    <col min="10518" max="10518" width="11.42578125" style="906"/>
    <col min="10519" max="10523" width="15.7109375" style="906" customWidth="1"/>
    <col min="10524" max="10524" width="11.42578125" style="906"/>
    <col min="10525" max="10525" width="13.28515625" style="906" customWidth="1"/>
    <col min="10526" max="10531" width="11.42578125" style="906"/>
    <col min="10532" max="10532" width="14.5703125" style="906" customWidth="1"/>
    <col min="10533" max="10752" width="11.42578125" style="906"/>
    <col min="10753" max="10753" width="6.42578125" style="906" customWidth="1"/>
    <col min="10754" max="10754" width="30.7109375" style="906" customWidth="1"/>
    <col min="10755" max="10755" width="19.42578125" style="906" customWidth="1"/>
    <col min="10756" max="10756" width="30.7109375" style="906" customWidth="1"/>
    <col min="10757" max="10759" width="17.85546875" style="906" customWidth="1"/>
    <col min="10760" max="10773" width="15.7109375" style="906" customWidth="1"/>
    <col min="10774" max="10774" width="11.42578125" style="906"/>
    <col min="10775" max="10779" width="15.7109375" style="906" customWidth="1"/>
    <col min="10780" max="10780" width="11.42578125" style="906"/>
    <col min="10781" max="10781" width="13.28515625" style="906" customWidth="1"/>
    <col min="10782" max="10787" width="11.42578125" style="906"/>
    <col min="10788" max="10788" width="14.5703125" style="906" customWidth="1"/>
    <col min="10789" max="11008" width="11.42578125" style="906"/>
    <col min="11009" max="11009" width="6.42578125" style="906" customWidth="1"/>
    <col min="11010" max="11010" width="30.7109375" style="906" customWidth="1"/>
    <col min="11011" max="11011" width="19.42578125" style="906" customWidth="1"/>
    <col min="11012" max="11012" width="30.7109375" style="906" customWidth="1"/>
    <col min="11013" max="11015" width="17.85546875" style="906" customWidth="1"/>
    <col min="11016" max="11029" width="15.7109375" style="906" customWidth="1"/>
    <col min="11030" max="11030" width="11.42578125" style="906"/>
    <col min="11031" max="11035" width="15.7109375" style="906" customWidth="1"/>
    <col min="11036" max="11036" width="11.42578125" style="906"/>
    <col min="11037" max="11037" width="13.28515625" style="906" customWidth="1"/>
    <col min="11038" max="11043" width="11.42578125" style="906"/>
    <col min="11044" max="11044" width="14.5703125" style="906" customWidth="1"/>
    <col min="11045" max="11264" width="11.42578125" style="906"/>
    <col min="11265" max="11265" width="6.42578125" style="906" customWidth="1"/>
    <col min="11266" max="11266" width="30.7109375" style="906" customWidth="1"/>
    <col min="11267" max="11267" width="19.42578125" style="906" customWidth="1"/>
    <col min="11268" max="11268" width="30.7109375" style="906" customWidth="1"/>
    <col min="11269" max="11271" width="17.85546875" style="906" customWidth="1"/>
    <col min="11272" max="11285" width="15.7109375" style="906" customWidth="1"/>
    <col min="11286" max="11286" width="11.42578125" style="906"/>
    <col min="11287" max="11291" width="15.7109375" style="906" customWidth="1"/>
    <col min="11292" max="11292" width="11.42578125" style="906"/>
    <col min="11293" max="11293" width="13.28515625" style="906" customWidth="1"/>
    <col min="11294" max="11299" width="11.42578125" style="906"/>
    <col min="11300" max="11300" width="14.5703125" style="906" customWidth="1"/>
    <col min="11301" max="11520" width="11.42578125" style="906"/>
    <col min="11521" max="11521" width="6.42578125" style="906" customWidth="1"/>
    <col min="11522" max="11522" width="30.7109375" style="906" customWidth="1"/>
    <col min="11523" max="11523" width="19.42578125" style="906" customWidth="1"/>
    <col min="11524" max="11524" width="30.7109375" style="906" customWidth="1"/>
    <col min="11525" max="11527" width="17.85546875" style="906" customWidth="1"/>
    <col min="11528" max="11541" width="15.7109375" style="906" customWidth="1"/>
    <col min="11542" max="11542" width="11.42578125" style="906"/>
    <col min="11543" max="11547" width="15.7109375" style="906" customWidth="1"/>
    <col min="11548" max="11548" width="11.42578125" style="906"/>
    <col min="11549" max="11549" width="13.28515625" style="906" customWidth="1"/>
    <col min="11550" max="11555" width="11.42578125" style="906"/>
    <col min="11556" max="11556" width="14.5703125" style="906" customWidth="1"/>
    <col min="11557" max="11776" width="11.42578125" style="906"/>
    <col min="11777" max="11777" width="6.42578125" style="906" customWidth="1"/>
    <col min="11778" max="11778" width="30.7109375" style="906" customWidth="1"/>
    <col min="11779" max="11779" width="19.42578125" style="906" customWidth="1"/>
    <col min="11780" max="11780" width="30.7109375" style="906" customWidth="1"/>
    <col min="11781" max="11783" width="17.85546875" style="906" customWidth="1"/>
    <col min="11784" max="11797" width="15.7109375" style="906" customWidth="1"/>
    <col min="11798" max="11798" width="11.42578125" style="906"/>
    <col min="11799" max="11803" width="15.7109375" style="906" customWidth="1"/>
    <col min="11804" max="11804" width="11.42578125" style="906"/>
    <col min="11805" max="11805" width="13.28515625" style="906" customWidth="1"/>
    <col min="11806" max="11811" width="11.42578125" style="906"/>
    <col min="11812" max="11812" width="14.5703125" style="906" customWidth="1"/>
    <col min="11813" max="12032" width="11.42578125" style="906"/>
    <col min="12033" max="12033" width="6.42578125" style="906" customWidth="1"/>
    <col min="12034" max="12034" width="30.7109375" style="906" customWidth="1"/>
    <col min="12035" max="12035" width="19.42578125" style="906" customWidth="1"/>
    <col min="12036" max="12036" width="30.7109375" style="906" customWidth="1"/>
    <col min="12037" max="12039" width="17.85546875" style="906" customWidth="1"/>
    <col min="12040" max="12053" width="15.7109375" style="906" customWidth="1"/>
    <col min="12054" max="12054" width="11.42578125" style="906"/>
    <col min="12055" max="12059" width="15.7109375" style="906" customWidth="1"/>
    <col min="12060" max="12060" width="11.42578125" style="906"/>
    <col min="12061" max="12061" width="13.28515625" style="906" customWidth="1"/>
    <col min="12062" max="12067" width="11.42578125" style="906"/>
    <col min="12068" max="12068" width="14.5703125" style="906" customWidth="1"/>
    <col min="12069" max="12288" width="11.42578125" style="906"/>
    <col min="12289" max="12289" width="6.42578125" style="906" customWidth="1"/>
    <col min="12290" max="12290" width="30.7109375" style="906" customWidth="1"/>
    <col min="12291" max="12291" width="19.42578125" style="906" customWidth="1"/>
    <col min="12292" max="12292" width="30.7109375" style="906" customWidth="1"/>
    <col min="12293" max="12295" width="17.85546875" style="906" customWidth="1"/>
    <col min="12296" max="12309" width="15.7109375" style="906" customWidth="1"/>
    <col min="12310" max="12310" width="11.42578125" style="906"/>
    <col min="12311" max="12315" width="15.7109375" style="906" customWidth="1"/>
    <col min="12316" max="12316" width="11.42578125" style="906"/>
    <col min="12317" max="12317" width="13.28515625" style="906" customWidth="1"/>
    <col min="12318" max="12323" width="11.42578125" style="906"/>
    <col min="12324" max="12324" width="14.5703125" style="906" customWidth="1"/>
    <col min="12325" max="12544" width="11.42578125" style="906"/>
    <col min="12545" max="12545" width="6.42578125" style="906" customWidth="1"/>
    <col min="12546" max="12546" width="30.7109375" style="906" customWidth="1"/>
    <col min="12547" max="12547" width="19.42578125" style="906" customWidth="1"/>
    <col min="12548" max="12548" width="30.7109375" style="906" customWidth="1"/>
    <col min="12549" max="12551" width="17.85546875" style="906" customWidth="1"/>
    <col min="12552" max="12565" width="15.7109375" style="906" customWidth="1"/>
    <col min="12566" max="12566" width="11.42578125" style="906"/>
    <col min="12567" max="12571" width="15.7109375" style="906" customWidth="1"/>
    <col min="12572" max="12572" width="11.42578125" style="906"/>
    <col min="12573" max="12573" width="13.28515625" style="906" customWidth="1"/>
    <col min="12574" max="12579" width="11.42578125" style="906"/>
    <col min="12580" max="12580" width="14.5703125" style="906" customWidth="1"/>
    <col min="12581" max="12800" width="11.42578125" style="906"/>
    <col min="12801" max="12801" width="6.42578125" style="906" customWidth="1"/>
    <col min="12802" max="12802" width="30.7109375" style="906" customWidth="1"/>
    <col min="12803" max="12803" width="19.42578125" style="906" customWidth="1"/>
    <col min="12804" max="12804" width="30.7109375" style="906" customWidth="1"/>
    <col min="12805" max="12807" width="17.85546875" style="906" customWidth="1"/>
    <col min="12808" max="12821" width="15.7109375" style="906" customWidth="1"/>
    <col min="12822" max="12822" width="11.42578125" style="906"/>
    <col min="12823" max="12827" width="15.7109375" style="906" customWidth="1"/>
    <col min="12828" max="12828" width="11.42578125" style="906"/>
    <col min="12829" max="12829" width="13.28515625" style="906" customWidth="1"/>
    <col min="12830" max="12835" width="11.42578125" style="906"/>
    <col min="12836" max="12836" width="14.5703125" style="906" customWidth="1"/>
    <col min="12837" max="13056" width="11.42578125" style="906"/>
    <col min="13057" max="13057" width="6.42578125" style="906" customWidth="1"/>
    <col min="13058" max="13058" width="30.7109375" style="906" customWidth="1"/>
    <col min="13059" max="13059" width="19.42578125" style="906" customWidth="1"/>
    <col min="13060" max="13060" width="30.7109375" style="906" customWidth="1"/>
    <col min="13061" max="13063" width="17.85546875" style="906" customWidth="1"/>
    <col min="13064" max="13077" width="15.7109375" style="906" customWidth="1"/>
    <col min="13078" max="13078" width="11.42578125" style="906"/>
    <col min="13079" max="13083" width="15.7109375" style="906" customWidth="1"/>
    <col min="13084" max="13084" width="11.42578125" style="906"/>
    <col min="13085" max="13085" width="13.28515625" style="906" customWidth="1"/>
    <col min="13086" max="13091" width="11.42578125" style="906"/>
    <col min="13092" max="13092" width="14.5703125" style="906" customWidth="1"/>
    <col min="13093" max="13312" width="11.42578125" style="906"/>
    <col min="13313" max="13313" width="6.42578125" style="906" customWidth="1"/>
    <col min="13314" max="13314" width="30.7109375" style="906" customWidth="1"/>
    <col min="13315" max="13315" width="19.42578125" style="906" customWidth="1"/>
    <col min="13316" max="13316" width="30.7109375" style="906" customWidth="1"/>
    <col min="13317" max="13319" width="17.85546875" style="906" customWidth="1"/>
    <col min="13320" max="13333" width="15.7109375" style="906" customWidth="1"/>
    <col min="13334" max="13334" width="11.42578125" style="906"/>
    <col min="13335" max="13339" width="15.7109375" style="906" customWidth="1"/>
    <col min="13340" max="13340" width="11.42578125" style="906"/>
    <col min="13341" max="13341" width="13.28515625" style="906" customWidth="1"/>
    <col min="13342" max="13347" width="11.42578125" style="906"/>
    <col min="13348" max="13348" width="14.5703125" style="906" customWidth="1"/>
    <col min="13349" max="13568" width="11.42578125" style="906"/>
    <col min="13569" max="13569" width="6.42578125" style="906" customWidth="1"/>
    <col min="13570" max="13570" width="30.7109375" style="906" customWidth="1"/>
    <col min="13571" max="13571" width="19.42578125" style="906" customWidth="1"/>
    <col min="13572" max="13572" width="30.7109375" style="906" customWidth="1"/>
    <col min="13573" max="13575" width="17.85546875" style="906" customWidth="1"/>
    <col min="13576" max="13589" width="15.7109375" style="906" customWidth="1"/>
    <col min="13590" max="13590" width="11.42578125" style="906"/>
    <col min="13591" max="13595" width="15.7109375" style="906" customWidth="1"/>
    <col min="13596" max="13596" width="11.42578125" style="906"/>
    <col min="13597" max="13597" width="13.28515625" style="906" customWidth="1"/>
    <col min="13598" max="13603" width="11.42578125" style="906"/>
    <col min="13604" max="13604" width="14.5703125" style="906" customWidth="1"/>
    <col min="13605" max="13824" width="11.42578125" style="906"/>
    <col min="13825" max="13825" width="6.42578125" style="906" customWidth="1"/>
    <col min="13826" max="13826" width="30.7109375" style="906" customWidth="1"/>
    <col min="13827" max="13827" width="19.42578125" style="906" customWidth="1"/>
    <col min="13828" max="13828" width="30.7109375" style="906" customWidth="1"/>
    <col min="13829" max="13831" width="17.85546875" style="906" customWidth="1"/>
    <col min="13832" max="13845" width="15.7109375" style="906" customWidth="1"/>
    <col min="13846" max="13846" width="11.42578125" style="906"/>
    <col min="13847" max="13851" width="15.7109375" style="906" customWidth="1"/>
    <col min="13852" max="13852" width="11.42578125" style="906"/>
    <col min="13853" max="13853" width="13.28515625" style="906" customWidth="1"/>
    <col min="13854" max="13859" width="11.42578125" style="906"/>
    <col min="13860" max="13860" width="14.5703125" style="906" customWidth="1"/>
    <col min="13861" max="14080" width="11.42578125" style="906"/>
    <col min="14081" max="14081" width="6.42578125" style="906" customWidth="1"/>
    <col min="14082" max="14082" width="30.7109375" style="906" customWidth="1"/>
    <col min="14083" max="14083" width="19.42578125" style="906" customWidth="1"/>
    <col min="14084" max="14084" width="30.7109375" style="906" customWidth="1"/>
    <col min="14085" max="14087" width="17.85546875" style="906" customWidth="1"/>
    <col min="14088" max="14101" width="15.7109375" style="906" customWidth="1"/>
    <col min="14102" max="14102" width="11.42578125" style="906"/>
    <col min="14103" max="14107" width="15.7109375" style="906" customWidth="1"/>
    <col min="14108" max="14108" width="11.42578125" style="906"/>
    <col min="14109" max="14109" width="13.28515625" style="906" customWidth="1"/>
    <col min="14110" max="14115" width="11.42578125" style="906"/>
    <col min="14116" max="14116" width="14.5703125" style="906" customWidth="1"/>
    <col min="14117" max="14336" width="11.42578125" style="906"/>
    <col min="14337" max="14337" width="6.42578125" style="906" customWidth="1"/>
    <col min="14338" max="14338" width="30.7109375" style="906" customWidth="1"/>
    <col min="14339" max="14339" width="19.42578125" style="906" customWidth="1"/>
    <col min="14340" max="14340" width="30.7109375" style="906" customWidth="1"/>
    <col min="14341" max="14343" width="17.85546875" style="906" customWidth="1"/>
    <col min="14344" max="14357" width="15.7109375" style="906" customWidth="1"/>
    <col min="14358" max="14358" width="11.42578125" style="906"/>
    <col min="14359" max="14363" width="15.7109375" style="906" customWidth="1"/>
    <col min="14364" max="14364" width="11.42578125" style="906"/>
    <col min="14365" max="14365" width="13.28515625" style="906" customWidth="1"/>
    <col min="14366" max="14371" width="11.42578125" style="906"/>
    <col min="14372" max="14372" width="14.5703125" style="906" customWidth="1"/>
    <col min="14373" max="14592" width="11.42578125" style="906"/>
    <col min="14593" max="14593" width="6.42578125" style="906" customWidth="1"/>
    <col min="14594" max="14594" width="30.7109375" style="906" customWidth="1"/>
    <col min="14595" max="14595" width="19.42578125" style="906" customWidth="1"/>
    <col min="14596" max="14596" width="30.7109375" style="906" customWidth="1"/>
    <col min="14597" max="14599" width="17.85546875" style="906" customWidth="1"/>
    <col min="14600" max="14613" width="15.7109375" style="906" customWidth="1"/>
    <col min="14614" max="14614" width="11.42578125" style="906"/>
    <col min="14615" max="14619" width="15.7109375" style="906" customWidth="1"/>
    <col min="14620" max="14620" width="11.42578125" style="906"/>
    <col min="14621" max="14621" width="13.28515625" style="906" customWidth="1"/>
    <col min="14622" max="14627" width="11.42578125" style="906"/>
    <col min="14628" max="14628" width="14.5703125" style="906" customWidth="1"/>
    <col min="14629" max="14848" width="11.42578125" style="906"/>
    <col min="14849" max="14849" width="6.42578125" style="906" customWidth="1"/>
    <col min="14850" max="14850" width="30.7109375" style="906" customWidth="1"/>
    <col min="14851" max="14851" width="19.42578125" style="906" customWidth="1"/>
    <col min="14852" max="14852" width="30.7109375" style="906" customWidth="1"/>
    <col min="14853" max="14855" width="17.85546875" style="906" customWidth="1"/>
    <col min="14856" max="14869" width="15.7109375" style="906" customWidth="1"/>
    <col min="14870" max="14870" width="11.42578125" style="906"/>
    <col min="14871" max="14875" width="15.7109375" style="906" customWidth="1"/>
    <col min="14876" max="14876" width="11.42578125" style="906"/>
    <col min="14877" max="14877" width="13.28515625" style="906" customWidth="1"/>
    <col min="14878" max="14883" width="11.42578125" style="906"/>
    <col min="14884" max="14884" width="14.5703125" style="906" customWidth="1"/>
    <col min="14885" max="15104" width="11.42578125" style="906"/>
    <col min="15105" max="15105" width="6.42578125" style="906" customWidth="1"/>
    <col min="15106" max="15106" width="30.7109375" style="906" customWidth="1"/>
    <col min="15107" max="15107" width="19.42578125" style="906" customWidth="1"/>
    <col min="15108" max="15108" width="30.7109375" style="906" customWidth="1"/>
    <col min="15109" max="15111" width="17.85546875" style="906" customWidth="1"/>
    <col min="15112" max="15125" width="15.7109375" style="906" customWidth="1"/>
    <col min="15126" max="15126" width="11.42578125" style="906"/>
    <col min="15127" max="15131" width="15.7109375" style="906" customWidth="1"/>
    <col min="15132" max="15132" width="11.42578125" style="906"/>
    <col min="15133" max="15133" width="13.28515625" style="906" customWidth="1"/>
    <col min="15134" max="15139" width="11.42578125" style="906"/>
    <col min="15140" max="15140" width="14.5703125" style="906" customWidth="1"/>
    <col min="15141" max="15360" width="11.42578125" style="906"/>
    <col min="15361" max="15361" width="6.42578125" style="906" customWidth="1"/>
    <col min="15362" max="15362" width="30.7109375" style="906" customWidth="1"/>
    <col min="15363" max="15363" width="19.42578125" style="906" customWidth="1"/>
    <col min="15364" max="15364" width="30.7109375" style="906" customWidth="1"/>
    <col min="15365" max="15367" width="17.85546875" style="906" customWidth="1"/>
    <col min="15368" max="15381" width="15.7109375" style="906" customWidth="1"/>
    <col min="15382" max="15382" width="11.42578125" style="906"/>
    <col min="15383" max="15387" width="15.7109375" style="906" customWidth="1"/>
    <col min="15388" max="15388" width="11.42578125" style="906"/>
    <col min="15389" max="15389" width="13.28515625" style="906" customWidth="1"/>
    <col min="15390" max="15395" width="11.42578125" style="906"/>
    <col min="15396" max="15396" width="14.5703125" style="906" customWidth="1"/>
    <col min="15397" max="15616" width="11.42578125" style="906"/>
    <col min="15617" max="15617" width="6.42578125" style="906" customWidth="1"/>
    <col min="15618" max="15618" width="30.7109375" style="906" customWidth="1"/>
    <col min="15619" max="15619" width="19.42578125" style="906" customWidth="1"/>
    <col min="15620" max="15620" width="30.7109375" style="906" customWidth="1"/>
    <col min="15621" max="15623" width="17.85546875" style="906" customWidth="1"/>
    <col min="15624" max="15637" width="15.7109375" style="906" customWidth="1"/>
    <col min="15638" max="15638" width="11.42578125" style="906"/>
    <col min="15639" max="15643" width="15.7109375" style="906" customWidth="1"/>
    <col min="15644" max="15644" width="11.42578125" style="906"/>
    <col min="15645" max="15645" width="13.28515625" style="906" customWidth="1"/>
    <col min="15646" max="15651" width="11.42578125" style="906"/>
    <col min="15652" max="15652" width="14.5703125" style="906" customWidth="1"/>
    <col min="15653" max="15872" width="11.42578125" style="906"/>
    <col min="15873" max="15873" width="6.42578125" style="906" customWidth="1"/>
    <col min="15874" max="15874" width="30.7109375" style="906" customWidth="1"/>
    <col min="15875" max="15875" width="19.42578125" style="906" customWidth="1"/>
    <col min="15876" max="15876" width="30.7109375" style="906" customWidth="1"/>
    <col min="15877" max="15879" width="17.85546875" style="906" customWidth="1"/>
    <col min="15880" max="15893" width="15.7109375" style="906" customWidth="1"/>
    <col min="15894" max="15894" width="11.42578125" style="906"/>
    <col min="15895" max="15899" width="15.7109375" style="906" customWidth="1"/>
    <col min="15900" max="15900" width="11.42578125" style="906"/>
    <col min="15901" max="15901" width="13.28515625" style="906" customWidth="1"/>
    <col min="15902" max="15907" width="11.42578125" style="906"/>
    <col min="15908" max="15908" width="14.5703125" style="906" customWidth="1"/>
    <col min="15909" max="16128" width="11.42578125" style="906"/>
    <col min="16129" max="16129" width="6.42578125" style="906" customWidth="1"/>
    <col min="16130" max="16130" width="30.7109375" style="906" customWidth="1"/>
    <col min="16131" max="16131" width="19.42578125" style="906" customWidth="1"/>
    <col min="16132" max="16132" width="30.7109375" style="906" customWidth="1"/>
    <col min="16133" max="16135" width="17.85546875" style="906" customWidth="1"/>
    <col min="16136" max="16149" width="15.7109375" style="906" customWidth="1"/>
    <col min="16150" max="16150" width="11.42578125" style="906"/>
    <col min="16151" max="16155" width="15.7109375" style="906" customWidth="1"/>
    <col min="16156" max="16156" width="11.42578125" style="906"/>
    <col min="16157" max="16157" width="13.28515625" style="906" customWidth="1"/>
    <col min="16158" max="16163" width="11.42578125" style="906"/>
    <col min="16164" max="16164" width="14.5703125" style="906" customWidth="1"/>
    <col min="16165" max="16384" width="11.42578125" style="906"/>
  </cols>
  <sheetData>
    <row r="1" spans="1:38">
      <c r="A1" s="901"/>
      <c r="B1" s="902"/>
      <c r="C1" s="902"/>
      <c r="D1" s="902"/>
      <c r="E1" s="903"/>
      <c r="F1" s="903"/>
      <c r="G1" s="903"/>
      <c r="H1" s="904" t="s">
        <v>136</v>
      </c>
      <c r="I1" s="904"/>
      <c r="J1" s="904"/>
      <c r="K1" s="904"/>
      <c r="L1" s="904"/>
      <c r="M1" s="904"/>
      <c r="N1" s="904"/>
      <c r="O1" s="904"/>
      <c r="P1" s="904"/>
      <c r="Q1" s="904"/>
      <c r="R1" s="904"/>
      <c r="S1" s="904"/>
      <c r="T1" s="904"/>
      <c r="U1" s="904"/>
      <c r="W1" s="903"/>
      <c r="X1" s="904" t="s">
        <v>135</v>
      </c>
      <c r="Y1" s="904"/>
      <c r="Z1" s="904"/>
      <c r="AA1" s="904"/>
      <c r="AB1" s="904"/>
      <c r="AC1" s="904"/>
      <c r="AD1" s="904"/>
      <c r="AE1" s="904"/>
      <c r="AF1" s="904"/>
      <c r="AG1" s="904"/>
      <c r="AH1" s="904"/>
      <c r="AI1" s="904"/>
      <c r="AJ1" s="904"/>
      <c r="AK1" s="904"/>
    </row>
    <row r="2" spans="1:38" ht="24" customHeight="1">
      <c r="A2" s="907"/>
      <c r="B2" s="908"/>
      <c r="C2" s="908"/>
      <c r="D2" s="908"/>
      <c r="E2" s="903" t="s">
        <v>750</v>
      </c>
      <c r="F2" s="903"/>
      <c r="G2" s="903"/>
      <c r="H2" s="903" t="s">
        <v>44</v>
      </c>
      <c r="I2" s="903" t="s">
        <v>45</v>
      </c>
      <c r="J2" s="903" t="s">
        <v>46</v>
      </c>
      <c r="K2" s="903" t="s">
        <v>47</v>
      </c>
      <c r="L2" s="903" t="s">
        <v>48</v>
      </c>
      <c r="M2" s="903" t="s">
        <v>49</v>
      </c>
      <c r="N2" s="903" t="s">
        <v>50</v>
      </c>
      <c r="O2" s="903" t="s">
        <v>51</v>
      </c>
      <c r="P2" s="903" t="s">
        <v>52</v>
      </c>
      <c r="Q2" s="903" t="s">
        <v>53</v>
      </c>
      <c r="R2" s="903" t="s">
        <v>54</v>
      </c>
      <c r="S2" s="903" t="s">
        <v>55</v>
      </c>
      <c r="T2" s="903" t="s">
        <v>35</v>
      </c>
      <c r="U2" s="903" t="s">
        <v>137</v>
      </c>
      <c r="W2" s="903"/>
      <c r="X2" s="903" t="s">
        <v>44</v>
      </c>
      <c r="Y2" s="903" t="s">
        <v>45</v>
      </c>
      <c r="Z2" s="903" t="s">
        <v>46</v>
      </c>
      <c r="AA2" s="903" t="s">
        <v>47</v>
      </c>
      <c r="AB2" s="903" t="s">
        <v>48</v>
      </c>
      <c r="AC2" s="903" t="s">
        <v>49</v>
      </c>
      <c r="AD2" s="903" t="s">
        <v>50</v>
      </c>
      <c r="AE2" s="903" t="s">
        <v>51</v>
      </c>
      <c r="AF2" s="903" t="s">
        <v>52</v>
      </c>
      <c r="AG2" s="903" t="s">
        <v>53</v>
      </c>
      <c r="AH2" s="903" t="s">
        <v>54</v>
      </c>
      <c r="AI2" s="903" t="s">
        <v>55</v>
      </c>
      <c r="AJ2" s="903" t="s">
        <v>35</v>
      </c>
      <c r="AK2" s="903" t="s">
        <v>137</v>
      </c>
    </row>
    <row r="3" spans="1:38" ht="27" customHeight="1">
      <c r="A3" s="904" t="s">
        <v>138</v>
      </c>
      <c r="B3" s="904"/>
      <c r="C3" s="909"/>
      <c r="D3" s="909"/>
      <c r="E3" s="910">
        <v>13853951000</v>
      </c>
      <c r="F3" s="910"/>
      <c r="G3" s="910"/>
      <c r="H3" s="911">
        <f>+'Metas 1'!Q22+'Metas 2'!Q22+'Metas 3'!Q22+'Metas 4 (Contrato relevos)'!Q22+'Metas 5'!Q22+'Metas 6 (ONU Mujeres)'!Q22+'Metas 7 (Unidades Moviles)'!Q22</f>
        <v>6726921106</v>
      </c>
      <c r="I3" s="911">
        <f>+'Metas 1'!R22+'Metas 2'!R22+'Metas 3'!R22+'Metas 4 (Contrato relevos)'!R22+'Metas 5'!R22+'Metas 6 (ONU Mujeres)'!R22+'Metas 7 (Unidades Moviles)'!R22</f>
        <v>90000000</v>
      </c>
      <c r="J3" s="911">
        <f>+'Metas 1'!S22+'Metas 2'!S22+'Metas 3'!S22+'Metas 4 (Contrato relevos)'!S22+'Metas 5'!S22+'Metas 6 (ONU Mujeres)'!S22+'Metas 7 (Unidades Moviles)'!S22</f>
        <v>2262603187</v>
      </c>
      <c r="K3" s="911">
        <f>+'Metas 1'!T22+'Metas 2'!T22+'Metas 3'!T22+'Metas 4 (Contrato relevos)'!T22+'Metas 5'!T22+'Metas 6 (ONU Mujeres)'!T22+'Metas 7 (Unidades Moviles)'!T22</f>
        <v>87122000</v>
      </c>
      <c r="L3" s="911">
        <f>+'Metas 1'!U22+'Metas 2'!U22+'Metas 3'!U22+'Metas 4 (Contrato relevos)'!U22+'Metas 5'!U22+'Metas 6 (ONU Mujeres)'!U22+'Metas 7 (Unidades Moviles)'!U22</f>
        <v>4217725695</v>
      </c>
      <c r="M3" s="911">
        <f>+'Metas 1'!V22+'Metas 2'!V22+'Metas 3'!V22+'Metas 4 (Contrato relevos)'!V22+'Metas 5'!V22+'Metas 6 (ONU Mujeres)'!V22+'Metas 7 (Unidades Moviles)'!V22</f>
        <v>22959012</v>
      </c>
      <c r="N3" s="911">
        <f>+'Metas 1'!W22+'Metas 2'!W22+'Metas 3'!W22+'Metas 4 (Contrato relevos)'!W22+'Metas 5'!W22+'Metas 6 (ONU Mujeres)'!W22+'Metas 7 (Unidades Moviles)'!W22</f>
        <v>49000000</v>
      </c>
      <c r="O3" s="911">
        <f>+'Metas 1'!X22+'Metas 2'!X22+'Metas 3'!X22+'Metas 4 (Contrato relevos)'!X22+'Metas 5'!X22+'Metas 6 (ONU Mujeres)'!X22+'Metas 7 (Unidades Moviles)'!X22</f>
        <v>397620000</v>
      </c>
      <c r="P3" s="911">
        <f>+'Metas 1'!Y22+'Metas 2'!Y22+'Metas 3'!Y22+'Metas 4 (Contrato relevos)'!Y22+'Metas 5'!Y22+'Metas 6 (ONU Mujeres)'!Y22+'Metas 7 (Unidades Moviles)'!Y22</f>
        <v>0</v>
      </c>
      <c r="Q3" s="911">
        <f>+'Metas 1'!Z22+'Metas 2'!Z22+'Metas 3'!Z22+'Metas 4 (Contrato relevos)'!Z22+'Metas 5'!Z22+'Metas 6 (ONU Mujeres)'!Z22+'Metas 7 (Unidades Moviles)'!Z22</f>
        <v>0</v>
      </c>
      <c r="R3" s="911">
        <f>+'Metas 1'!AA22+'Metas 2'!AA22+'Metas 3'!AA22+'Metas 4 (Contrato relevos)'!AA22+'Metas 5'!AA22+'Metas 6 (ONU Mujeres)'!AA22+'Metas 7 (Unidades Moviles)'!AA22</f>
        <v>0</v>
      </c>
      <c r="S3" s="911">
        <f>+'Metas 1'!AB22+'Metas 2'!AB22+'Metas 3'!AB22+'Metas 4 (Contrato relevos)'!AB22+'Metas 5'!AB22+'Metas 6 (ONU Mujeres)'!AB22+'Metas 7 (Unidades Moviles)'!AB22</f>
        <v>0</v>
      </c>
      <c r="T3" s="911">
        <f>SUM(H3:S3)</f>
        <v>13853951000</v>
      </c>
      <c r="U3" s="912"/>
      <c r="W3" s="912"/>
      <c r="X3" s="911">
        <f>+'Metas 1'!C22+'Metas 2'!C22+'Metas 3'!C22+'Metas 4 (Contrato relevos)'!C22+'Metas 5'!C22+'Metas 6 (ONU Mujeres)'!C22+'Metas 7 (Unidades Moviles)'!C22</f>
        <v>0</v>
      </c>
      <c r="Y3" s="911">
        <f>+'Metas 1'!D22+'Metas 2'!D22+'Metas 3'!D22+'Metas 4 (Contrato relevos)'!D22+'Metas 5'!D22+'Metas 6 (ONU Mujeres)'!D22+'Metas 7 (Unidades Moviles)'!D22</f>
        <v>0</v>
      </c>
      <c r="Z3" s="911">
        <f>+'Metas 1'!E22+'Metas 2'!E22+'Metas 3'!E22+'Metas 4 (Contrato relevos)'!E22+'Metas 5'!E22+'Metas 6 (ONU Mujeres)'!E22+'Metas 7 (Unidades Moviles)'!E22</f>
        <v>0</v>
      </c>
      <c r="AA3" s="911">
        <f>+'Metas 1'!F22+'Metas 2'!F22+'Metas 3'!F22+'Metas 4 (Contrato relevos)'!F22+'Metas 5'!F22+'Metas 6 (ONU Mujeres)'!F22+'Metas 7 (Unidades Moviles)'!F22</f>
        <v>0</v>
      </c>
      <c r="AB3" s="911">
        <f>+'Metas 1'!G22+'Metas 2'!G22+'Metas 3'!G22+'Metas 4 (Contrato relevos)'!G22+'Metas 5'!G22+'Metas 6 (ONU Mujeres)'!G22+'Metas 7 (Unidades Moviles)'!G22</f>
        <v>0</v>
      </c>
      <c r="AC3" s="911">
        <f>+'Metas 1'!H22+'Metas 2'!H22+'Metas 3'!H22+'Metas 4 (Contrato relevos)'!H22+'Metas 5'!H22+'Metas 6 (ONU Mujeres)'!H22+'Metas 7 (Unidades Moviles)'!H22</f>
        <v>0</v>
      </c>
      <c r="AD3" s="911">
        <f>+'Metas 1'!I22+'Metas 2'!I22+'Metas 3'!I22+'Metas 4 (Contrato relevos)'!I22+'Metas 5'!I22+'Metas 6 (ONU Mujeres)'!I22+'Metas 7 (Unidades Moviles)'!I22</f>
        <v>0</v>
      </c>
      <c r="AE3" s="911">
        <f>+'Metas 1'!J22+'Metas 2'!J22+'Metas 3'!J22+'Metas 4 (Contrato relevos)'!J22+'Metas 5'!J22+'Metas 6 (ONU Mujeres)'!J22+'Metas 7 (Unidades Moviles)'!J22</f>
        <v>0</v>
      </c>
      <c r="AF3" s="911">
        <f>+'Metas 1'!K22+'Metas 2'!K22+'Metas 3'!K22+'Metas 4 (Contrato relevos)'!K22+'Metas 5'!K22+'Metas 6 (ONU Mujeres)'!K22+'Metas 7 (Unidades Moviles)'!K22</f>
        <v>0</v>
      </c>
      <c r="AG3" s="911">
        <f>+'Metas 1'!L22+'Metas 2'!L22+'Metas 3'!L22+'Metas 4 (Contrato relevos)'!L22+'Metas 5'!L22+'Metas 6 (ONU Mujeres)'!L22+'Metas 7 (Unidades Moviles)'!L22</f>
        <v>0</v>
      </c>
      <c r="AH3" s="911">
        <f>+'Metas 1'!M22+'Metas 2'!M22+'Metas 3'!M22+'Metas 4 (Contrato relevos)'!M22+'Metas 5'!M22+'Metas 6 (ONU Mujeres)'!M22+'Metas 7 (Unidades Moviles)'!M22</f>
        <v>0</v>
      </c>
      <c r="AI3" s="911">
        <f>+'Metas 1'!N22+'Metas 2'!N22+'Metas 3'!N22+'Metas 4 (Contrato relevos)'!N22+'Metas 5'!N22+'Metas 6 (ONU Mujeres)'!N22+'Metas 7 (Unidades Moviles)'!N22</f>
        <v>0</v>
      </c>
      <c r="AJ3" s="911">
        <f>SUM(X3:AI3)</f>
        <v>0</v>
      </c>
      <c r="AK3" s="913"/>
    </row>
    <row r="4" spans="1:38" ht="27" customHeight="1">
      <c r="A4" s="904" t="s">
        <v>139</v>
      </c>
      <c r="B4" s="904"/>
      <c r="C4" s="909"/>
      <c r="D4" s="909"/>
      <c r="E4" s="912"/>
      <c r="F4" s="912"/>
      <c r="G4" s="912"/>
      <c r="H4" s="911">
        <f>+'Metas 1'!Q23+'Metas 2'!Q23+'Metas 3'!Q23+'Metas 4 (Contrato relevos)'!Q23+'Metas 5'!Q23+'Metas 6 (ONU Mujeres)'!Q23+'Metas 7 (Unidades Moviles)'!Q23</f>
        <v>6689497774</v>
      </c>
      <c r="I4" s="911">
        <f>+'Metas 1'!R23+'Metas 2'!R23+'Metas 3'!R23+'Metas 4 (Contrato relevos)'!R23+'Metas 5'!R23+'Metas 6 (ONU Mujeres)'!R23+'Metas 7 (Unidades Moviles)'!R23</f>
        <v>0</v>
      </c>
      <c r="J4" s="911">
        <f>+'Metas 1'!S23+'Metas 2'!S23+'Metas 3'!S23+'Metas 4 (Contrato relevos)'!S23+'Metas 5'!S23+'Metas 6 (ONU Mujeres)'!S23+'Metas 7 (Unidades Moviles)'!S23</f>
        <v>-5137626</v>
      </c>
      <c r="K4" s="911">
        <f>+'Metas 1'!T23+'Metas 2'!T23+'Metas 3'!T23+'Metas 4 (Contrato relevos)'!T23+'Metas 5'!T23+'Metas 6 (ONU Mujeres)'!T23+'Metas 7 (Unidades Moviles)'!T23</f>
        <v>30140193</v>
      </c>
      <c r="L4" s="911">
        <f>+'Metas 1'!U23+'Metas 2'!U23+'Metas 3'!U23+'Metas 4 (Contrato relevos)'!U23+'Metas 5'!U23+'Metas 6 (ONU Mujeres)'!U23+'Metas 7 (Unidades Moviles)'!U23</f>
        <v>131189269</v>
      </c>
      <c r="M4" s="911">
        <f>+'Metas 1'!V23+'Metas 2'!V23+'Metas 3'!V23+'Metas 4 (Contrato relevos)'!V23+'Metas 5'!V23+'Metas 6 (ONU Mujeres)'!V23+'Metas 7 (Unidades Moviles)'!V23</f>
        <v>0</v>
      </c>
      <c r="N4" s="911">
        <f>+'Metas 1'!W23+'Metas 2'!W23+'Metas 3'!W23+'Metas 4 (Contrato relevos)'!W23+'Metas 5'!W23+'Metas 6 (ONU Mujeres)'!W23+'Metas 7 (Unidades Moviles)'!W23</f>
        <v>0</v>
      </c>
      <c r="O4" s="911">
        <f>+'Metas 1'!X23+'Metas 2'!X23+'Metas 3'!X23+'Metas 4 (Contrato relevos)'!X23+'Metas 5'!X23+'Metas 6 (ONU Mujeres)'!X23+'Metas 7 (Unidades Moviles)'!X23</f>
        <v>0</v>
      </c>
      <c r="P4" s="911">
        <f>+'Metas 1'!Y23+'Metas 2'!Y23+'Metas 3'!Y23+'Metas 4 (Contrato relevos)'!Y23+'Metas 5'!Y23+'Metas 6 (ONU Mujeres)'!Y23+'Metas 7 (Unidades Moviles)'!Y23</f>
        <v>0</v>
      </c>
      <c r="Q4" s="911">
        <f>+'Metas 1'!Z23+'Metas 2'!Z23+'Metas 3'!Z23+'Metas 4 (Contrato relevos)'!Z23+'Metas 5'!Z23+'Metas 6 (ONU Mujeres)'!Z23+'Metas 7 (Unidades Moviles)'!Z23</f>
        <v>0</v>
      </c>
      <c r="R4" s="911">
        <f>+'Metas 1'!AA23+'Metas 2'!AA23+'Metas 3'!AA23+'Metas 4 (Contrato relevos)'!AA23+'Metas 5'!AA23+'Metas 6 (ONU Mujeres)'!AA23+'Metas 7 (Unidades Moviles)'!AA23</f>
        <v>0</v>
      </c>
      <c r="S4" s="911">
        <f>+'Metas 1'!AB23+'Metas 2'!AB23+'Metas 3'!AB23+'Metas 4 (Contrato relevos)'!AB23+'Metas 5'!AB23+'Metas 6 (ONU Mujeres)'!AB23+'Metas 7 (Unidades Moviles)'!AB23</f>
        <v>0</v>
      </c>
      <c r="T4" s="911">
        <f>SUM(H4:S4)</f>
        <v>6845689610</v>
      </c>
      <c r="U4" s="912">
        <f>IFERROR(T4/(SUMIF(H4:S4,"&gt;0",H3:S3))," ")</f>
        <v>0.62054324501248215</v>
      </c>
      <c r="V4" s="905">
        <v>6684360148</v>
      </c>
      <c r="W4" s="912"/>
      <c r="X4" s="911">
        <f>+'Metas 1'!C23+'Metas 2'!C23+'Metas 3'!C23+'Metas 4 (Contrato relevos)'!C23+'Metas 5'!C23+'Metas 6 (ONU Mujeres)'!C23+'Metas 7 (Unidades Moviles)'!C23</f>
        <v>5753056358</v>
      </c>
      <c r="Y4" s="911">
        <f>+'Metas 1'!D23+'Metas 2'!D23+'Metas 3'!D23+'Metas 4 (Contrato relevos)'!D23+'Metas 5'!D23+'Metas 6 (ONU Mujeres)'!D23+'Metas 7 (Unidades Moviles)'!D23</f>
        <v>0</v>
      </c>
      <c r="Z4" s="911">
        <f>+'Metas 1'!E23+'Metas 2'!E23+'Metas 3'!E23+'Metas 4 (Contrato relevos)'!E23+'Metas 5'!E23+'Metas 6 (ONU Mujeres)'!E23+'Metas 7 (Unidades Moviles)'!E23</f>
        <v>-19600000</v>
      </c>
      <c r="AA4" s="911">
        <f>+'Metas 1'!F23+'Metas 2'!F23+'Metas 3'!F23+'Metas 4 (Contrato relevos)'!F23+'Metas 5'!F23+'Metas 6 (ONU Mujeres)'!F23+'Metas 7 (Unidades Moviles)'!F23</f>
        <v>0</v>
      </c>
      <c r="AB4" s="911">
        <f>+'Metas 1'!G23+'Metas 2'!G23+'Metas 3'!G23+'Metas 4 (Contrato relevos)'!G23+'Metas 5'!G23+'Metas 6 (ONU Mujeres)'!G23+'Metas 7 (Unidades Moviles)'!G23</f>
        <v>-7947937</v>
      </c>
      <c r="AC4" s="911">
        <f>+'Metas 1'!H23+'Metas 2'!H23+'Metas 3'!H23+'Metas 4 (Contrato relevos)'!H23+'Metas 5'!H23+'Metas 6 (ONU Mujeres)'!H23+'Metas 7 (Unidades Moviles)'!H23</f>
        <v>0</v>
      </c>
      <c r="AD4" s="911">
        <f>+'Metas 1'!I23+'Metas 2'!I23+'Metas 3'!I23+'Metas 4 (Contrato relevos)'!I23+'Metas 5'!I23+'Metas 6 (ONU Mujeres)'!I23+'Metas 7 (Unidades Moviles)'!I23</f>
        <v>0</v>
      </c>
      <c r="AE4" s="911">
        <f>+'Metas 1'!J23+'Metas 2'!J23+'Metas 3'!J23+'Metas 4 (Contrato relevos)'!J23+'Metas 5'!J23+'Metas 6 (ONU Mujeres)'!J23+'Metas 7 (Unidades Moviles)'!J23</f>
        <v>0</v>
      </c>
      <c r="AF4" s="911">
        <f>+'Metas 1'!K23+'Metas 2'!K23+'Metas 3'!K23+'Metas 4 (Contrato relevos)'!K23+'Metas 5'!K23+'Metas 6 (ONU Mujeres)'!K23+'Metas 7 (Unidades Moviles)'!K23</f>
        <v>0</v>
      </c>
      <c r="AG4" s="911">
        <f>+'Metas 1'!L23+'Metas 2'!L23+'Metas 3'!L23+'Metas 4 (Contrato relevos)'!L23+'Metas 5'!L23+'Metas 6 (ONU Mujeres)'!L23+'Metas 7 (Unidades Moviles)'!L23</f>
        <v>0</v>
      </c>
      <c r="AH4" s="911">
        <f>+'Metas 1'!M23+'Metas 2'!M23+'Metas 3'!M23+'Metas 4 (Contrato relevos)'!M23+'Metas 5'!M23+'Metas 6 (ONU Mujeres)'!M23+'Metas 7 (Unidades Moviles)'!M23</f>
        <v>0</v>
      </c>
      <c r="AI4" s="911">
        <f>+'Metas 1'!N23+'Metas 2'!N23+'Metas 3'!N23+'Metas 4 (Contrato relevos)'!N23+'Metas 5'!N23+'Metas 6 (ONU Mujeres)'!N23+'Metas 7 (Unidades Moviles)'!N23</f>
        <v>0</v>
      </c>
      <c r="AJ4" s="911">
        <f>SUM(X4:AI4)</f>
        <v>5725508421</v>
      </c>
      <c r="AK4" s="913"/>
      <c r="AL4" s="906">
        <v>5733456358</v>
      </c>
    </row>
    <row r="5" spans="1:38" ht="27" customHeight="1">
      <c r="A5" s="904" t="s">
        <v>141</v>
      </c>
      <c r="B5" s="904"/>
      <c r="C5" s="909"/>
      <c r="D5" s="909"/>
      <c r="E5" s="910">
        <v>13853951000</v>
      </c>
      <c r="F5" s="910"/>
      <c r="G5" s="910"/>
      <c r="H5" s="911">
        <f>+'Metas 1'!Q24+'Metas 2'!Q24+'Metas 3'!Q24+'Metas 4 (Contrato relevos)'!Q24+'Metas 5'!Q24+'Metas 6 (ONU Mujeres)'!Q24+'Metas 7 (Unidades Moviles)'!Q24</f>
        <v>0</v>
      </c>
      <c r="I5" s="911">
        <f>+'Metas 1'!R24+'Metas 2'!R24+'Metas 3'!R24+'Metas 4 (Contrato relevos)'!R24+'Metas 5'!R24+'Metas 6 (ONU Mujeres)'!R24+'Metas 7 (Unidades Moviles)'!R24</f>
        <v>285410170.99999994</v>
      </c>
      <c r="J5" s="911">
        <f>+'Metas 1'!S24+'Metas 2'!S24+'Metas 3'!S24+'Metas 4 (Contrato relevos)'!S24+'Metas 5'!S24+'Metas 6 (ONU Mujeres)'!S24+'Metas 7 (Unidades Moviles)'!S24</f>
        <v>589199007</v>
      </c>
      <c r="K5" s="911">
        <f>+'Metas 1'!T24+'Metas 2'!T24+'Metas 3'!T24+'Metas 4 (Contrato relevos)'!T24+'Metas 5'!T24+'Metas 6 (ONU Mujeres)'!T24+'Metas 7 (Unidades Moviles)'!T24</f>
        <v>602699007</v>
      </c>
      <c r="L5" s="911">
        <f>+'Metas 1'!U24+'Metas 2'!U24+'Metas 3'!U24+'Metas 4 (Contrato relevos)'!U24+'Metas 5'!U24+'Metas 6 (ONU Mujeres)'!U24+'Metas 7 (Unidades Moviles)'!U24</f>
        <v>1109990533</v>
      </c>
      <c r="M5" s="911">
        <f>+'Metas 1'!V24+'Metas 2'!V24+'Metas 3'!V24+'Metas 4 (Contrato relevos)'!V24+'Metas 5'!V24+'Metas 6 (ONU Mujeres)'!V24+'Metas 7 (Unidades Moviles)'!V24</f>
        <v>1107838917</v>
      </c>
      <c r="N5" s="911">
        <f>+'Metas 1'!W24+'Metas 2'!W24+'Metas 3'!W24+'Metas 4 (Contrato relevos)'!W24+'Metas 5'!W24+'Metas 6 (ONU Mujeres)'!W24+'Metas 7 (Unidades Moviles)'!W24</f>
        <v>2020257523</v>
      </c>
      <c r="O5" s="911">
        <f>+'Metas 1'!X24+'Metas 2'!X24+'Metas 3'!X24+'Metas 4 (Contrato relevos)'!X24+'Metas 5'!X24+'Metas 6 (ONU Mujeres)'!X24+'Metas 7 (Unidades Moviles)'!X24</f>
        <v>1317997659</v>
      </c>
      <c r="P5" s="911">
        <f>+'Metas 1'!Y24+'Metas 2'!Y24+'Metas 3'!Y24+'Metas 4 (Contrato relevos)'!Y24+'Metas 5'!Y24+'Metas 6 (ONU Mujeres)'!Y24+'Metas 7 (Unidades Moviles)'!Y24</f>
        <v>1256790005</v>
      </c>
      <c r="Q5" s="911">
        <f>+'Metas 1'!Z24+'Metas 2'!Z24+'Metas 3'!Z24+'Metas 4 (Contrato relevos)'!Z24+'Metas 5'!Z24+'Metas 6 (ONU Mujeres)'!Z24+'Metas 7 (Unidades Moviles)'!Z24</f>
        <v>1257597658</v>
      </c>
      <c r="R5" s="911">
        <f>+'Metas 1'!AA24+'Metas 2'!AA24+'Metas 3'!AA24+'Metas 4 (Contrato relevos)'!AA24+'Metas 5'!AA24+'Metas 6 (ONU Mujeres)'!AA24+'Metas 7 (Unidades Moviles)'!AA24</f>
        <v>1384124327</v>
      </c>
      <c r="S5" s="911">
        <f>+'Metas 1'!AB24+'Metas 2'!AB24+'Metas 3'!AB24+'Metas 4 (Contrato relevos)'!AB24+'Metas 5'!AB24+'Metas 6 (ONU Mujeres)'!AB24+'Metas 7 (Unidades Moviles)'!AB24</f>
        <v>2922046193</v>
      </c>
      <c r="T5" s="911">
        <f>SUM(H5:S5)</f>
        <v>13853951000</v>
      </c>
      <c r="U5" s="912"/>
      <c r="W5" s="912"/>
      <c r="X5" s="911">
        <f>+'Metas 1'!C24+'Metas 2'!C24+'Metas 3'!C24+'Metas 4 (Contrato relevos)'!C24+'Metas 5'!C24+'Metas 6 (ONU Mujeres)'!C24+'Metas 7 (Unidades Moviles)'!C24</f>
        <v>0</v>
      </c>
      <c r="Y5" s="911">
        <f>+'Metas 1'!D24+'Metas 2'!D24+'Metas 3'!D24+'Metas 4 (Contrato relevos)'!D24+'Metas 5'!D24+'Metas 6 (ONU Mujeres)'!D24+'Metas 7 (Unidades Moviles)'!D24</f>
        <v>1257629814</v>
      </c>
      <c r="Z5" s="911">
        <f>+'Metas 1'!E24+'Metas 2'!E24+'Metas 3'!E24+'Metas 4 (Contrato relevos)'!E24+'Metas 5'!E24+'Metas 6 (ONU Mujeres)'!E24+'Metas 7 (Unidades Moviles)'!E24</f>
        <v>1752999700</v>
      </c>
      <c r="AA5" s="911">
        <f>+'Metas 1'!F24+'Metas 2'!F24+'Metas 3'!F24+'Metas 4 (Contrato relevos)'!F24+'Metas 5'!F24+'Metas 6 (ONU Mujeres)'!F24+'Metas 7 (Unidades Moviles)'!F24</f>
        <v>1793829922</v>
      </c>
      <c r="AB5" s="911">
        <f>+'Metas 1'!G24+'Metas 2'!G24+'Metas 3'!G24+'Metas 4 (Contrato relevos)'!G24+'Metas 5'!G24+'Metas 6 (ONU Mujeres)'!G24+'Metas 7 (Unidades Moviles)'!G24</f>
        <v>928996922</v>
      </c>
      <c r="AC5" s="911">
        <f>+'Metas 1'!H24+'Metas 2'!H24+'Metas 3'!H24+'Metas 4 (Contrato relevos)'!H24+'Metas 5'!H24+'Metas 6 (ONU Mujeres)'!H24+'Metas 7 (Unidades Moviles)'!H24</f>
        <v>0</v>
      </c>
      <c r="AD5" s="911">
        <f>+'Metas 1'!I24+'Metas 2'!I24+'Metas 3'!I24+'Metas 4 (Contrato relevos)'!I24+'Metas 5'!I24+'Metas 6 (ONU Mujeres)'!I24+'Metas 7 (Unidades Moviles)'!I24</f>
        <v>0</v>
      </c>
      <c r="AE5" s="911">
        <f>+'Metas 1'!J24+'Metas 2'!J24+'Metas 3'!J24+'Metas 4 (Contrato relevos)'!J24+'Metas 5'!J24+'Metas 6 (ONU Mujeres)'!J24+'Metas 7 (Unidades Moviles)'!J24</f>
        <v>0</v>
      </c>
      <c r="AF5" s="911">
        <f>+'Metas 1'!K24+'Metas 2'!K24+'Metas 3'!K24+'Metas 4 (Contrato relevos)'!K24+'Metas 5'!K24+'Metas 6 (ONU Mujeres)'!K24+'Metas 7 (Unidades Moviles)'!K24</f>
        <v>0</v>
      </c>
      <c r="AG5" s="911">
        <f>+'Metas 1'!L24+'Metas 2'!L24+'Metas 3'!L24+'Metas 4 (Contrato relevos)'!L24+'Metas 5'!L24+'Metas 6 (ONU Mujeres)'!L24+'Metas 7 (Unidades Moviles)'!L24</f>
        <v>0</v>
      </c>
      <c r="AH5" s="911">
        <f>+'Metas 1'!M24+'Metas 2'!M24+'Metas 3'!M24+'Metas 4 (Contrato relevos)'!M24+'Metas 5'!M24+'Metas 6 (ONU Mujeres)'!M24+'Metas 7 (Unidades Moviles)'!M24</f>
        <v>0</v>
      </c>
      <c r="AI5" s="911">
        <f>+'Metas 1'!N24+'Metas 2'!N24+'Metas 3'!N24+'Metas 4 (Contrato relevos)'!N24+'Metas 5'!N24+'Metas 6 (ONU Mujeres)'!N24+'Metas 7 (Unidades Moviles)'!N24</f>
        <v>0</v>
      </c>
      <c r="AJ5" s="911">
        <f>SUM(X5:AI5)</f>
        <v>5733456358</v>
      </c>
      <c r="AK5" s="913"/>
    </row>
    <row r="6" spans="1:38" ht="27" customHeight="1">
      <c r="A6" s="904" t="s">
        <v>142</v>
      </c>
      <c r="B6" s="904"/>
      <c r="C6" s="909"/>
      <c r="D6" s="909"/>
      <c r="E6" s="912"/>
      <c r="F6" s="912"/>
      <c r="G6" s="912"/>
      <c r="H6" s="911">
        <f>+'Metas 1'!Q25+'Metas 2'!Q25+'Metas 3'!Q25+'Metas 4 (Contrato relevos)'!Q25+'Metas 5'!Q25+'Metas 6 (ONU Mujeres)'!Q25+'Metas 7 (Unidades Moviles)'!Q25</f>
        <v>0</v>
      </c>
      <c r="I6" s="911">
        <f>+'Metas 1'!R25+'Metas 2'!R25+'Metas 3'!R25+'Metas 4 (Contrato relevos)'!R25+'Metas 5'!R25+'Metas 6 (ONU Mujeres)'!R25+'Metas 7 (Unidades Moviles)'!R25</f>
        <v>96238222</v>
      </c>
      <c r="J6" s="911">
        <f>+'Metas 1'!S25+'Metas 2'!S25+'Metas 3'!S25+'Metas 4 (Contrato relevos)'!S25+'Metas 5'!S25+'Metas 6 (ONU Mujeres)'!S25+'Metas 7 (Unidades Moviles)'!S25</f>
        <v>567797313</v>
      </c>
      <c r="K6" s="911">
        <f>+'Metas 1'!T25+'Metas 2'!T25+'Metas 3'!T25+'Metas 4 (Contrato relevos)'!T25+'Metas 5'!T25+'Metas 6 (ONU Mujeres)'!T25+'Metas 7 (Unidades Moviles)'!T25</f>
        <v>609032369</v>
      </c>
      <c r="L6" s="911">
        <f>+'Metas 1'!U25+'Metas 2'!U25+'Metas 3'!U25+'Metas 4 (Contrato relevos)'!U25+'Metas 5'!U25+'Metas 6 (ONU Mujeres)'!U25+'Metas 7 (Unidades Moviles)'!U25</f>
        <v>573723468</v>
      </c>
      <c r="M6" s="911">
        <f>+'Metas 1'!V25+'Metas 2'!V25+'Metas 3'!V25+'Metas 4 (Contrato relevos)'!V25+'Metas 5'!V25+'Metas 6 (ONU Mujeres)'!V25+'Metas 7 (Unidades Moviles)'!V25</f>
        <v>0</v>
      </c>
      <c r="N6" s="911">
        <f>+'Metas 1'!W25+'Metas 2'!W25+'Metas 3'!W25+'Metas 4 (Contrato relevos)'!W25+'Metas 5'!W25+'Metas 6 (ONU Mujeres)'!W25+'Metas 7 (Unidades Moviles)'!W25</f>
        <v>0</v>
      </c>
      <c r="O6" s="911">
        <f>+'Metas 1'!X25+'Metas 2'!X25+'Metas 3'!X25+'Metas 4 (Contrato relevos)'!X25+'Metas 5'!X25+'Metas 6 (ONU Mujeres)'!X25+'Metas 7 (Unidades Moviles)'!X25</f>
        <v>0</v>
      </c>
      <c r="P6" s="911">
        <f>+'Metas 1'!Y25+'Metas 2'!Y25+'Metas 3'!Y25+'Metas 4 (Contrato relevos)'!Y25+'Metas 5'!Y25+'Metas 6 (ONU Mujeres)'!Y25+'Metas 7 (Unidades Moviles)'!Y25</f>
        <v>0</v>
      </c>
      <c r="Q6" s="911">
        <f>+'Metas 1'!Z25+'Metas 2'!Z25+'Metas 3'!Z25+'Metas 4 (Contrato relevos)'!Z25+'Metas 5'!Z25+'Metas 6 (ONU Mujeres)'!Z25+'Metas 7 (Unidades Moviles)'!Z25</f>
        <v>0</v>
      </c>
      <c r="R6" s="911">
        <f>+'Metas 1'!AA25+'Metas 2'!AA25+'Metas 3'!AA25+'Metas 4 (Contrato relevos)'!AA25+'Metas 5'!AA25+'Metas 6 (ONU Mujeres)'!AA25+'Metas 7 (Unidades Moviles)'!AA25</f>
        <v>0</v>
      </c>
      <c r="S6" s="911">
        <f>+'Metas 1'!AB25+'Metas 2'!AB25+'Metas 3'!AB25+'Metas 4 (Contrato relevos)'!AB25+'Metas 5'!AB25+'Metas 6 (ONU Mujeres)'!AB25+'Metas 7 (Unidades Moviles)'!AB25</f>
        <v>0</v>
      </c>
      <c r="T6" s="911">
        <f>SUM(H6:S6)</f>
        <v>1846791372</v>
      </c>
      <c r="U6" s="912">
        <f>IFERROR(T6/(SUMIF(H6:S6,"&gt;0",H5:S5))," ")</f>
        <v>0.71379132187240546</v>
      </c>
      <c r="V6" s="905">
        <v>664035535</v>
      </c>
      <c r="W6" s="912"/>
      <c r="X6" s="911">
        <f>+'Metas 1'!C25+'Metas 2'!C25+'Metas 3'!C25+'Metas 4 (Contrato relevos)'!C25+'Metas 5'!C25+'Metas 6 (ONU Mujeres)'!C25+'Metas 7 (Unidades Moviles)'!C25</f>
        <v>77754654</v>
      </c>
      <c r="Y6" s="911">
        <f>+'Metas 1'!D25+'Metas 2'!D25+'Metas 3'!D25+'Metas 4 (Contrato relevos)'!D25+'Metas 5'!D25+'Metas 6 (ONU Mujeres)'!D25+'Metas 7 (Unidades Moviles)'!D25</f>
        <v>195328162</v>
      </c>
      <c r="Z6" s="911">
        <f>+'Metas 1'!E25+'Metas 2'!E25+'Metas 3'!E25+'Metas 4 (Contrato relevos)'!E25+'Metas 5'!E25+'Metas 6 (ONU Mujeres)'!E25+'Metas 7 (Unidades Moviles)'!E25</f>
        <v>705786665</v>
      </c>
      <c r="AA6" s="911">
        <f>+'Metas 1'!F25+'Metas 2'!F25+'Metas 3'!F25+'Metas 4 (Contrato relevos)'!F25+'Metas 5'!F25+'Metas 6 (ONU Mujeres)'!F25+'Metas 7 (Unidades Moviles)'!F25</f>
        <v>64338749</v>
      </c>
      <c r="AB6" s="911">
        <f>+'Metas 1'!G25+'Metas 2'!G25+'Metas 3'!G25+'Metas 4 (Contrato relevos)'!G25+'Metas 5'!G25+'Metas 6 (ONU Mujeres)'!G25+'Metas 7 (Unidades Moviles)'!G25</f>
        <v>316725059</v>
      </c>
      <c r="AC6" s="911">
        <f>+'Metas 1'!H25+'Metas 2'!H25+'Metas 3'!H25+'Metas 4 (Contrato relevos)'!H25+'Metas 5'!H25+'Metas 6 (ONU Mujeres)'!H25+'Metas 7 (Unidades Moviles)'!H25</f>
        <v>0</v>
      </c>
      <c r="AD6" s="911">
        <f>+'Metas 1'!I25+'Metas 2'!I25+'Metas 3'!I25+'Metas 4 (Contrato relevos)'!I25+'Metas 5'!I25+'Metas 6 (ONU Mujeres)'!I25+'Metas 7 (Unidades Moviles)'!I25</f>
        <v>0</v>
      </c>
      <c r="AE6" s="911">
        <f>+'Metas 1'!J25+'Metas 2'!J25+'Metas 3'!J25+'Metas 4 (Contrato relevos)'!J25+'Metas 5'!J25+'Metas 6 (ONU Mujeres)'!J25+'Metas 7 (Unidades Moviles)'!J25</f>
        <v>0</v>
      </c>
      <c r="AF6" s="911">
        <f>+'Metas 1'!K25+'Metas 2'!K25+'Metas 3'!K25+'Metas 4 (Contrato relevos)'!K25+'Metas 5'!K25+'Metas 6 (ONU Mujeres)'!K25+'Metas 7 (Unidades Moviles)'!K25</f>
        <v>0</v>
      </c>
      <c r="AG6" s="911">
        <f>+'Metas 1'!L25+'Metas 2'!L25+'Metas 3'!L25+'Metas 4 (Contrato relevos)'!L25+'Metas 5'!L25+'Metas 6 (ONU Mujeres)'!L25+'Metas 7 (Unidades Moviles)'!L25</f>
        <v>0</v>
      </c>
      <c r="AH6" s="911">
        <f>+'Metas 1'!M25+'Metas 2'!M25+'Metas 3'!M25+'Metas 4 (Contrato relevos)'!M25+'Metas 5'!M25+'Metas 6 (ONU Mujeres)'!M25+'Metas 7 (Unidades Moviles)'!M25</f>
        <v>0</v>
      </c>
      <c r="AI6" s="911">
        <f>+'Metas 1'!N25+'Metas 2'!N25+'Metas 3'!N25+'Metas 4 (Contrato relevos)'!N25+'Metas 5'!N25+'Metas 6 (ONU Mujeres)'!N25+'Metas 7 (Unidades Moviles)'!N25</f>
        <v>0</v>
      </c>
      <c r="AJ6" s="911">
        <f>SUM(X6:AI6)</f>
        <v>1359933289</v>
      </c>
      <c r="AK6" s="912">
        <f>IFERROR(AJ6/(SUMIF(X6:AI6,"&gt;0",X5:AI5))," ")</f>
        <v>0.23719257705737298</v>
      </c>
      <c r="AL6" s="906">
        <v>978869481</v>
      </c>
    </row>
    <row r="8" spans="1:38" ht="28.5">
      <c r="A8" s="907"/>
      <c r="B8" s="908"/>
      <c r="C8" s="908"/>
      <c r="D8" s="908"/>
      <c r="E8" s="903" t="str">
        <f>+E2</f>
        <v>PROGRAMACION</v>
      </c>
      <c r="F8" s="903" t="s">
        <v>751</v>
      </c>
      <c r="G8" s="903"/>
      <c r="H8" s="903" t="s">
        <v>44</v>
      </c>
      <c r="I8" s="903" t="s">
        <v>45</v>
      </c>
      <c r="J8" s="903" t="s">
        <v>46</v>
      </c>
      <c r="K8" s="903" t="s">
        <v>47</v>
      </c>
      <c r="L8" s="903" t="s">
        <v>48</v>
      </c>
      <c r="M8" s="903" t="s">
        <v>49</v>
      </c>
      <c r="N8" s="903" t="s">
        <v>50</v>
      </c>
      <c r="O8" s="903" t="s">
        <v>51</v>
      </c>
      <c r="P8" s="903" t="s">
        <v>52</v>
      </c>
      <c r="Q8" s="903" t="s">
        <v>53</v>
      </c>
      <c r="R8" s="903" t="s">
        <v>54</v>
      </c>
      <c r="S8" s="903" t="s">
        <v>55</v>
      </c>
      <c r="T8" s="903" t="s">
        <v>35</v>
      </c>
      <c r="U8" s="903" t="s">
        <v>137</v>
      </c>
      <c r="W8" s="903"/>
      <c r="X8" s="903" t="s">
        <v>44</v>
      </c>
      <c r="Y8" s="903" t="s">
        <v>45</v>
      </c>
      <c r="Z8" s="903" t="s">
        <v>46</v>
      </c>
      <c r="AA8" s="903" t="s">
        <v>47</v>
      </c>
      <c r="AB8" s="903" t="s">
        <v>48</v>
      </c>
      <c r="AC8" s="903" t="s">
        <v>49</v>
      </c>
      <c r="AD8" s="903" t="s">
        <v>50</v>
      </c>
      <c r="AE8" s="903" t="s">
        <v>51</v>
      </c>
      <c r="AF8" s="903" t="s">
        <v>52</v>
      </c>
      <c r="AG8" s="903" t="s">
        <v>53</v>
      </c>
      <c r="AH8" s="903" t="s">
        <v>54</v>
      </c>
      <c r="AI8" s="903" t="s">
        <v>55</v>
      </c>
      <c r="AJ8" s="903" t="s">
        <v>35</v>
      </c>
      <c r="AK8" s="903" t="s">
        <v>137</v>
      </c>
    </row>
    <row r="9" spans="1:38">
      <c r="A9" s="914"/>
      <c r="B9" s="914" t="s">
        <v>752</v>
      </c>
      <c r="C9" s="914"/>
      <c r="D9" s="915"/>
    </row>
    <row r="10" spans="1:38">
      <c r="A10" s="916">
        <v>1</v>
      </c>
      <c r="B10" s="917" t="str">
        <f>+'Metas 1'!A34</f>
        <v xml:space="preserve">1. Diseñar 1 documento de lineamientos técnicos para la formulación de las bases del sistema distrital de cuidado. </v>
      </c>
      <c r="C10" s="918">
        <f>+'Metas 1'!B34</f>
        <v>0.1</v>
      </c>
      <c r="D10" s="919" t="s">
        <v>753</v>
      </c>
      <c r="E10" s="920">
        <v>340713963</v>
      </c>
      <c r="F10" s="920">
        <f>+T10</f>
        <v>340713963</v>
      </c>
      <c r="G10" s="920">
        <f t="shared" ref="G10:G51" si="0">E10-F10</f>
        <v>0</v>
      </c>
      <c r="H10" s="920">
        <f>+'Metas 1'!Q$22</f>
        <v>291713963</v>
      </c>
      <c r="I10" s="920">
        <f>+'Metas 1'!R$22</f>
        <v>0</v>
      </c>
      <c r="J10" s="920">
        <f>+'Metas 1'!S$22</f>
        <v>0</v>
      </c>
      <c r="K10" s="920">
        <f>+'Metas 1'!T$22</f>
        <v>0</v>
      </c>
      <c r="L10" s="920">
        <f>+'Metas 1'!U$22</f>
        <v>14000000</v>
      </c>
      <c r="M10" s="920">
        <f>+'Metas 1'!V$22</f>
        <v>0</v>
      </c>
      <c r="N10" s="920">
        <f>+'Metas 1'!W$22</f>
        <v>0</v>
      </c>
      <c r="O10" s="920">
        <f>+'Metas 1'!X$22</f>
        <v>35000000</v>
      </c>
      <c r="P10" s="920">
        <f>+'Metas 1'!Y$22</f>
        <v>0</v>
      </c>
      <c r="Q10" s="920">
        <f>+'Metas 1'!Z$22</f>
        <v>0</v>
      </c>
      <c r="R10" s="920">
        <f>+'Metas 1'!AA$22</f>
        <v>0</v>
      </c>
      <c r="S10" s="920">
        <f>+'Metas 1'!AB$22</f>
        <v>0</v>
      </c>
      <c r="T10" s="920">
        <f>+'Metas 1'!AC$22</f>
        <v>340713963</v>
      </c>
      <c r="U10" s="920">
        <f>+'Metas 1'!AD$22</f>
        <v>0</v>
      </c>
      <c r="V10" s="921"/>
      <c r="W10" s="922"/>
      <c r="X10" s="920">
        <f>+'Metas 1'!C$22</f>
        <v>0</v>
      </c>
      <c r="Y10" s="920">
        <f>+'Metas 1'!D$22</f>
        <v>0</v>
      </c>
      <c r="Z10" s="920">
        <f>+'Metas 1'!E$22</f>
        <v>0</v>
      </c>
      <c r="AA10" s="920">
        <f>+'Metas 1'!F$22</f>
        <v>0</v>
      </c>
      <c r="AB10" s="920">
        <f>+'Metas 1'!G$22</f>
        <v>0</v>
      </c>
      <c r="AC10" s="920">
        <f>+'Metas 1'!H$22</f>
        <v>0</v>
      </c>
      <c r="AD10" s="920">
        <f>+'Metas 1'!I$22</f>
        <v>0</v>
      </c>
      <c r="AE10" s="920">
        <f>+'Metas 1'!J$22</f>
        <v>0</v>
      </c>
      <c r="AF10" s="920">
        <f>+'Metas 1'!K$22</f>
        <v>0</v>
      </c>
      <c r="AG10" s="920">
        <f>+'Metas 1'!L$22</f>
        <v>0</v>
      </c>
      <c r="AH10" s="920">
        <f>+'Metas 1'!M$22</f>
        <v>0</v>
      </c>
      <c r="AI10" s="920">
        <f>+'Metas 1'!N$22</f>
        <v>0</v>
      </c>
      <c r="AJ10" s="920">
        <f>+'Metas 1'!O$22</f>
        <v>0</v>
      </c>
      <c r="AK10" s="920">
        <f>+'Metas 1'!P$22</f>
        <v>0</v>
      </c>
    </row>
    <row r="11" spans="1:38">
      <c r="A11" s="916"/>
      <c r="B11" s="917"/>
      <c r="C11" s="917"/>
      <c r="D11" s="919" t="s">
        <v>139</v>
      </c>
      <c r="E11" s="920"/>
      <c r="F11" s="920"/>
      <c r="G11" s="920">
        <f t="shared" si="0"/>
        <v>0</v>
      </c>
      <c r="H11" s="920">
        <f>+'Metas 1'!Q$23</f>
        <v>291713963</v>
      </c>
      <c r="I11" s="920">
        <f>+'Metas 1'!R$23</f>
        <v>0</v>
      </c>
      <c r="J11" s="920">
        <f>+'Metas 1'!S$23</f>
        <v>-5124327</v>
      </c>
      <c r="K11" s="920">
        <f>+'Metas 1'!T$23</f>
        <v>-1608166</v>
      </c>
      <c r="L11" s="920">
        <f>+'Metas 1'!U$23</f>
        <v>18226536</v>
      </c>
      <c r="M11" s="920">
        <f>+'Metas 1'!V$23</f>
        <v>0</v>
      </c>
      <c r="N11" s="920">
        <f>+'Metas 1'!W$23</f>
        <v>0</v>
      </c>
      <c r="O11" s="920">
        <f>+'Metas 1'!X$23</f>
        <v>0</v>
      </c>
      <c r="P11" s="920">
        <f>+'Metas 1'!Y$23</f>
        <v>0</v>
      </c>
      <c r="Q11" s="920">
        <f>+'Metas 1'!Z$23</f>
        <v>0</v>
      </c>
      <c r="R11" s="920">
        <f>+'Metas 1'!AA$23</f>
        <v>0</v>
      </c>
      <c r="S11" s="920">
        <f>+'Metas 1'!AB$23</f>
        <v>0</v>
      </c>
      <c r="T11" s="920">
        <f>+'Metas 1'!AC$23</f>
        <v>303208006</v>
      </c>
      <c r="U11" s="920">
        <f>+'Metas 1'!AD$23</f>
        <v>0.88991951879588804</v>
      </c>
      <c r="V11" s="921">
        <f>+T11/T10</f>
        <v>0.88991951879588804</v>
      </c>
      <c r="W11" s="922"/>
      <c r="X11" s="920">
        <f>+'Metas 1'!C$23</f>
        <v>706330045</v>
      </c>
      <c r="Y11" s="920">
        <f>+'Metas 1'!D$23</f>
        <v>0</v>
      </c>
      <c r="Z11" s="920">
        <f>+'Metas 1'!E$23</f>
        <v>-2744000</v>
      </c>
      <c r="AA11" s="920">
        <f>+'Metas 1'!F$23</f>
        <v>0</v>
      </c>
      <c r="AB11" s="920">
        <f>+'Metas 1'!G$23</f>
        <v>-179378</v>
      </c>
      <c r="AC11" s="920">
        <f>+'Metas 1'!H$23</f>
        <v>0</v>
      </c>
      <c r="AD11" s="920">
        <f>+'Metas 1'!I$23</f>
        <v>0</v>
      </c>
      <c r="AE11" s="920">
        <f>+'Metas 1'!J$23</f>
        <v>0</v>
      </c>
      <c r="AF11" s="920">
        <f>+'Metas 1'!K$23</f>
        <v>0</v>
      </c>
      <c r="AG11" s="920">
        <f>+'Metas 1'!L$23</f>
        <v>0</v>
      </c>
      <c r="AH11" s="920">
        <f>+'Metas 1'!M$23</f>
        <v>0</v>
      </c>
      <c r="AI11" s="920">
        <f>+'Metas 1'!N$23</f>
        <v>0</v>
      </c>
      <c r="AJ11" s="920">
        <f>+'Metas 1'!O$23</f>
        <v>703406667</v>
      </c>
      <c r="AK11" s="920">
        <f>+'Metas 1'!P$23</f>
        <v>0</v>
      </c>
    </row>
    <row r="12" spans="1:38" ht="30">
      <c r="A12" s="916"/>
      <c r="B12" s="917"/>
      <c r="C12" s="917"/>
      <c r="D12" s="919" t="s">
        <v>141</v>
      </c>
      <c r="E12" s="920">
        <v>340713963</v>
      </c>
      <c r="F12" s="920">
        <f>+T12</f>
        <v>340713963</v>
      </c>
      <c r="G12" s="920">
        <f t="shared" si="0"/>
        <v>0</v>
      </c>
      <c r="H12" s="920">
        <f>+'Metas 1'!Q$24</f>
        <v>0</v>
      </c>
      <c r="I12" s="920">
        <f>+'Metas 1'!R$24</f>
        <v>11192930</v>
      </c>
      <c r="J12" s="920">
        <f>+'Metas 1'!S$24</f>
        <v>25522700</v>
      </c>
      <c r="K12" s="920">
        <f>+'Metas 1'!T$24</f>
        <v>25522700</v>
      </c>
      <c r="L12" s="920">
        <f>+'Metas 1'!U$24</f>
        <v>25522700</v>
      </c>
      <c r="M12" s="920">
        <f>+'Metas 1'!V$24</f>
        <v>25522700</v>
      </c>
      <c r="N12" s="920">
        <f>+'Metas 1'!W$24</f>
        <v>39522700</v>
      </c>
      <c r="O12" s="920">
        <f>+'Metas 1'!X$24</f>
        <v>25522700</v>
      </c>
      <c r="P12" s="920">
        <f>+'Metas 1'!Y$24</f>
        <v>25522700</v>
      </c>
      <c r="Q12" s="920">
        <f>+'Metas 1'!Z$24</f>
        <v>25522700</v>
      </c>
      <c r="R12" s="920">
        <f>+'Metas 1'!AA$24</f>
        <v>32522700</v>
      </c>
      <c r="S12" s="920">
        <f>+'Metas 1'!AB$24</f>
        <v>78816733</v>
      </c>
      <c r="T12" s="920">
        <f>+'Metas 1'!AC$24</f>
        <v>340713963</v>
      </c>
      <c r="U12" s="920">
        <f>+'Metas 1'!AD$24</f>
        <v>0</v>
      </c>
      <c r="V12" s="921"/>
      <c r="W12" s="922"/>
      <c r="X12" s="920">
        <f>+'Metas 1'!C$24</f>
        <v>0</v>
      </c>
      <c r="Y12" s="920">
        <f>+'Metas 1'!D$24</f>
        <v>6150667</v>
      </c>
      <c r="Z12" s="920">
        <f>+'Metas 1'!E$24</f>
        <v>179378</v>
      </c>
      <c r="AA12" s="920">
        <f>+'Metas 1'!F$24</f>
        <v>697256000</v>
      </c>
      <c r="AB12" s="920">
        <f>+'Metas 1'!G$24</f>
        <v>0</v>
      </c>
      <c r="AC12" s="920">
        <f>+'Metas 1'!H$24</f>
        <v>0</v>
      </c>
      <c r="AD12" s="920">
        <f>+'Metas 1'!I$24</f>
        <v>0</v>
      </c>
      <c r="AE12" s="920">
        <f>+'Metas 1'!J$24</f>
        <v>0</v>
      </c>
      <c r="AF12" s="920">
        <f>+'Metas 1'!K$24</f>
        <v>0</v>
      </c>
      <c r="AG12" s="920">
        <f>+'Metas 1'!L$24</f>
        <v>0</v>
      </c>
      <c r="AH12" s="920">
        <f>+'Metas 1'!M$24</f>
        <v>0</v>
      </c>
      <c r="AI12" s="920">
        <f>+'Metas 1'!N$24</f>
        <v>0</v>
      </c>
      <c r="AJ12" s="920">
        <f>+'Metas 1'!O$24</f>
        <v>703586045</v>
      </c>
      <c r="AK12" s="920">
        <f>+'Metas 1'!P$24</f>
        <v>0</v>
      </c>
    </row>
    <row r="13" spans="1:38">
      <c r="A13" s="916"/>
      <c r="B13" s="917"/>
      <c r="C13" s="917"/>
      <c r="D13" s="919" t="s">
        <v>142</v>
      </c>
      <c r="E13" s="920"/>
      <c r="F13" s="920"/>
      <c r="G13" s="920">
        <f t="shared" si="0"/>
        <v>0</v>
      </c>
      <c r="H13" s="920">
        <f>+'Metas 1'!Q$25</f>
        <v>0</v>
      </c>
      <c r="I13" s="920">
        <f>+'Metas 1'!R$25</f>
        <v>6932787</v>
      </c>
      <c r="J13" s="920">
        <f>+'Metas 1'!S$25</f>
        <v>23074033</v>
      </c>
      <c r="K13" s="920">
        <f>+'Metas 1'!T$25</f>
        <v>27829900</v>
      </c>
      <c r="L13" s="920">
        <f>+'Metas 1'!U$25</f>
        <v>21252700</v>
      </c>
      <c r="M13" s="920">
        <f>+'Metas 1'!V$25</f>
        <v>0</v>
      </c>
      <c r="N13" s="920">
        <f>+'Metas 1'!W$25</f>
        <v>0</v>
      </c>
      <c r="O13" s="920">
        <f>+'Metas 1'!X$25</f>
        <v>0</v>
      </c>
      <c r="P13" s="920">
        <f>+'Metas 1'!Y$25</f>
        <v>0</v>
      </c>
      <c r="Q13" s="920">
        <f>+'Metas 1'!Z$25</f>
        <v>0</v>
      </c>
      <c r="R13" s="920">
        <f>+'Metas 1'!AA$25</f>
        <v>0</v>
      </c>
      <c r="S13" s="920">
        <f>+'Metas 1'!AB$25</f>
        <v>0</v>
      </c>
      <c r="T13" s="920">
        <f>+'Metas 1'!AC$25</f>
        <v>79089420</v>
      </c>
      <c r="U13" s="920">
        <f>+'Metas 1'!AD$25</f>
        <v>0.23212849659466406</v>
      </c>
      <c r="V13" s="921"/>
      <c r="W13" s="922"/>
      <c r="X13" s="920">
        <f>+'Metas 1'!C$25</f>
        <v>3150000</v>
      </c>
      <c r="Y13" s="920">
        <f>+'Metas 1'!D$25</f>
        <v>256667</v>
      </c>
      <c r="Z13" s="920">
        <f>+'Metas 1'!E$25</f>
        <v>400000000</v>
      </c>
      <c r="AA13" s="920">
        <f>+'Metas 1'!F$25</f>
        <v>0</v>
      </c>
      <c r="AB13" s="920">
        <f>+'Metas 1'!G$25</f>
        <v>300000000</v>
      </c>
      <c r="AC13" s="920">
        <f>+'Metas 1'!H$25</f>
        <v>0</v>
      </c>
      <c r="AD13" s="920">
        <f>+'Metas 1'!I$25</f>
        <v>0</v>
      </c>
      <c r="AE13" s="920">
        <f>+'Metas 1'!J$25</f>
        <v>0</v>
      </c>
      <c r="AF13" s="920">
        <f>+'Metas 1'!K$25</f>
        <v>0</v>
      </c>
      <c r="AG13" s="920">
        <f>+'Metas 1'!L$25</f>
        <v>0</v>
      </c>
      <c r="AH13" s="920">
        <f>+'Metas 1'!M$25</f>
        <v>0</v>
      </c>
      <c r="AI13" s="920">
        <f>+'Metas 1'!N$25</f>
        <v>0</v>
      </c>
      <c r="AJ13" s="920">
        <f>+'Metas 1'!O$25</f>
        <v>703406667</v>
      </c>
      <c r="AK13" s="920">
        <f>+'Metas 1'!P$25</f>
        <v>0.99974505179391382</v>
      </c>
    </row>
    <row r="14" spans="1:38">
      <c r="A14" s="916"/>
      <c r="B14" s="917"/>
      <c r="C14" s="917"/>
      <c r="D14" s="919" t="s">
        <v>754</v>
      </c>
      <c r="E14" s="923">
        <f>+Hoja1!$AS$32</f>
        <v>0</v>
      </c>
      <c r="F14" s="924">
        <f>+'Metas 1'!$W$17</f>
        <v>1</v>
      </c>
      <c r="G14" s="920">
        <f t="shared" si="0"/>
        <v>-1</v>
      </c>
      <c r="H14" s="925">
        <f>+'Metas 1'!D$34</f>
        <v>0.72113654999999999</v>
      </c>
      <c r="I14" s="925">
        <f>+'Metas 1'!E$34</f>
        <v>0.74927310000000003</v>
      </c>
      <c r="J14" s="925">
        <f>+'Metas 1'!F$34</f>
        <v>0.77740965000000006</v>
      </c>
      <c r="K14" s="925">
        <f>+'Metas 1'!G$34</f>
        <v>0.8055462000000001</v>
      </c>
      <c r="L14" s="925">
        <f>+'Metas 1'!H$34</f>
        <v>0.83368275000000014</v>
      </c>
      <c r="M14" s="925">
        <f>+'Metas 1'!I$34</f>
        <v>0.86181930000000018</v>
      </c>
      <c r="N14" s="925">
        <f>+'Metas 1'!J$34</f>
        <v>0.88482895000000017</v>
      </c>
      <c r="O14" s="925">
        <f>+'Metas 1'!K$34</f>
        <v>0.90783860000000016</v>
      </c>
      <c r="P14" s="925">
        <f>+'Metas 1'!L$34</f>
        <v>0.93084825000000015</v>
      </c>
      <c r="Q14" s="925">
        <f>+'Metas 1'!M$34</f>
        <v>0.95385790000000015</v>
      </c>
      <c r="R14" s="925">
        <f>+'Metas 1'!N$34</f>
        <v>0.97686755000000014</v>
      </c>
      <c r="S14" s="925">
        <f>+'Metas 1'!O$34</f>
        <v>0.99987720000000013</v>
      </c>
      <c r="T14" s="925">
        <f>+'Metas 1'!P$34</f>
        <v>0.99987720000000013</v>
      </c>
      <c r="U14" s="925">
        <f>+'Metas 1'!P$34</f>
        <v>0.99987720000000013</v>
      </c>
      <c r="V14" s="921"/>
      <c r="W14" s="926"/>
    </row>
    <row r="15" spans="1:38">
      <c r="A15" s="916"/>
      <c r="B15" s="917"/>
      <c r="C15" s="917"/>
      <c r="D15" s="919" t="s">
        <v>755</v>
      </c>
      <c r="E15" s="925"/>
      <c r="F15" s="925"/>
      <c r="G15" s="925">
        <f t="shared" si="0"/>
        <v>0</v>
      </c>
      <c r="H15" s="925">
        <f>+'Metas 1'!D$35</f>
        <v>0.72062999999999999</v>
      </c>
      <c r="I15" s="925">
        <f>+'Metas 1'!E$35</f>
        <v>0.74826000000000004</v>
      </c>
      <c r="J15" s="925">
        <f>+'Metas 1'!F$35</f>
        <v>0.77589000000000008</v>
      </c>
      <c r="K15" s="925" t="str">
        <f>+'Metas 1'!G$35</f>
        <v>0.80</v>
      </c>
      <c r="L15" s="925">
        <f>+'Metas 1'!H$35</f>
        <v>0.81580000000000008</v>
      </c>
      <c r="M15" s="925">
        <f>+'Metas 1'!I$35</f>
        <v>0.81580000000000008</v>
      </c>
      <c r="N15" s="925">
        <f>+'Metas 1'!J$35</f>
        <v>0.81580000000000008</v>
      </c>
      <c r="O15" s="925">
        <f>+'Metas 1'!K$35</f>
        <v>0.81580000000000008</v>
      </c>
      <c r="P15" s="925">
        <f>+'Metas 1'!L$35</f>
        <v>0.81580000000000008</v>
      </c>
      <c r="Q15" s="925">
        <f>+'Metas 1'!M$35</f>
        <v>0.81580000000000008</v>
      </c>
      <c r="R15" s="925">
        <f>+'Metas 1'!N$35</f>
        <v>0.81580000000000008</v>
      </c>
      <c r="S15" s="925">
        <f>+'Metas 1'!O$35</f>
        <v>0.81580000000000008</v>
      </c>
      <c r="T15" s="925">
        <f>+'Metas 1'!P$35</f>
        <v>0.81580000000000008</v>
      </c>
      <c r="U15" s="925">
        <f>+'Metas 1'!P$35</f>
        <v>0.81580000000000008</v>
      </c>
      <c r="V15" s="921"/>
      <c r="W15" s="926"/>
    </row>
    <row r="16" spans="1:38">
      <c r="A16" s="927">
        <f>+A10+1</f>
        <v>2</v>
      </c>
      <c r="B16" s="917" t="str">
        <f>+'Metas 2'!A34</f>
        <v>2. Coordinar y articular 13 secretarías del nivel distrital para la implementación del sistema distrital de cuidado</v>
      </c>
      <c r="C16" s="918">
        <f>+'Metas 2'!B34</f>
        <v>0.15000000000000002</v>
      </c>
      <c r="D16" s="919" t="s">
        <v>753</v>
      </c>
      <c r="E16" s="920">
        <v>254977520</v>
      </c>
      <c r="F16" s="920">
        <f>+T16</f>
        <v>254977520</v>
      </c>
      <c r="G16" s="920">
        <f t="shared" si="0"/>
        <v>0</v>
      </c>
      <c r="H16" s="920">
        <f>+'Metas 2'!Q$22</f>
        <v>205977520</v>
      </c>
      <c r="I16" s="920">
        <f>+'Metas 2'!R$22</f>
        <v>0</v>
      </c>
      <c r="J16" s="920">
        <f>+'Metas 2'!S$22</f>
        <v>0</v>
      </c>
      <c r="K16" s="920">
        <f>+'Metas 2'!T$22</f>
        <v>0</v>
      </c>
      <c r="L16" s="920">
        <f>+'Metas 2'!U$22</f>
        <v>16380000</v>
      </c>
      <c r="M16" s="920">
        <f>+'Metas 2'!V$22</f>
        <v>0</v>
      </c>
      <c r="N16" s="920">
        <f>+'Metas 2'!W$22</f>
        <v>0</v>
      </c>
      <c r="O16" s="920">
        <f>+'Metas 2'!X$22</f>
        <v>32620000</v>
      </c>
      <c r="P16" s="920">
        <f>+'Metas 2'!Y$22</f>
        <v>0</v>
      </c>
      <c r="Q16" s="920">
        <f>+'Metas 2'!Z$22</f>
        <v>0</v>
      </c>
      <c r="R16" s="920">
        <f>+'Metas 2'!AA$22</f>
        <v>0</v>
      </c>
      <c r="S16" s="920">
        <f>+'Metas 2'!AB$22</f>
        <v>0</v>
      </c>
      <c r="T16" s="920">
        <f>+'Metas 2'!AC$22</f>
        <v>254977520</v>
      </c>
      <c r="U16" s="920">
        <f>+'Metas 2'!AD$22</f>
        <v>0</v>
      </c>
      <c r="V16" s="921"/>
      <c r="W16" s="922"/>
      <c r="X16" s="920">
        <f>+'Metas 2'!C$22</f>
        <v>0</v>
      </c>
      <c r="Y16" s="920">
        <f>+'Metas 2'!D$22</f>
        <v>0</v>
      </c>
      <c r="Z16" s="920">
        <f>+'Metas 2'!E$22</f>
        <v>0</v>
      </c>
      <c r="AA16" s="920">
        <f>+'Metas 2'!F$22</f>
        <v>0</v>
      </c>
      <c r="AB16" s="920">
        <f>+'Metas 2'!G$22</f>
        <v>0</v>
      </c>
      <c r="AC16" s="920">
        <f>+'Metas 2'!H$22</f>
        <v>0</v>
      </c>
      <c r="AD16" s="920">
        <f>+'Metas 2'!I$22</f>
        <v>0</v>
      </c>
      <c r="AE16" s="920">
        <f>+'Metas 2'!J$22</f>
        <v>0</v>
      </c>
      <c r="AF16" s="920">
        <f>+'Metas 2'!K$22</f>
        <v>0</v>
      </c>
      <c r="AG16" s="920">
        <f>+'Metas 2'!L$22</f>
        <v>0</v>
      </c>
      <c r="AH16" s="920">
        <f>+'Metas 2'!M$22</f>
        <v>0</v>
      </c>
      <c r="AI16" s="920">
        <f>+'Metas 2'!N$22</f>
        <v>0</v>
      </c>
      <c r="AJ16" s="920">
        <f>+'Metas 2'!O$22</f>
        <v>0</v>
      </c>
      <c r="AK16" s="920">
        <f>+'Metas 2'!P$22</f>
        <v>0</v>
      </c>
    </row>
    <row r="17" spans="1:38">
      <c r="A17" s="928"/>
      <c r="B17" s="917"/>
      <c r="C17" s="917"/>
      <c r="D17" s="919" t="s">
        <v>139</v>
      </c>
      <c r="E17" s="920"/>
      <c r="F17" s="920"/>
      <c r="G17" s="920">
        <f t="shared" si="0"/>
        <v>0</v>
      </c>
      <c r="H17" s="920">
        <f>+'Metas 2'!Q$23</f>
        <v>205977520</v>
      </c>
      <c r="I17" s="920">
        <f>+'Metas 2'!R$23</f>
        <v>0</v>
      </c>
      <c r="J17" s="920">
        <f>+'Metas 2'!S$23</f>
        <v>-5618373</v>
      </c>
      <c r="K17" s="920">
        <f>+'Metas 2'!T$23</f>
        <v>-1771200</v>
      </c>
      <c r="L17" s="920">
        <f>+'Metas 2'!U$23</f>
        <v>18226535</v>
      </c>
      <c r="M17" s="920">
        <f>+'Metas 2'!V$23</f>
        <v>0</v>
      </c>
      <c r="N17" s="920">
        <f>+'Metas 2'!W$23</f>
        <v>0</v>
      </c>
      <c r="O17" s="920">
        <f>+'Metas 2'!X$23</f>
        <v>0</v>
      </c>
      <c r="P17" s="920">
        <f>+'Metas 2'!Y$23</f>
        <v>0</v>
      </c>
      <c r="Q17" s="920">
        <f>+'Metas 2'!Z$23</f>
        <v>0</v>
      </c>
      <c r="R17" s="920">
        <f>+'Metas 2'!AA$23</f>
        <v>0</v>
      </c>
      <c r="S17" s="920">
        <f>+'Metas 2'!AB$23</f>
        <v>0</v>
      </c>
      <c r="T17" s="920">
        <f>+'Metas 2'!AC$23</f>
        <v>216814482</v>
      </c>
      <c r="U17" s="920">
        <f>+'Metas 2'!AD$23</f>
        <v>0.85032783282228175</v>
      </c>
      <c r="V17" s="921">
        <f>+T17/T16</f>
        <v>0.85032783282228175</v>
      </c>
      <c r="W17" s="922"/>
      <c r="X17" s="920">
        <f>+'Metas 2'!C$23</f>
        <v>3608711</v>
      </c>
      <c r="Y17" s="920">
        <f>+'Metas 2'!D$23</f>
        <v>0</v>
      </c>
      <c r="Z17" s="920">
        <f>+'Metas 2'!E$23</f>
        <v>-3136000</v>
      </c>
      <c r="AA17" s="920">
        <f>+'Metas 2'!F$23</f>
        <v>0</v>
      </c>
      <c r="AB17" s="920">
        <f>+'Metas 2'!G$23</f>
        <v>-179378</v>
      </c>
      <c r="AC17" s="920">
        <f>+'Metas 2'!H$23</f>
        <v>0</v>
      </c>
      <c r="AD17" s="920">
        <f>+'Metas 2'!I$23</f>
        <v>0</v>
      </c>
      <c r="AE17" s="920">
        <f>+'Metas 2'!J$23</f>
        <v>0</v>
      </c>
      <c r="AF17" s="920">
        <f>+'Metas 2'!K$23</f>
        <v>0</v>
      </c>
      <c r="AG17" s="920">
        <f>+'Metas 2'!L$23</f>
        <v>0</v>
      </c>
      <c r="AH17" s="920">
        <f>+'Metas 2'!M$23</f>
        <v>0</v>
      </c>
      <c r="AI17" s="920">
        <f>+'Metas 2'!N$23</f>
        <v>0</v>
      </c>
      <c r="AJ17" s="920">
        <f>+'Metas 2'!O$23</f>
        <v>293333</v>
      </c>
      <c r="AK17" s="920" t="str">
        <f>+'Metas 2'!P$23</f>
        <v xml:space="preserve"> </v>
      </c>
    </row>
    <row r="18" spans="1:38" ht="30">
      <c r="A18" s="928"/>
      <c r="B18" s="917"/>
      <c r="C18" s="917"/>
      <c r="D18" s="919" t="s">
        <v>141</v>
      </c>
      <c r="E18" s="920">
        <v>254977520</v>
      </c>
      <c r="F18" s="920">
        <f>+T18</f>
        <v>254977520</v>
      </c>
      <c r="G18" s="920">
        <f t="shared" si="0"/>
        <v>0</v>
      </c>
      <c r="H18" s="920">
        <f>+'Metas 2'!Q$24</f>
        <v>0</v>
      </c>
      <c r="I18" s="920">
        <f>+'Metas 2'!R$24</f>
        <v>11266053</v>
      </c>
      <c r="J18" s="920">
        <f>+'Metas 2'!S$24</f>
        <v>17724800</v>
      </c>
      <c r="K18" s="920">
        <f>+'Metas 2'!T$24</f>
        <v>17724800</v>
      </c>
      <c r="L18" s="920">
        <f>+'Metas 2'!U$24</f>
        <v>17724800</v>
      </c>
      <c r="M18" s="920">
        <f>+'Metas 2'!V$24</f>
        <v>17724800</v>
      </c>
      <c r="N18" s="920">
        <f>+'Metas 2'!W$24</f>
        <v>34104800</v>
      </c>
      <c r="O18" s="920">
        <f>+'Metas 2'!X$24</f>
        <v>16931467</v>
      </c>
      <c r="P18" s="920">
        <f>+'Metas 2'!Y$24</f>
        <v>16931467</v>
      </c>
      <c r="Q18" s="920">
        <f>+'Metas 2'!Z$24</f>
        <v>16931466</v>
      </c>
      <c r="R18" s="920">
        <f>+'Metas 2'!AA$24</f>
        <v>24724800</v>
      </c>
      <c r="S18" s="920">
        <f>+'Metas 2'!AB$24</f>
        <v>63188267</v>
      </c>
      <c r="T18" s="920">
        <f>+'Metas 2'!AC$24</f>
        <v>254977520</v>
      </c>
      <c r="U18" s="920">
        <f>+'Metas 2'!AD$24</f>
        <v>0</v>
      </c>
      <c r="V18" s="921"/>
      <c r="W18" s="922"/>
      <c r="X18" s="920">
        <f>+'Metas 2'!C$24</f>
        <v>0</v>
      </c>
      <c r="Y18" s="920">
        <f>+'Metas 2'!D$24</f>
        <v>293333</v>
      </c>
      <c r="Z18" s="920">
        <f>+'Metas 2'!E$24</f>
        <v>179378</v>
      </c>
      <c r="AA18" s="920">
        <f>+'Metas 2'!F$24</f>
        <v>0</v>
      </c>
      <c r="AB18" s="920">
        <f>+'Metas 2'!G$24</f>
        <v>0</v>
      </c>
      <c r="AC18" s="920">
        <f>+'Metas 2'!H$24</f>
        <v>0</v>
      </c>
      <c r="AD18" s="920">
        <f>+'Metas 2'!I$24</f>
        <v>0</v>
      </c>
      <c r="AE18" s="920">
        <f>+'Metas 2'!J$24</f>
        <v>0</v>
      </c>
      <c r="AF18" s="920">
        <f>+'Metas 2'!K$24</f>
        <v>0</v>
      </c>
      <c r="AG18" s="920">
        <f>+'Metas 2'!L$24</f>
        <v>0</v>
      </c>
      <c r="AH18" s="920">
        <f>+'Metas 2'!M$24</f>
        <v>0</v>
      </c>
      <c r="AI18" s="920">
        <f>+'Metas 2'!N$24</f>
        <v>0</v>
      </c>
      <c r="AJ18" s="920">
        <f>+'Metas 2'!O$24</f>
        <v>472711</v>
      </c>
      <c r="AK18" s="920">
        <f>+'Metas 2'!P$24</f>
        <v>0</v>
      </c>
    </row>
    <row r="19" spans="1:38">
      <c r="A19" s="928"/>
      <c r="B19" s="917"/>
      <c r="C19" s="917"/>
      <c r="D19" s="919" t="s">
        <v>142</v>
      </c>
      <c r="E19" s="920"/>
      <c r="F19" s="920"/>
      <c r="G19" s="920">
        <f t="shared" si="0"/>
        <v>0</v>
      </c>
      <c r="H19" s="920">
        <f>+'Metas 2'!Q$25</f>
        <v>0</v>
      </c>
      <c r="I19" s="920">
        <f>+'Metas 2'!R$25</f>
        <v>4014213</v>
      </c>
      <c r="J19" s="920">
        <f>+'Metas 2'!S$25</f>
        <v>16927467</v>
      </c>
      <c r="K19" s="920">
        <f>+'Metas 2'!T$25</f>
        <v>18493867</v>
      </c>
      <c r="L19" s="920">
        <f>+'Metas 2'!U$25</f>
        <v>12844800</v>
      </c>
      <c r="M19" s="920">
        <f>+'Metas 2'!V$25</f>
        <v>0</v>
      </c>
      <c r="N19" s="920">
        <f>+'Metas 2'!W$25</f>
        <v>0</v>
      </c>
      <c r="O19" s="920">
        <f>+'Metas 2'!X$25</f>
        <v>0</v>
      </c>
      <c r="P19" s="920">
        <f>+'Metas 2'!Y$25</f>
        <v>0</v>
      </c>
      <c r="Q19" s="920">
        <f>+'Metas 2'!Z$25</f>
        <v>0</v>
      </c>
      <c r="R19" s="920">
        <f>+'Metas 2'!AA$25</f>
        <v>0</v>
      </c>
      <c r="S19" s="920">
        <f>+'Metas 2'!AB$25</f>
        <v>0</v>
      </c>
      <c r="T19" s="920">
        <f>+'Metas 2'!AC$25</f>
        <v>52280347</v>
      </c>
      <c r="U19" s="920">
        <f>+'Metas 2'!AD$25</f>
        <v>0.20503904422633024</v>
      </c>
      <c r="V19" s="921"/>
      <c r="W19" s="922"/>
      <c r="X19" s="920">
        <f>+'Metas 2'!C$25</f>
        <v>0</v>
      </c>
      <c r="Y19" s="920">
        <f>+'Metas 2'!D$25</f>
        <v>293333</v>
      </c>
      <c r="Z19" s="920">
        <f>+'Metas 2'!E$25</f>
        <v>0</v>
      </c>
      <c r="AA19" s="920">
        <f>+'Metas 2'!F$25</f>
        <v>0</v>
      </c>
      <c r="AB19" s="920">
        <f>+'Metas 2'!G$25</f>
        <v>0</v>
      </c>
      <c r="AC19" s="920">
        <f>+'Metas 2'!H$25</f>
        <v>0</v>
      </c>
      <c r="AD19" s="920">
        <f>+'Metas 2'!I$25</f>
        <v>0</v>
      </c>
      <c r="AE19" s="920">
        <f>+'Metas 2'!J$25</f>
        <v>0</v>
      </c>
      <c r="AF19" s="920">
        <f>+'Metas 2'!K$25</f>
        <v>0</v>
      </c>
      <c r="AG19" s="920">
        <f>+'Metas 2'!L$25</f>
        <v>0</v>
      </c>
      <c r="AH19" s="920">
        <f>+'Metas 2'!M$25</f>
        <v>0</v>
      </c>
      <c r="AI19" s="920">
        <f>+'Metas 2'!N$25</f>
        <v>0</v>
      </c>
      <c r="AJ19" s="920">
        <f>+'Metas 2'!O$25</f>
        <v>293333</v>
      </c>
      <c r="AK19" s="920">
        <f>+'Metas 2'!P$25</f>
        <v>0.62053347605619502</v>
      </c>
    </row>
    <row r="20" spans="1:38">
      <c r="A20" s="928"/>
      <c r="B20" s="917"/>
      <c r="C20" s="917"/>
      <c r="D20" s="919" t="s">
        <v>754</v>
      </c>
      <c r="E20" s="923">
        <f>+Hoja1!$AS$33</f>
        <v>0</v>
      </c>
      <c r="F20" s="924">
        <f>+'Metas 2'!$W$17</f>
        <v>13</v>
      </c>
      <c r="G20" s="924">
        <f t="shared" si="0"/>
        <v>-13</v>
      </c>
      <c r="H20" s="924">
        <f>+'Metas 2'!D$34</f>
        <v>13</v>
      </c>
      <c r="I20" s="924">
        <f>+'Metas 2'!E$34</f>
        <v>13</v>
      </c>
      <c r="J20" s="924">
        <f>+'Metas 2'!F$34</f>
        <v>13</v>
      </c>
      <c r="K20" s="924">
        <f>+'Metas 2'!G$34</f>
        <v>13</v>
      </c>
      <c r="L20" s="924">
        <f>+'Metas 2'!H$34</f>
        <v>13</v>
      </c>
      <c r="M20" s="924">
        <f>+'Metas 2'!I$34</f>
        <v>13</v>
      </c>
      <c r="N20" s="924">
        <f>+'Metas 2'!J$34</f>
        <v>13</v>
      </c>
      <c r="O20" s="924">
        <f>+'Metas 2'!K$34</f>
        <v>13</v>
      </c>
      <c r="P20" s="924">
        <f>+'Metas 2'!L$34</f>
        <v>13</v>
      </c>
      <c r="Q20" s="924">
        <f>+'Metas 2'!M$34</f>
        <v>13</v>
      </c>
      <c r="R20" s="924">
        <f>+'Metas 2'!N$34</f>
        <v>13</v>
      </c>
      <c r="S20" s="924">
        <f>+'Metas 2'!O$34</f>
        <v>13</v>
      </c>
      <c r="T20" s="923">
        <f>+'Metas 2'!P$34</f>
        <v>13</v>
      </c>
      <c r="U20" s="929">
        <f>+'Metas 2'!P$34</f>
        <v>13</v>
      </c>
      <c r="V20" s="921"/>
      <c r="W20" s="926"/>
    </row>
    <row r="21" spans="1:38">
      <c r="A21" s="930"/>
      <c r="B21" s="917"/>
      <c r="C21" s="917"/>
      <c r="D21" s="919" t="s">
        <v>755</v>
      </c>
      <c r="E21" s="925"/>
      <c r="F21" s="925"/>
      <c r="G21" s="925">
        <f t="shared" si="0"/>
        <v>0</v>
      </c>
      <c r="H21" s="925">
        <f>+'Metas 2'!D$35</f>
        <v>0</v>
      </c>
      <c r="I21" s="925">
        <f>+'Metas 2'!E$35</f>
        <v>13</v>
      </c>
      <c r="J21" s="925">
        <f>+'Metas 2'!F$35</f>
        <v>13</v>
      </c>
      <c r="K21" s="925">
        <f>+'Metas 2'!G$35</f>
        <v>13</v>
      </c>
      <c r="L21" s="925">
        <f>+'Metas 2'!H$35</f>
        <v>13</v>
      </c>
      <c r="M21" s="925">
        <f>+'Metas 2'!I$35</f>
        <v>0</v>
      </c>
      <c r="N21" s="925">
        <f>+'Metas 2'!J$35</f>
        <v>0</v>
      </c>
      <c r="O21" s="925">
        <f>+'Metas 2'!K$35</f>
        <v>0</v>
      </c>
      <c r="P21" s="925">
        <f>+'Metas 2'!L$35</f>
        <v>0</v>
      </c>
      <c r="Q21" s="925">
        <f>+'Metas 2'!M$35</f>
        <v>0</v>
      </c>
      <c r="R21" s="925">
        <f>+'Metas 2'!N$35</f>
        <v>0</v>
      </c>
      <c r="S21" s="925">
        <f>+'Metas 2'!O$35</f>
        <v>0</v>
      </c>
      <c r="T21" s="931">
        <f>+'Metas 2'!P$35</f>
        <v>13</v>
      </c>
      <c r="U21" s="929">
        <f>+'Metas 2'!P$35</f>
        <v>13</v>
      </c>
      <c r="V21" s="921"/>
      <c r="W21" s="926"/>
    </row>
    <row r="22" spans="1:38">
      <c r="A22" s="927">
        <f>+A16+1</f>
        <v>3</v>
      </c>
      <c r="B22" s="917" t="str">
        <f>+'Metas 3'!A34</f>
        <v>3. Gestionar 1 estrategia para la adecuación de infraestructura de manzanas de cuidado</v>
      </c>
      <c r="C22" s="918">
        <f>+'Metas 3'!B34</f>
        <v>0.15000000000000002</v>
      </c>
      <c r="D22" s="919" t="s">
        <v>753</v>
      </c>
      <c r="E22" s="920">
        <v>2501008965</v>
      </c>
      <c r="F22" s="920">
        <f>+T22</f>
        <v>2501008965</v>
      </c>
      <c r="G22" s="920">
        <f t="shared" si="0"/>
        <v>0</v>
      </c>
      <c r="H22" s="920">
        <f>+'Metas 3'!Q$22</f>
        <v>2207643126</v>
      </c>
      <c r="I22" s="920">
        <f>+'Metas 3'!R$22</f>
        <v>22500000</v>
      </c>
      <c r="J22" s="920">
        <f>+'Metas 3'!S$22</f>
        <v>0</v>
      </c>
      <c r="K22" s="920">
        <f>+'Metas 3'!T$22</f>
        <v>19980500</v>
      </c>
      <c r="L22" s="920">
        <f>+'Metas 3'!U$22</f>
        <v>147905833</v>
      </c>
      <c r="M22" s="920">
        <f>+'Metas 3'!V$22</f>
        <v>10479506</v>
      </c>
      <c r="N22" s="920">
        <f>+'Metas 3'!W$22</f>
        <v>15000000</v>
      </c>
      <c r="O22" s="920">
        <f>+'Metas 3'!X$22</f>
        <v>77500000</v>
      </c>
      <c r="P22" s="920">
        <f>+'Metas 3'!Y$22</f>
        <v>0</v>
      </c>
      <c r="Q22" s="920">
        <f>+'Metas 3'!Z$22</f>
        <v>0</v>
      </c>
      <c r="R22" s="920">
        <f>+'Metas 3'!AA$22</f>
        <v>0</v>
      </c>
      <c r="S22" s="920">
        <f>+'Metas 3'!AB$22</f>
        <v>0</v>
      </c>
      <c r="T22" s="920">
        <f>+'Metas 3'!AC$22</f>
        <v>2501008965</v>
      </c>
      <c r="U22" s="920">
        <f>+'Metas 3'!AD$22</f>
        <v>0</v>
      </c>
      <c r="V22" s="921"/>
      <c r="W22" s="922"/>
      <c r="X22" s="920">
        <f>+'Metas 3'!C$22</f>
        <v>0</v>
      </c>
      <c r="Y22" s="920">
        <f>+'Metas 3'!D$22</f>
        <v>0</v>
      </c>
      <c r="Z22" s="920">
        <f>+'Metas 3'!E$22</f>
        <v>0</v>
      </c>
      <c r="AA22" s="920">
        <f>+'Metas 3'!F$22</f>
        <v>0</v>
      </c>
      <c r="AB22" s="920">
        <f>+'Metas 3'!G$22</f>
        <v>0</v>
      </c>
      <c r="AC22" s="920">
        <f>+'Metas 3'!H$22</f>
        <v>0</v>
      </c>
      <c r="AD22" s="920">
        <f>+'Metas 3'!I$22</f>
        <v>0</v>
      </c>
      <c r="AE22" s="920">
        <f>+'Metas 3'!J$22</f>
        <v>0</v>
      </c>
      <c r="AF22" s="920">
        <f>+'Metas 3'!K$22</f>
        <v>0</v>
      </c>
      <c r="AG22" s="920">
        <f>+'Metas 3'!L$22</f>
        <v>0</v>
      </c>
      <c r="AH22" s="920">
        <f>+'Metas 3'!M$22</f>
        <v>0</v>
      </c>
      <c r="AI22" s="920">
        <f>+'Metas 3'!N$22</f>
        <v>0</v>
      </c>
      <c r="AJ22" s="920">
        <f>+'Metas 3'!O$22</f>
        <v>0</v>
      </c>
      <c r="AK22" s="920">
        <f>+'Metas 3'!P$22</f>
        <v>0</v>
      </c>
    </row>
    <row r="23" spans="1:38">
      <c r="A23" s="928"/>
      <c r="B23" s="917"/>
      <c r="C23" s="917"/>
      <c r="D23" s="919" t="s">
        <v>139</v>
      </c>
      <c r="E23" s="920"/>
      <c r="F23" s="920"/>
      <c r="G23" s="920">
        <f t="shared" si="0"/>
        <v>0</v>
      </c>
      <c r="H23" s="920">
        <f>+'Metas 3'!Q$23</f>
        <v>2170219796</v>
      </c>
      <c r="I23" s="920">
        <f>+'Metas 3'!R$23</f>
        <v>0</v>
      </c>
      <c r="J23" s="920">
        <f>+'Metas 3'!S$23</f>
        <v>-3824755</v>
      </c>
      <c r="K23" s="920">
        <f>+'Metas 3'!T$23</f>
        <v>4605844</v>
      </c>
      <c r="L23" s="920">
        <f>+'Metas 3'!U$23</f>
        <v>21830326</v>
      </c>
      <c r="M23" s="920">
        <f>+'Metas 3'!V$23</f>
        <v>0</v>
      </c>
      <c r="N23" s="920">
        <f>+'Metas 3'!W$23</f>
        <v>0</v>
      </c>
      <c r="O23" s="920">
        <f>+'Metas 3'!X$23</f>
        <v>0</v>
      </c>
      <c r="P23" s="920">
        <f>+'Metas 3'!Y$23</f>
        <v>0</v>
      </c>
      <c r="Q23" s="920">
        <f>+'Metas 3'!Z$23</f>
        <v>0</v>
      </c>
      <c r="R23" s="920">
        <f>+'Metas 3'!AA$23</f>
        <v>0</v>
      </c>
      <c r="S23" s="920">
        <f>+'Metas 3'!AB$23</f>
        <v>0</v>
      </c>
      <c r="T23" s="920">
        <f>+'Metas 3'!AC$23</f>
        <v>2192831211</v>
      </c>
      <c r="U23" s="920">
        <f>+'Metas 3'!AD$23</f>
        <v>0.87677862882030888</v>
      </c>
      <c r="V23" s="921">
        <f>+T23/T22</f>
        <v>0.87677862882030888</v>
      </c>
      <c r="W23" s="922"/>
      <c r="X23" s="920">
        <f>+'Metas 3'!C$23</f>
        <v>82795794</v>
      </c>
      <c r="Y23" s="920">
        <f>+'Metas 3'!D$23</f>
        <v>0</v>
      </c>
      <c r="Z23" s="920">
        <f>+'Metas 3'!E$23</f>
        <v>-2744000</v>
      </c>
      <c r="AA23" s="920">
        <f>+'Metas 3'!F$23</f>
        <v>0</v>
      </c>
      <c r="AB23" s="920">
        <f>+'Metas 3'!G$23</f>
        <v>-205003</v>
      </c>
      <c r="AC23" s="920">
        <f>+'Metas 3'!H$23</f>
        <v>0</v>
      </c>
      <c r="AD23" s="920">
        <f>+'Metas 3'!I$23</f>
        <v>0</v>
      </c>
      <c r="AE23" s="920">
        <f>+'Metas 3'!J$23</f>
        <v>0</v>
      </c>
      <c r="AF23" s="920">
        <f>+'Metas 3'!K$23</f>
        <v>0</v>
      </c>
      <c r="AG23" s="920">
        <f>+'Metas 3'!L$23</f>
        <v>0</v>
      </c>
      <c r="AH23" s="920">
        <f>+'Metas 3'!M$23</f>
        <v>0</v>
      </c>
      <c r="AI23" s="920">
        <f>+'Metas 3'!N$23</f>
        <v>0</v>
      </c>
      <c r="AJ23" s="920">
        <f>+'Metas 3'!O$23</f>
        <v>79846791</v>
      </c>
      <c r="AK23" s="920" t="str">
        <f>+'Metas 3'!P$23</f>
        <v xml:space="preserve"> </v>
      </c>
    </row>
    <row r="24" spans="1:38" ht="30">
      <c r="A24" s="928"/>
      <c r="B24" s="917"/>
      <c r="C24" s="917"/>
      <c r="D24" s="919" t="s">
        <v>141</v>
      </c>
      <c r="E24" s="920">
        <v>2501008965</v>
      </c>
      <c r="F24" s="920">
        <f>+T24</f>
        <v>2501008965</v>
      </c>
      <c r="G24" s="920">
        <f t="shared" si="0"/>
        <v>0</v>
      </c>
      <c r="H24" s="920">
        <f>+'Metas 3'!Q$24</f>
        <v>0</v>
      </c>
      <c r="I24" s="920">
        <f>+'Metas 3'!R$24</f>
        <v>102901451.99999993</v>
      </c>
      <c r="J24" s="920">
        <f>+'Metas 3'!S$24</f>
        <v>191360940</v>
      </c>
      <c r="K24" s="920">
        <f>+'Metas 3'!T$24</f>
        <v>194735940</v>
      </c>
      <c r="L24" s="920">
        <f>+'Metas 3'!U$24</f>
        <v>193580996</v>
      </c>
      <c r="M24" s="920">
        <f>+'Metas 3'!V$24</f>
        <v>213334225</v>
      </c>
      <c r="N24" s="920">
        <f>+'Metas 3'!W$24</f>
        <v>222584225</v>
      </c>
      <c r="O24" s="920">
        <f>+'Metas 3'!X$24</f>
        <v>230877557</v>
      </c>
      <c r="P24" s="920">
        <f>+'Metas 3'!Y$24</f>
        <v>217063730</v>
      </c>
      <c r="Q24" s="920">
        <f>+'Metas 3'!Z$24</f>
        <v>223377557</v>
      </c>
      <c r="R24" s="920">
        <f>+'Metas 3'!AA$24</f>
        <v>239459225</v>
      </c>
      <c r="S24" s="920">
        <f>+'Metas 3'!AB$24</f>
        <v>471733118</v>
      </c>
      <c r="T24" s="920">
        <f>+'Metas 3'!AC$24</f>
        <v>2501008965</v>
      </c>
      <c r="U24" s="920">
        <f>+'Metas 3'!AD$24</f>
        <v>0</v>
      </c>
      <c r="V24" s="921"/>
      <c r="W24" s="922"/>
      <c r="X24" s="920">
        <f>+'Metas 3'!C$24</f>
        <v>0</v>
      </c>
      <c r="Y24" s="920">
        <f>+'Metas 3'!D$24</f>
        <v>12368266</v>
      </c>
      <c r="Z24" s="920">
        <f>+'Metas 3'!E$24</f>
        <v>66508528</v>
      </c>
      <c r="AA24" s="920">
        <f>+'Metas 3'!F$24</f>
        <v>1175000</v>
      </c>
      <c r="AB24" s="920">
        <f>+'Metas 3'!G$24</f>
        <v>0</v>
      </c>
      <c r="AC24" s="920">
        <f>+'Metas 3'!H$24</f>
        <v>0</v>
      </c>
      <c r="AD24" s="920">
        <f>+'Metas 3'!I$24</f>
        <v>0</v>
      </c>
      <c r="AE24" s="920">
        <f>+'Metas 3'!J$24</f>
        <v>0</v>
      </c>
      <c r="AF24" s="920">
        <f>+'Metas 3'!K$24</f>
        <v>0</v>
      </c>
      <c r="AG24" s="920">
        <f>+'Metas 3'!L$24</f>
        <v>0</v>
      </c>
      <c r="AH24" s="920">
        <f>+'Metas 3'!M$24</f>
        <v>0</v>
      </c>
      <c r="AI24" s="920">
        <f>+'Metas 3'!N$24</f>
        <v>0</v>
      </c>
      <c r="AJ24" s="920">
        <f>+'Metas 3'!O$24</f>
        <v>80051794</v>
      </c>
      <c r="AK24" s="920">
        <f>+'Metas 3'!P$24</f>
        <v>0</v>
      </c>
    </row>
    <row r="25" spans="1:38">
      <c r="A25" s="928"/>
      <c r="B25" s="917"/>
      <c r="C25" s="917"/>
      <c r="D25" s="919" t="s">
        <v>142</v>
      </c>
      <c r="E25" s="920"/>
      <c r="F25" s="920"/>
      <c r="G25" s="920">
        <f t="shared" si="0"/>
        <v>0</v>
      </c>
      <c r="H25" s="920">
        <f>+'Metas 3'!Q$25</f>
        <v>0</v>
      </c>
      <c r="I25" s="920">
        <f>+'Metas 3'!R$25</f>
        <v>33390260</v>
      </c>
      <c r="J25" s="920">
        <f>+'Metas 3'!S$25</f>
        <v>185862787</v>
      </c>
      <c r="K25" s="920">
        <f>+'Metas 3'!T$25</f>
        <v>190808174</v>
      </c>
      <c r="L25" s="920">
        <f>+'Metas 3'!U$25</f>
        <v>191961100</v>
      </c>
      <c r="M25" s="920">
        <f>+'Metas 3'!V$25</f>
        <v>0</v>
      </c>
      <c r="N25" s="920">
        <f>+'Metas 3'!W$25</f>
        <v>0</v>
      </c>
      <c r="O25" s="920">
        <f>+'Metas 3'!X$25</f>
        <v>0</v>
      </c>
      <c r="P25" s="920">
        <f>+'Metas 3'!Y$25</f>
        <v>0</v>
      </c>
      <c r="Q25" s="920">
        <f>+'Metas 3'!Z$25</f>
        <v>0</v>
      </c>
      <c r="R25" s="920">
        <f>+'Metas 3'!AA$25</f>
        <v>0</v>
      </c>
      <c r="S25" s="920">
        <f>+'Metas 3'!AB$25</f>
        <v>0</v>
      </c>
      <c r="T25" s="920">
        <f>+'Metas 3'!AC$25</f>
        <v>602022321</v>
      </c>
      <c r="U25" s="920">
        <f>+'Metas 3'!AD$25</f>
        <v>0.24071178049535699</v>
      </c>
      <c r="V25" s="921"/>
      <c r="W25" s="922"/>
      <c r="X25" s="920">
        <f>+'Metas 3'!C$25</f>
        <v>7349999.9999999991</v>
      </c>
      <c r="Y25" s="920">
        <f>+'Metas 3'!D$25</f>
        <v>2274267</v>
      </c>
      <c r="Z25" s="920">
        <f>+'Metas 3'!E$25</f>
        <v>61205245</v>
      </c>
      <c r="AA25" s="920">
        <f>+'Metas 3'!F$25</f>
        <v>1175000</v>
      </c>
      <c r="AB25" s="920">
        <f>+'Metas 3'!G$25</f>
        <v>2455084</v>
      </c>
      <c r="AC25" s="920">
        <f>+'Metas 3'!H$25</f>
        <v>0</v>
      </c>
      <c r="AD25" s="920">
        <f>+'Metas 3'!I$25</f>
        <v>0</v>
      </c>
      <c r="AE25" s="920">
        <f>+'Metas 3'!J$25</f>
        <v>0</v>
      </c>
      <c r="AF25" s="920">
        <f>+'Metas 3'!K$25</f>
        <v>0</v>
      </c>
      <c r="AG25" s="920">
        <f>+'Metas 3'!L$25</f>
        <v>0</v>
      </c>
      <c r="AH25" s="920">
        <f>+'Metas 3'!M$25</f>
        <v>0</v>
      </c>
      <c r="AI25" s="920">
        <f>+'Metas 3'!N$25</f>
        <v>0</v>
      </c>
      <c r="AJ25" s="920">
        <f>+'Metas 3'!O$25</f>
        <v>74459596</v>
      </c>
      <c r="AK25" s="920">
        <f>+'Metas 3'!P$25</f>
        <v>0.93014275232857369</v>
      </c>
    </row>
    <row r="26" spans="1:38">
      <c r="A26" s="928"/>
      <c r="B26" s="917"/>
      <c r="C26" s="917"/>
      <c r="D26" s="919" t="s">
        <v>754</v>
      </c>
      <c r="E26" s="923">
        <f>+Hoja1!$AS$34</f>
        <v>0</v>
      </c>
      <c r="F26" s="924">
        <f>+'Metas 3'!W17</f>
        <v>0.25</v>
      </c>
      <c r="G26" s="924">
        <f t="shared" si="0"/>
        <v>-0.25</v>
      </c>
      <c r="H26" s="925">
        <f>+'Metas 3'!D$34</f>
        <v>2.3083333333333331E-2</v>
      </c>
      <c r="I26" s="925">
        <f>+'Metas 3'!E$34</f>
        <v>2.0833333333333332E-2</v>
      </c>
      <c r="J26" s="925">
        <f>+'Metas 3'!F$34</f>
        <v>2.0833333333333332E-2</v>
      </c>
      <c r="K26" s="925">
        <f>+'Metas 3'!G$34</f>
        <v>2.0833333333333332E-2</v>
      </c>
      <c r="L26" s="925">
        <f>+'Metas 3'!H$34</f>
        <v>2.0833333333333332E-2</v>
      </c>
      <c r="M26" s="925">
        <f>+'Metas 3'!I$34</f>
        <v>2.0833333333333332E-2</v>
      </c>
      <c r="N26" s="925">
        <f>+'Metas 3'!J$34</f>
        <v>2.0833333333333332E-2</v>
      </c>
      <c r="O26" s="925">
        <f>+'Metas 3'!K$34</f>
        <v>2.0833333333333332E-2</v>
      </c>
      <c r="P26" s="925">
        <f>+'Metas 3'!L$34</f>
        <v>2.0833333333333332E-2</v>
      </c>
      <c r="Q26" s="925">
        <f>+'Metas 3'!M$34</f>
        <v>2.0833333333333332E-2</v>
      </c>
      <c r="R26" s="925">
        <f>+'Metas 3'!N$34</f>
        <v>2.0833333333333332E-2</v>
      </c>
      <c r="S26" s="925">
        <f>+'Metas 3'!O$34</f>
        <v>2.0833333333333332E-2</v>
      </c>
      <c r="T26" s="925">
        <f>+'Metas 3'!P$34</f>
        <v>0.25225000000000003</v>
      </c>
      <c r="U26" s="925">
        <f>+'Metas 3'!P$34</f>
        <v>0.25225000000000003</v>
      </c>
      <c r="V26" s="921"/>
      <c r="W26" s="926"/>
    </row>
    <row r="27" spans="1:38">
      <c r="A27" s="930"/>
      <c r="B27" s="917"/>
      <c r="C27" s="917"/>
      <c r="D27" s="919" t="s">
        <v>755</v>
      </c>
      <c r="E27" s="925"/>
      <c r="F27" s="925"/>
      <c r="G27" s="925">
        <f t="shared" si="0"/>
        <v>0</v>
      </c>
      <c r="H27" s="925">
        <f>+'Metas 3'!D$35</f>
        <v>1.5583333333333334E-2</v>
      </c>
      <c r="I27" s="925">
        <f>+'Metas 3'!E$35</f>
        <v>0.02</v>
      </c>
      <c r="J27" s="925">
        <f>+'Metas 3'!F$35</f>
        <v>2.6666666666666668E-2</v>
      </c>
      <c r="K27" s="925">
        <f>+'Metas 3'!G$35</f>
        <v>0.02</v>
      </c>
      <c r="L27" s="925">
        <f>+'Metas 3'!H$35</f>
        <v>2.1000000000000001E-2</v>
      </c>
      <c r="M27" s="925">
        <f>+'Metas 3'!I$35</f>
        <v>0</v>
      </c>
      <c r="N27" s="925">
        <f>+'Metas 3'!J$35</f>
        <v>0</v>
      </c>
      <c r="O27" s="925">
        <f>+'Metas 3'!K$35</f>
        <v>0</v>
      </c>
      <c r="P27" s="925">
        <f>+'Metas 3'!L$35</f>
        <v>0</v>
      </c>
      <c r="Q27" s="925">
        <f>+'Metas 3'!M$35</f>
        <v>0</v>
      </c>
      <c r="R27" s="925">
        <f>+'Metas 3'!N$35</f>
        <v>0</v>
      </c>
      <c r="S27" s="925">
        <f>+'Metas 3'!O$35</f>
        <v>0</v>
      </c>
      <c r="T27" s="931">
        <f>+'Metas 3'!P$35</f>
        <v>0.10325000000000001</v>
      </c>
      <c r="U27" s="925">
        <f>+'Metas 3'!P$35</f>
        <v>0.10325000000000001</v>
      </c>
      <c r="V27" s="921"/>
      <c r="W27" s="926"/>
    </row>
    <row r="28" spans="1:38">
      <c r="A28" s="927">
        <f>+A22+1</f>
        <v>4</v>
      </c>
      <c r="B28" s="917" t="str">
        <f>+'Metas 4 (Contrato relevos)'!A34</f>
        <v>4. Diseñar e implementar 1 estrategia de cuidado a cuidadoras.</v>
      </c>
      <c r="C28" s="918">
        <f>+'Metas 4 (Contrato relevos)'!B34</f>
        <v>0.15000000000000002</v>
      </c>
      <c r="D28" s="919" t="s">
        <v>753</v>
      </c>
      <c r="E28" s="920">
        <v>6333424930</v>
      </c>
      <c r="F28" s="920">
        <f>+T28</f>
        <v>6333424930</v>
      </c>
      <c r="G28" s="920">
        <f t="shared" si="0"/>
        <v>0</v>
      </c>
      <c r="H28" s="920">
        <f>+'Metas 4 (Contrato relevos)'!Q$22</f>
        <v>2217335062</v>
      </c>
      <c r="I28" s="920">
        <f>+'Metas 4 (Contrato relevos)'!R$22</f>
        <v>22500000</v>
      </c>
      <c r="J28" s="920">
        <f>+'Metas 4 (Contrato relevos)'!S$22</f>
        <v>0</v>
      </c>
      <c r="K28" s="920">
        <f>+'Metas 4 (Contrato relevos)'!T$22</f>
        <v>19980500</v>
      </c>
      <c r="L28" s="920">
        <f>+'Metas 4 (Contrato relevos)'!U$22</f>
        <v>3990629862</v>
      </c>
      <c r="M28" s="920">
        <f>+'Metas 4 (Contrato relevos)'!V$22</f>
        <v>10479506</v>
      </c>
      <c r="N28" s="920">
        <f>+'Metas 4 (Contrato relevos)'!W$22</f>
        <v>0</v>
      </c>
      <c r="O28" s="920">
        <f>+'Metas 4 (Contrato relevos)'!X$22</f>
        <v>72500000</v>
      </c>
      <c r="P28" s="920">
        <f>+'Metas 4 (Contrato relevos)'!Y$22</f>
        <v>0</v>
      </c>
      <c r="Q28" s="920">
        <f>+'Metas 4 (Contrato relevos)'!Z$22</f>
        <v>0</v>
      </c>
      <c r="R28" s="920">
        <f>+'Metas 4 (Contrato relevos)'!AA$22</f>
        <v>0</v>
      </c>
      <c r="S28" s="920">
        <f>+'Metas 4 (Contrato relevos)'!AB$22</f>
        <v>0</v>
      </c>
      <c r="T28" s="920">
        <f>+'Metas 4 (Contrato relevos)'!AC$22</f>
        <v>6333424930</v>
      </c>
      <c r="U28" s="920">
        <f>+'Metas 4 (Contrato relevos)'!AD$22</f>
        <v>0</v>
      </c>
      <c r="V28" s="921"/>
      <c r="W28" s="922"/>
      <c r="X28" s="920">
        <f>+'Metas 4 (Contrato relevos)'!C$22</f>
        <v>0</v>
      </c>
      <c r="Y28" s="920">
        <f>+'Metas 4 (Contrato relevos)'!D$22</f>
        <v>0</v>
      </c>
      <c r="Z28" s="920">
        <f>+'Metas 4 (Contrato relevos)'!E$22</f>
        <v>0</v>
      </c>
      <c r="AA28" s="920">
        <f>+'Metas 4 (Contrato relevos)'!F$22</f>
        <v>0</v>
      </c>
      <c r="AB28" s="920">
        <f>+'Metas 4 (Contrato relevos)'!G$22</f>
        <v>0</v>
      </c>
      <c r="AC28" s="920">
        <f>+'Metas 4 (Contrato relevos)'!H$22</f>
        <v>0</v>
      </c>
      <c r="AD28" s="920">
        <f>+'Metas 4 (Contrato relevos)'!I$22</f>
        <v>0</v>
      </c>
      <c r="AE28" s="920">
        <f>+'Metas 4 (Contrato relevos)'!J$22</f>
        <v>0</v>
      </c>
      <c r="AF28" s="920">
        <f>+'Metas 4 (Contrato relevos)'!K$22</f>
        <v>0</v>
      </c>
      <c r="AG28" s="920">
        <f>+'Metas 4 (Contrato relevos)'!L$22</f>
        <v>0</v>
      </c>
      <c r="AH28" s="920">
        <f>+'Metas 4 (Contrato relevos)'!M$22</f>
        <v>0</v>
      </c>
      <c r="AI28" s="920">
        <f>+'Metas 4 (Contrato relevos)'!N$22</f>
        <v>0</v>
      </c>
      <c r="AJ28" s="920">
        <f>+'Metas 4 (Contrato relevos)'!O$22</f>
        <v>0</v>
      </c>
      <c r="AK28" s="920">
        <f>+'Metas 4 (Contrato relevos)'!P$22</f>
        <v>0</v>
      </c>
      <c r="AL28" s="932"/>
    </row>
    <row r="29" spans="1:38">
      <c r="A29" s="928"/>
      <c r="B29" s="917"/>
      <c r="C29" s="917"/>
      <c r="D29" s="919" t="s">
        <v>139</v>
      </c>
      <c r="E29" s="920"/>
      <c r="F29" s="920"/>
      <c r="G29" s="920">
        <f t="shared" si="0"/>
        <v>0</v>
      </c>
      <c r="H29" s="920">
        <f>+'Metas 4 (Contrato relevos)'!Q$23</f>
        <v>2217335062</v>
      </c>
      <c r="I29" s="920">
        <f>+'Metas 4 (Contrato relevos)'!R$23</f>
        <v>0</v>
      </c>
      <c r="J29" s="920">
        <f>+'Metas 4 (Contrato relevos)'!S$23</f>
        <v>-5797508</v>
      </c>
      <c r="K29" s="920">
        <f>+'Metas 4 (Contrato relevos)'!T$23</f>
        <v>8329342</v>
      </c>
      <c r="L29" s="920">
        <f>+'Metas 4 (Contrato relevos)'!U$23</f>
        <v>18226535</v>
      </c>
      <c r="M29" s="920">
        <f>+'Metas 4 (Contrato relevos)'!V$23</f>
        <v>0</v>
      </c>
      <c r="N29" s="920">
        <f>+'Metas 4 (Contrato relevos)'!W$23</f>
        <v>0</v>
      </c>
      <c r="O29" s="920">
        <f>+'Metas 4 (Contrato relevos)'!X$23</f>
        <v>0</v>
      </c>
      <c r="P29" s="920">
        <f>+'Metas 4 (Contrato relevos)'!Y$23</f>
        <v>0</v>
      </c>
      <c r="Q29" s="920">
        <f>+'Metas 4 (Contrato relevos)'!Z$23</f>
        <v>0</v>
      </c>
      <c r="R29" s="920">
        <f>+'Metas 4 (Contrato relevos)'!AA$23</f>
        <v>0</v>
      </c>
      <c r="S29" s="920">
        <f>+'Metas 4 (Contrato relevos)'!AB$23</f>
        <v>0</v>
      </c>
      <c r="T29" s="920">
        <f>+'Metas 4 (Contrato relevos)'!AC$23</f>
        <v>2238093431</v>
      </c>
      <c r="U29" s="920">
        <f>+'Metas 4 (Contrato relevos)'!AD$23</f>
        <v>0.3533780625390629</v>
      </c>
      <c r="V29" s="921">
        <f>+T29/T28</f>
        <v>0.3533780625390629</v>
      </c>
      <c r="W29" s="922"/>
      <c r="X29" s="920">
        <f>+'Metas 4 (Contrato relevos)'!C$23</f>
        <v>4725735192</v>
      </c>
      <c r="Y29" s="920">
        <f>+'Metas 4 (Contrato relevos)'!D$23</f>
        <v>0</v>
      </c>
      <c r="Z29" s="920">
        <f>+'Metas 4 (Contrato relevos)'!E$23</f>
        <v>-2744000</v>
      </c>
      <c r="AA29" s="920">
        <f>+'Metas 4 (Contrato relevos)'!F$23</f>
        <v>0</v>
      </c>
      <c r="AB29" s="920">
        <f>+'Metas 4 (Contrato relevos)'!G$23</f>
        <v>-6846045</v>
      </c>
      <c r="AC29" s="920">
        <f>+'Metas 4 (Contrato relevos)'!H$23</f>
        <v>0</v>
      </c>
      <c r="AD29" s="920">
        <f>+'Metas 4 (Contrato relevos)'!I$23</f>
        <v>0</v>
      </c>
      <c r="AE29" s="920">
        <f>+'Metas 4 (Contrato relevos)'!J$23</f>
        <v>0</v>
      </c>
      <c r="AF29" s="920">
        <f>+'Metas 4 (Contrato relevos)'!K$23</f>
        <v>0</v>
      </c>
      <c r="AG29" s="920">
        <f>+'Metas 4 (Contrato relevos)'!L$23</f>
        <v>0</v>
      </c>
      <c r="AH29" s="920">
        <f>+'Metas 4 (Contrato relevos)'!M$23</f>
        <v>0</v>
      </c>
      <c r="AI29" s="920">
        <f>+'Metas 4 (Contrato relevos)'!N$23</f>
        <v>0</v>
      </c>
      <c r="AJ29" s="920">
        <f>+'Metas 4 (Contrato relevos)'!O$23</f>
        <v>4716145147</v>
      </c>
      <c r="AK29" s="920" t="str">
        <f>+'Metas 4 (Contrato relevos)'!P$23</f>
        <v xml:space="preserve"> </v>
      </c>
    </row>
    <row r="30" spans="1:38" ht="30">
      <c r="A30" s="928"/>
      <c r="B30" s="917"/>
      <c r="C30" s="917"/>
      <c r="D30" s="919" t="s">
        <v>141</v>
      </c>
      <c r="E30" s="920">
        <v>6333424930</v>
      </c>
      <c r="F30" s="920">
        <f>+T30</f>
        <v>6333424930</v>
      </c>
      <c r="G30" s="920">
        <f t="shared" si="0"/>
        <v>0</v>
      </c>
      <c r="H30" s="920">
        <f>+'Metas 4 (Contrato relevos)'!Q$24</f>
        <v>0</v>
      </c>
      <c r="I30" s="920">
        <f>+'Metas 4 (Contrato relevos)'!R$24</f>
        <v>96865667</v>
      </c>
      <c r="J30" s="920">
        <f>+'Metas 4 (Contrato relevos)'!S$24</f>
        <v>196200867</v>
      </c>
      <c r="K30" s="920">
        <f>+'Metas 4 (Contrato relevos)'!T$24</f>
        <v>199575867</v>
      </c>
      <c r="L30" s="920">
        <f>+'Metas 4 (Contrato relevos)'!U$24</f>
        <v>198420923</v>
      </c>
      <c r="M30" s="920">
        <f>+'Metas 4 (Contrato relevos)'!V$24</f>
        <v>202767589</v>
      </c>
      <c r="N30" s="920">
        <f>+'Metas 4 (Contrato relevos)'!W$24</f>
        <v>1355778641</v>
      </c>
      <c r="O30" s="920">
        <f>+'Metas 4 (Contrato relevos)'!X$24</f>
        <v>685895446</v>
      </c>
      <c r="P30" s="920">
        <f>+'Metas 4 (Contrato relevos)'!Y$24</f>
        <v>672438285</v>
      </c>
      <c r="Q30" s="920">
        <f>+'Metas 4 (Contrato relevos)'!Z$24</f>
        <v>663395446</v>
      </c>
      <c r="R30" s="920">
        <f>+'Metas 4 (Contrato relevos)'!AA$24</f>
        <v>693833779</v>
      </c>
      <c r="S30" s="920">
        <f>+'Metas 4 (Contrato relevos)'!AB$24</f>
        <v>1368252420</v>
      </c>
      <c r="T30" s="920">
        <f>+'Metas 4 (Contrato relevos)'!AC$24</f>
        <v>6333424930</v>
      </c>
      <c r="U30" s="920">
        <f>+'Metas 4 (Contrato relevos)'!AD$24</f>
        <v>0</v>
      </c>
      <c r="V30" s="921"/>
      <c r="W30" s="922"/>
      <c r="X30" s="920">
        <f>+'Metas 4 (Contrato relevos)'!C$24</f>
        <v>0</v>
      </c>
      <c r="Y30" s="920">
        <f>+'Metas 4 (Contrato relevos)'!D$24</f>
        <v>1036406616</v>
      </c>
      <c r="Z30" s="920">
        <f>+'Metas 4 (Contrato relevos)'!E$24</f>
        <v>1677538732</v>
      </c>
      <c r="AA30" s="920">
        <f>+'Metas 4 (Contrato relevos)'!F$24</f>
        <v>1080048922</v>
      </c>
      <c r="AB30" s="920">
        <f>+'Metas 4 (Contrato relevos)'!G$24</f>
        <v>928996922</v>
      </c>
      <c r="AC30" s="920">
        <f>+'Metas 4 (Contrato relevos)'!H$24</f>
        <v>0</v>
      </c>
      <c r="AD30" s="920">
        <f>+'Metas 4 (Contrato relevos)'!I$24</f>
        <v>0</v>
      </c>
      <c r="AE30" s="920">
        <f>+'Metas 4 (Contrato relevos)'!J$24</f>
        <v>0</v>
      </c>
      <c r="AF30" s="920">
        <f>+'Metas 4 (Contrato relevos)'!K$24</f>
        <v>0</v>
      </c>
      <c r="AG30" s="920">
        <f>+'Metas 4 (Contrato relevos)'!L$24</f>
        <v>0</v>
      </c>
      <c r="AH30" s="920">
        <f>+'Metas 4 (Contrato relevos)'!M$24</f>
        <v>0</v>
      </c>
      <c r="AI30" s="920">
        <f>+'Metas 4 (Contrato relevos)'!N$24</f>
        <v>0</v>
      </c>
      <c r="AJ30" s="920">
        <f>+'Metas 4 (Contrato relevos)'!O$24</f>
        <v>4722991192</v>
      </c>
      <c r="AK30" s="920">
        <f>+'Metas 4 (Contrato relevos)'!P$24</f>
        <v>0</v>
      </c>
    </row>
    <row r="31" spans="1:38">
      <c r="A31" s="928"/>
      <c r="B31" s="917"/>
      <c r="C31" s="917"/>
      <c r="D31" s="919" t="s">
        <v>142</v>
      </c>
      <c r="E31" s="920"/>
      <c r="F31" s="920"/>
      <c r="G31" s="920">
        <f t="shared" si="0"/>
        <v>0</v>
      </c>
      <c r="H31" s="920">
        <f>+'Metas 4 (Contrato relevos)'!Q$25</f>
        <v>0</v>
      </c>
      <c r="I31" s="920">
        <f>+'Metas 4 (Contrato relevos)'!R$25</f>
        <v>25054974</v>
      </c>
      <c r="J31" s="920">
        <f>+'Metas 4 (Contrato relevos)'!S$25</f>
        <v>192793583</v>
      </c>
      <c r="K31" s="920">
        <f>+'Metas 4 (Contrato relevos)'!T$25</f>
        <v>203095379</v>
      </c>
      <c r="L31" s="920">
        <f>+'Metas 4 (Contrato relevos)'!U$25</f>
        <v>199295518</v>
      </c>
      <c r="M31" s="920">
        <f>+'Metas 4 (Contrato relevos)'!V$25</f>
        <v>0</v>
      </c>
      <c r="N31" s="920">
        <f>+'Metas 4 (Contrato relevos)'!W$25</f>
        <v>0</v>
      </c>
      <c r="O31" s="920">
        <f>+'Metas 4 (Contrato relevos)'!X$25</f>
        <v>0</v>
      </c>
      <c r="P31" s="920">
        <f>+'Metas 4 (Contrato relevos)'!Y$25</f>
        <v>0</v>
      </c>
      <c r="Q31" s="920">
        <f>+'Metas 4 (Contrato relevos)'!Z$25</f>
        <v>0</v>
      </c>
      <c r="R31" s="920">
        <f>+'Metas 4 (Contrato relevos)'!AA$25</f>
        <v>0</v>
      </c>
      <c r="S31" s="920">
        <f>+'Metas 4 (Contrato relevos)'!AB$25</f>
        <v>0</v>
      </c>
      <c r="T31" s="920">
        <f>+'Metas 4 (Contrato relevos)'!AC$25</f>
        <v>620239454</v>
      </c>
      <c r="U31" s="920">
        <f>+'Metas 4 (Contrato relevos)'!AD$25</f>
        <v>9.7931129026581826E-2</v>
      </c>
      <c r="V31" s="921"/>
      <c r="W31" s="922"/>
      <c r="X31" s="920">
        <f>+'Metas 4 (Contrato relevos)'!C$25</f>
        <v>67254654</v>
      </c>
      <c r="Y31" s="920">
        <f>+'Metas 4 (Contrato relevos)'!D$25</f>
        <v>7763045</v>
      </c>
      <c r="Z31" s="920">
        <f>+'Metas 4 (Contrato relevos)'!E$25</f>
        <v>226238550</v>
      </c>
      <c r="AA31" s="920">
        <f>+'Metas 4 (Contrato relevos)'!F$25</f>
        <v>60813749</v>
      </c>
      <c r="AB31" s="920">
        <f>+'Metas 4 (Contrato relevos)'!G$25</f>
        <v>7134988</v>
      </c>
      <c r="AC31" s="920">
        <f>+'Metas 4 (Contrato relevos)'!H$25</f>
        <v>0</v>
      </c>
      <c r="AD31" s="920">
        <f>+'Metas 4 (Contrato relevos)'!I$25</f>
        <v>0</v>
      </c>
      <c r="AE31" s="920">
        <f>+'Metas 4 (Contrato relevos)'!J$25</f>
        <v>0</v>
      </c>
      <c r="AF31" s="920">
        <f>+'Metas 4 (Contrato relevos)'!K$25</f>
        <v>0</v>
      </c>
      <c r="AG31" s="920">
        <f>+'Metas 4 (Contrato relevos)'!L$25</f>
        <v>0</v>
      </c>
      <c r="AH31" s="920">
        <f>+'Metas 4 (Contrato relevos)'!M$25</f>
        <v>0</v>
      </c>
      <c r="AI31" s="920">
        <f>+'Metas 4 (Contrato relevos)'!N$25</f>
        <v>0</v>
      </c>
      <c r="AJ31" s="920">
        <f>+'Metas 4 (Contrato relevos)'!O$25</f>
        <v>369204986</v>
      </c>
      <c r="AK31" s="920">
        <f>+'Metas 4 (Contrato relevos)'!P$25</f>
        <v>7.817185571410229E-2</v>
      </c>
    </row>
    <row r="32" spans="1:38">
      <c r="A32" s="928"/>
      <c r="B32" s="917"/>
      <c r="C32" s="917"/>
      <c r="D32" s="919" t="s">
        <v>754</v>
      </c>
      <c r="E32" s="923">
        <f>+Hoja1!$AS$35</f>
        <v>0</v>
      </c>
      <c r="F32" s="924">
        <f>+'Metas 4 (Contrato relevos)'!$W$17</f>
        <v>0.24</v>
      </c>
      <c r="G32" s="924">
        <f t="shared" si="0"/>
        <v>-0.24</v>
      </c>
      <c r="H32" s="925">
        <f>+'Metas 4 (Contrato relevos)'!D$34</f>
        <v>1.9552E-2</v>
      </c>
      <c r="I32" s="925">
        <f>+'Metas 4 (Contrato relevos)'!E$34</f>
        <v>1.9552E-2</v>
      </c>
      <c r="J32" s="925">
        <f>+'Metas 4 (Contrato relevos)'!F$34</f>
        <v>1.9552E-2</v>
      </c>
      <c r="K32" s="925">
        <f>+'Metas 4 (Contrato relevos)'!G$34</f>
        <v>1.7774222222222219E-2</v>
      </c>
      <c r="L32" s="925">
        <f>+'Metas 4 (Contrato relevos)'!H$34</f>
        <v>2.4886222222222223E-2</v>
      </c>
      <c r="M32" s="925">
        <f>+'Metas 4 (Contrato relevos)'!I$34</f>
        <v>2.4886222222222223E-2</v>
      </c>
      <c r="N32" s="925">
        <f>+'Metas 4 (Contrato relevos)'!J$34</f>
        <v>2.4886222222222223E-2</v>
      </c>
      <c r="O32" s="925">
        <f>+'Metas 4 (Contrato relevos)'!K$34</f>
        <v>1.7774222222222219E-2</v>
      </c>
      <c r="P32" s="925">
        <f>+'Metas 4 (Contrato relevos)'!L$34</f>
        <v>1.7774222222222219E-2</v>
      </c>
      <c r="Q32" s="925">
        <f>+'Metas 4 (Contrato relevos)'!M$34</f>
        <v>1.7774222222222219E-2</v>
      </c>
      <c r="R32" s="925">
        <f>+'Metas 4 (Contrato relevos)'!N$34</f>
        <v>1.7774222222222219E-2</v>
      </c>
      <c r="S32" s="925">
        <f>+'Metas 4 (Contrato relevos)'!O$34</f>
        <v>1.7774222222222219E-2</v>
      </c>
      <c r="T32" s="925">
        <f>+'Metas 4 (Contrato relevos)'!P$34</f>
        <v>0.23995999999999998</v>
      </c>
      <c r="U32" s="925">
        <f>+'Metas 4 (Contrato relevos)'!P$34</f>
        <v>0.23995999999999998</v>
      </c>
      <c r="V32" s="921"/>
      <c r="W32" s="926"/>
    </row>
    <row r="33" spans="1:37">
      <c r="A33" s="930"/>
      <c r="B33" s="917"/>
      <c r="C33" s="917"/>
      <c r="D33" s="919" t="s">
        <v>755</v>
      </c>
      <c r="E33" s="925"/>
      <c r="F33" s="925"/>
      <c r="G33" s="925">
        <f t="shared" si="0"/>
        <v>0</v>
      </c>
      <c r="H33" s="925">
        <f>+'Metas 4 (Contrato relevos)'!D$35</f>
        <v>1.9199999999999998E-2</v>
      </c>
      <c r="I33" s="925">
        <f>+'Metas 4 (Contrato relevos)'!E$35</f>
        <v>1.9199999999999998E-2</v>
      </c>
      <c r="J33" s="925">
        <f>+'Metas 4 (Contrato relevos)'!F$35</f>
        <v>1.9199999999999998E-2</v>
      </c>
      <c r="K33" s="925">
        <f>+'Metas 4 (Contrato relevos)'!G$35</f>
        <v>2.0799999999999999E-2</v>
      </c>
      <c r="L33" s="925">
        <f>+'Metas 4 (Contrato relevos)'!H$35</f>
        <v>2.4799999999999999E-2</v>
      </c>
      <c r="M33" s="925">
        <f>+'Metas 4 (Contrato relevos)'!I$35</f>
        <v>0</v>
      </c>
      <c r="N33" s="925">
        <f>+'Metas 4 (Contrato relevos)'!J$35</f>
        <v>0</v>
      </c>
      <c r="O33" s="925">
        <f>+'Metas 4 (Contrato relevos)'!K$35</f>
        <v>0</v>
      </c>
      <c r="P33" s="925">
        <f>+'Metas 4 (Contrato relevos)'!L$35</f>
        <v>0</v>
      </c>
      <c r="Q33" s="925">
        <f>+'Metas 4 (Contrato relevos)'!M$35</f>
        <v>0</v>
      </c>
      <c r="R33" s="925">
        <f>+'Metas 4 (Contrato relevos)'!N$35</f>
        <v>0</v>
      </c>
      <c r="S33" s="925">
        <f>+'Metas 4 (Contrato relevos)'!O$35</f>
        <v>0</v>
      </c>
      <c r="T33" s="925">
        <f>+'Metas 4 (Contrato relevos)'!P$35</f>
        <v>0.1032</v>
      </c>
      <c r="U33" s="925">
        <f>+'Metas 4 (Contrato relevos)'!P$35</f>
        <v>0.1032</v>
      </c>
      <c r="V33" s="921"/>
      <c r="W33" s="926"/>
    </row>
    <row r="34" spans="1:37">
      <c r="A34" s="927">
        <f>+A28+1</f>
        <v>5</v>
      </c>
      <c r="B34" s="917" t="str">
        <f>+'Metas 5'!A34</f>
        <v>5. Diseñar 1 documento para la implementación de la estrategia pedagógica para la valoración, la resignificación, el reconocimiento y la redistribución del trabajo de cuidado no remunerado que realizan las mujeres en Bogotá</v>
      </c>
      <c r="C34" s="918">
        <f>+'Metas 5'!B34</f>
        <v>0.1</v>
      </c>
      <c r="D34" s="919" t="s">
        <v>753</v>
      </c>
      <c r="E34" s="920">
        <v>394554764</v>
      </c>
      <c r="F34" s="920">
        <f>+T34</f>
        <v>394554764</v>
      </c>
      <c r="G34" s="920">
        <f t="shared" si="0"/>
        <v>0</v>
      </c>
      <c r="H34" s="920">
        <f>+'Metas 5'!Q$22</f>
        <v>345554764</v>
      </c>
      <c r="I34" s="920">
        <f>+'Metas 5'!R$22</f>
        <v>0</v>
      </c>
      <c r="J34" s="920">
        <f>+'Metas 5'!S$22</f>
        <v>0</v>
      </c>
      <c r="K34" s="920">
        <f>+'Metas 5'!T$22</f>
        <v>0</v>
      </c>
      <c r="L34" s="920">
        <f>+'Metas 5'!U$22</f>
        <v>14000000</v>
      </c>
      <c r="M34" s="920">
        <f>+'Metas 5'!V$22</f>
        <v>0</v>
      </c>
      <c r="N34" s="920">
        <f>+'Metas 5'!W$22</f>
        <v>0</v>
      </c>
      <c r="O34" s="920">
        <f>+'Metas 5'!X$22</f>
        <v>35000000</v>
      </c>
      <c r="P34" s="920">
        <f>+'Metas 5'!Y$22</f>
        <v>0</v>
      </c>
      <c r="Q34" s="920">
        <f>+'Metas 5'!Z$22</f>
        <v>0</v>
      </c>
      <c r="R34" s="920">
        <f>+'Metas 5'!AA$22</f>
        <v>0</v>
      </c>
      <c r="S34" s="920">
        <f>+'Metas 5'!AB$22</f>
        <v>0</v>
      </c>
      <c r="T34" s="920">
        <f>+'Metas 5'!AC$22</f>
        <v>394554764</v>
      </c>
      <c r="U34" s="920">
        <f>+'Metas 5'!AD$22</f>
        <v>0</v>
      </c>
      <c r="V34" s="921"/>
      <c r="W34" s="922"/>
      <c r="X34" s="920">
        <f>+'Metas 5'!C$22</f>
        <v>0</v>
      </c>
      <c r="Y34" s="920">
        <f>+'Metas 5'!D$22</f>
        <v>0</v>
      </c>
      <c r="Z34" s="920">
        <f>+'Metas 5'!E$22</f>
        <v>0</v>
      </c>
      <c r="AA34" s="920">
        <f>+'Metas 5'!F$22</f>
        <v>0</v>
      </c>
      <c r="AB34" s="920">
        <f>+'Metas 5'!G$22</f>
        <v>0</v>
      </c>
      <c r="AC34" s="920">
        <f>+'Metas 5'!H$22</f>
        <v>0</v>
      </c>
      <c r="AD34" s="920">
        <f>+'Metas 5'!I$22</f>
        <v>0</v>
      </c>
      <c r="AE34" s="920">
        <f>+'Metas 5'!J$22</f>
        <v>0</v>
      </c>
      <c r="AF34" s="920">
        <f>+'Metas 5'!K$22</f>
        <v>0</v>
      </c>
      <c r="AG34" s="920">
        <f>+'Metas 5'!L$22</f>
        <v>0</v>
      </c>
      <c r="AH34" s="920">
        <f>+'Metas 5'!M$22</f>
        <v>0</v>
      </c>
      <c r="AI34" s="920">
        <f>+'Metas 5'!N$22</f>
        <v>0</v>
      </c>
      <c r="AJ34" s="920">
        <f>+'Metas 5'!O$22</f>
        <v>0</v>
      </c>
      <c r="AK34" s="920">
        <f>+'Metas 5'!P$22</f>
        <v>0</v>
      </c>
    </row>
    <row r="35" spans="1:37">
      <c r="A35" s="928"/>
      <c r="B35" s="917"/>
      <c r="C35" s="918"/>
      <c r="D35" s="919" t="s">
        <v>139</v>
      </c>
      <c r="E35" s="920"/>
      <c r="F35" s="920"/>
      <c r="G35" s="920">
        <f t="shared" si="0"/>
        <v>0</v>
      </c>
      <c r="H35" s="920">
        <f>+'Metas 5'!Q$23</f>
        <v>345554764</v>
      </c>
      <c r="I35" s="920">
        <f>+'Metas 5'!R$23</f>
        <v>0</v>
      </c>
      <c r="J35" s="920">
        <f>+'Metas 5'!S$23</f>
        <v>-4916077</v>
      </c>
      <c r="K35" s="920">
        <f>+'Metas 5'!T$23</f>
        <v>-1873117</v>
      </c>
      <c r="L35" s="920">
        <f>+'Metas 5'!U$23</f>
        <v>18226536</v>
      </c>
      <c r="M35" s="920">
        <f>+'Metas 5'!V$23</f>
        <v>0</v>
      </c>
      <c r="N35" s="920">
        <f>+'Metas 5'!W$23</f>
        <v>0</v>
      </c>
      <c r="O35" s="920">
        <f>+'Metas 5'!X$23</f>
        <v>0</v>
      </c>
      <c r="P35" s="920">
        <f>+'Metas 5'!Y$23</f>
        <v>0</v>
      </c>
      <c r="Q35" s="920">
        <f>+'Metas 5'!Z$23</f>
        <v>0</v>
      </c>
      <c r="R35" s="920">
        <f>+'Metas 5'!AA$23</f>
        <v>0</v>
      </c>
      <c r="S35" s="920">
        <f>+'Metas 5'!AB$23</f>
        <v>0</v>
      </c>
      <c r="T35" s="920">
        <f>+'Metas 5'!AC$23</f>
        <v>356992106</v>
      </c>
      <c r="U35" s="920">
        <f>+'Metas 5'!AD$23</f>
        <v>0.90479735279536511</v>
      </c>
      <c r="V35" s="921">
        <f>+T35/T34</f>
        <v>0.90479735279536511</v>
      </c>
      <c r="W35" s="922"/>
      <c r="X35" s="920">
        <f>+'Metas 5'!C$23</f>
        <v>3180045</v>
      </c>
      <c r="Y35" s="920">
        <f>+'Metas 5'!D$23</f>
        <v>0</v>
      </c>
      <c r="Z35" s="920">
        <f>+'Metas 5'!E$23</f>
        <v>-2744000</v>
      </c>
      <c r="AA35" s="920">
        <f>+'Metas 5'!F$23</f>
        <v>0</v>
      </c>
      <c r="AB35" s="920">
        <f>+'Metas 5'!G$23</f>
        <v>-179378</v>
      </c>
      <c r="AC35" s="920">
        <f>+'Metas 5'!H$23</f>
        <v>0</v>
      </c>
      <c r="AD35" s="920">
        <f>+'Metas 5'!I$23</f>
        <v>0</v>
      </c>
      <c r="AE35" s="920">
        <f>+'Metas 5'!J$23</f>
        <v>0</v>
      </c>
      <c r="AF35" s="920">
        <f>+'Metas 5'!K$23</f>
        <v>0</v>
      </c>
      <c r="AG35" s="920">
        <f>+'Metas 5'!L$23</f>
        <v>0</v>
      </c>
      <c r="AH35" s="920">
        <f>+'Metas 5'!M$23</f>
        <v>0</v>
      </c>
      <c r="AI35" s="920">
        <f>+'Metas 5'!N$23</f>
        <v>0</v>
      </c>
      <c r="AJ35" s="920">
        <f>+'Metas 5'!O$23</f>
        <v>256667</v>
      </c>
      <c r="AK35" s="920" t="str">
        <f>+'Metas 5'!P$23</f>
        <v xml:space="preserve"> </v>
      </c>
    </row>
    <row r="36" spans="1:37" ht="30">
      <c r="A36" s="928"/>
      <c r="B36" s="917"/>
      <c r="C36" s="918"/>
      <c r="D36" s="919" t="s">
        <v>141</v>
      </c>
      <c r="E36" s="920">
        <v>394554764</v>
      </c>
      <c r="F36" s="920">
        <f>+T36</f>
        <v>394554764</v>
      </c>
      <c r="G36" s="920">
        <f t="shared" si="0"/>
        <v>0</v>
      </c>
      <c r="H36" s="920">
        <f>+'Metas 5'!Q$24</f>
        <v>0</v>
      </c>
      <c r="I36" s="920">
        <f>+'Metas 5'!R$24</f>
        <v>11837729.999999998</v>
      </c>
      <c r="J36" s="920">
        <f>+'Metas 5'!S$24</f>
        <v>30358700</v>
      </c>
      <c r="K36" s="920">
        <f>+'Metas 5'!T$24</f>
        <v>30358700</v>
      </c>
      <c r="L36" s="920">
        <f>+'Metas 5'!U$24</f>
        <v>30358700</v>
      </c>
      <c r="M36" s="920">
        <f>+'Metas 5'!V$24</f>
        <v>30358700</v>
      </c>
      <c r="N36" s="920">
        <f>+'Metas 5'!W$24</f>
        <v>44358700</v>
      </c>
      <c r="O36" s="920">
        <f>+'Metas 5'!X$24</f>
        <v>30358700</v>
      </c>
      <c r="P36" s="920">
        <f>+'Metas 5'!Y$24</f>
        <v>30358700</v>
      </c>
      <c r="Q36" s="920">
        <f>+'Metas 5'!Z$24</f>
        <v>30358700</v>
      </c>
      <c r="R36" s="920">
        <f>+'Metas 5'!AA$24</f>
        <v>37358700</v>
      </c>
      <c r="S36" s="920">
        <f>+'Metas 5'!AB$24</f>
        <v>88488734</v>
      </c>
      <c r="T36" s="920">
        <f>+'Metas 5'!AC$24</f>
        <v>394554764</v>
      </c>
      <c r="U36" s="920">
        <f>+'Metas 5'!AD$24</f>
        <v>0</v>
      </c>
      <c r="V36" s="921"/>
      <c r="W36" s="922"/>
      <c r="X36" s="920">
        <f>+'Metas 5'!C$24</f>
        <v>0</v>
      </c>
      <c r="Y36" s="920">
        <f>+'Metas 5'!D$24</f>
        <v>256667</v>
      </c>
      <c r="Z36" s="920">
        <f>+'Metas 5'!E$24</f>
        <v>179378</v>
      </c>
      <c r="AA36" s="920">
        <f>+'Metas 5'!F$24</f>
        <v>0</v>
      </c>
      <c r="AB36" s="920">
        <f>+'Metas 5'!G$24</f>
        <v>0</v>
      </c>
      <c r="AC36" s="920">
        <f>+'Metas 5'!H$24</f>
        <v>0</v>
      </c>
      <c r="AD36" s="920">
        <f>+'Metas 5'!I$24</f>
        <v>0</v>
      </c>
      <c r="AE36" s="920">
        <f>+'Metas 5'!J$24</f>
        <v>0</v>
      </c>
      <c r="AF36" s="920">
        <f>+'Metas 5'!K$24</f>
        <v>0</v>
      </c>
      <c r="AG36" s="920">
        <f>+'Metas 5'!L$24</f>
        <v>0</v>
      </c>
      <c r="AH36" s="920">
        <f>+'Metas 5'!M$24</f>
        <v>0</v>
      </c>
      <c r="AI36" s="920">
        <f>+'Metas 5'!N$24</f>
        <v>0</v>
      </c>
      <c r="AJ36" s="920">
        <f>+'Metas 5'!O$24</f>
        <v>436045</v>
      </c>
      <c r="AK36" s="920">
        <f>+'Metas 5'!P$24</f>
        <v>0</v>
      </c>
    </row>
    <row r="37" spans="1:37">
      <c r="A37" s="928"/>
      <c r="B37" s="917"/>
      <c r="C37" s="918"/>
      <c r="D37" s="919" t="s">
        <v>142</v>
      </c>
      <c r="E37" s="920"/>
      <c r="F37" s="920"/>
      <c r="G37" s="920">
        <f t="shared" si="0"/>
        <v>0</v>
      </c>
      <c r="H37" s="920">
        <f>+'Metas 5'!Q$25</f>
        <v>0</v>
      </c>
      <c r="I37" s="920">
        <f>+'Metas 5'!R$25</f>
        <v>4248887</v>
      </c>
      <c r="J37" s="920">
        <f>+'Metas 5'!S$25</f>
        <v>22478200</v>
      </c>
      <c r="K37" s="920">
        <f>+'Metas 5'!T$25</f>
        <v>40617833</v>
      </c>
      <c r="L37" s="920">
        <f>+'Metas 5'!U$25</f>
        <v>20938700</v>
      </c>
      <c r="M37" s="920">
        <f>+'Metas 5'!V$25</f>
        <v>0</v>
      </c>
      <c r="N37" s="920">
        <f>+'Metas 5'!W$25</f>
        <v>0</v>
      </c>
      <c r="O37" s="920">
        <f>+'Metas 5'!X$25</f>
        <v>0</v>
      </c>
      <c r="P37" s="920">
        <f>+'Metas 5'!Y$25</f>
        <v>0</v>
      </c>
      <c r="Q37" s="920">
        <f>+'Metas 5'!Z$25</f>
        <v>0</v>
      </c>
      <c r="R37" s="920">
        <f>+'Metas 5'!AA$25</f>
        <v>0</v>
      </c>
      <c r="S37" s="920">
        <f>+'Metas 5'!AB$25</f>
        <v>0</v>
      </c>
      <c r="T37" s="920">
        <f>+'Metas 5'!AC$25</f>
        <v>88283620</v>
      </c>
      <c r="U37" s="920">
        <f>+'Metas 5'!AD$25</f>
        <v>0.22375504760094597</v>
      </c>
      <c r="V37" s="921"/>
      <c r="W37" s="922"/>
      <c r="X37" s="920">
        <f>+'Metas 5'!C$25</f>
        <v>0</v>
      </c>
      <c r="Y37" s="920">
        <f>+'Metas 5'!D$25</f>
        <v>256667</v>
      </c>
      <c r="Z37" s="920">
        <f>+'Metas 5'!E$25</f>
        <v>0</v>
      </c>
      <c r="AA37" s="920">
        <f>+'Metas 5'!F$25</f>
        <v>0</v>
      </c>
      <c r="AB37" s="920">
        <f>+'Metas 5'!G$25</f>
        <v>0</v>
      </c>
      <c r="AC37" s="920">
        <f>+'Metas 5'!H$25</f>
        <v>0</v>
      </c>
      <c r="AD37" s="920">
        <f>+'Metas 5'!I$25</f>
        <v>0</v>
      </c>
      <c r="AE37" s="920">
        <f>+'Metas 5'!J$25</f>
        <v>0</v>
      </c>
      <c r="AF37" s="920">
        <f>+'Metas 5'!K$25</f>
        <v>0</v>
      </c>
      <c r="AG37" s="920">
        <f>+'Metas 5'!L$25</f>
        <v>0</v>
      </c>
      <c r="AH37" s="920">
        <f>+'Metas 5'!M$25</f>
        <v>0</v>
      </c>
      <c r="AI37" s="920">
        <f>+'Metas 5'!N$25</f>
        <v>0</v>
      </c>
      <c r="AJ37" s="920">
        <f>+'Metas 5'!O$25</f>
        <v>256667</v>
      </c>
      <c r="AK37" s="920">
        <f>+'Metas 5'!P$25</f>
        <v>0.58862502723342769</v>
      </c>
    </row>
    <row r="38" spans="1:37">
      <c r="A38" s="928"/>
      <c r="B38" s="917"/>
      <c r="C38" s="918"/>
      <c r="D38" s="919" t="s">
        <v>754</v>
      </c>
      <c r="E38" s="933">
        <f>+Hoja1!$AS$36</f>
        <v>0</v>
      </c>
      <c r="F38" s="934">
        <f>+'Metas 5'!$W$17*100</f>
        <v>100</v>
      </c>
      <c r="G38" s="924">
        <f t="shared" si="0"/>
        <v>-100</v>
      </c>
      <c r="H38" s="925">
        <f>+'Metas 5'!D$34</f>
        <v>0.75249999999999995</v>
      </c>
      <c r="I38" s="925">
        <f>+'Metas 5'!E$34</f>
        <v>0.80499999999999994</v>
      </c>
      <c r="J38" s="925">
        <f>+'Metas 5'!F$34</f>
        <v>0.85749999999999993</v>
      </c>
      <c r="K38" s="925">
        <f>+'Metas 5'!G$34</f>
        <v>0.8866666666666666</v>
      </c>
      <c r="L38" s="925">
        <f>+'Metas 5'!H$34</f>
        <v>0.91583333333333328</v>
      </c>
      <c r="M38" s="925">
        <f>+'Metas 5'!I$34</f>
        <v>0.94499999999999995</v>
      </c>
      <c r="N38" s="925">
        <f>+'Metas 5'!J$34</f>
        <v>0.96666666666666656</v>
      </c>
      <c r="O38" s="925">
        <f>+'Metas 5'!K$34</f>
        <v>0.97333333333333327</v>
      </c>
      <c r="P38" s="925">
        <f>+'Metas 5'!L$34</f>
        <v>0.98</v>
      </c>
      <c r="Q38" s="925">
        <f>+'Metas 5'!M$34</f>
        <v>0.98666666666666669</v>
      </c>
      <c r="R38" s="925">
        <f>+'Metas 5'!N$34</f>
        <v>0.9933333333333334</v>
      </c>
      <c r="S38" s="925">
        <f>+'Metas 5'!O$34</f>
        <v>1</v>
      </c>
      <c r="T38" s="925">
        <f>+'Metas 5'!P$34</f>
        <v>1</v>
      </c>
      <c r="U38" s="925">
        <f>+'Metas 5'!P$34</f>
        <v>1</v>
      </c>
      <c r="V38" s="921"/>
      <c r="W38" s="926"/>
    </row>
    <row r="39" spans="1:37">
      <c r="A39" s="930"/>
      <c r="B39" s="917"/>
      <c r="C39" s="918"/>
      <c r="D39" s="919" t="s">
        <v>755</v>
      </c>
      <c r="E39" s="925"/>
      <c r="F39" s="925"/>
      <c r="G39" s="925">
        <f t="shared" si="0"/>
        <v>0</v>
      </c>
      <c r="H39" s="925">
        <f>+'Metas 5'!D$35</f>
        <v>0.75372499999999998</v>
      </c>
      <c r="I39" s="925">
        <f>+'Metas 5'!E$35</f>
        <v>0.79977500000000001</v>
      </c>
      <c r="J39" s="925">
        <f>+'Metas 5'!F$35</f>
        <v>0.84582500000000005</v>
      </c>
      <c r="K39" s="925">
        <f>+'Metas 5'!G$35</f>
        <v>0.88266500000000003</v>
      </c>
      <c r="L39" s="925">
        <f>+'Metas 5'!H$35</f>
        <v>0.91183000000000003</v>
      </c>
      <c r="M39" s="925">
        <f>+'Metas 5'!I$35</f>
        <v>0.91183000000000003</v>
      </c>
      <c r="N39" s="925">
        <f>+'Metas 5'!J$35</f>
        <v>0.91183000000000003</v>
      </c>
      <c r="O39" s="925">
        <f>+'Metas 5'!K$35</f>
        <v>0.91183000000000003</v>
      </c>
      <c r="P39" s="925">
        <f>+'Metas 5'!L$35</f>
        <v>0.91183000000000003</v>
      </c>
      <c r="Q39" s="925">
        <f>+'Metas 5'!M$35</f>
        <v>0.91183000000000003</v>
      </c>
      <c r="R39" s="925">
        <f>+'Metas 5'!N$35</f>
        <v>0.91183000000000003</v>
      </c>
      <c r="S39" s="925">
        <f>+'Metas 5'!O$35</f>
        <v>0.91183000000000003</v>
      </c>
      <c r="T39" s="925">
        <f>+'Metas 5'!P$35</f>
        <v>0.91183000000000003</v>
      </c>
      <c r="U39" s="925">
        <f>+'Metas 5'!P$35</f>
        <v>0.91183000000000003</v>
      </c>
      <c r="V39" s="921"/>
      <c r="W39" s="926"/>
    </row>
    <row r="40" spans="1:37">
      <c r="A40" s="927">
        <f>+A34+1</f>
        <v>6</v>
      </c>
      <c r="B40" s="917" t="str">
        <f>+'Metas 6 (ONU Mujeres)'!A34</f>
        <v>6. Implementar 1 estrategia para el reconocimiento y la redistribución del trabajo de cuidado no remunerado entre hombres y mujeres.</v>
      </c>
      <c r="C40" s="918">
        <f>+'Metas 6 (ONU Mujeres)'!B34</f>
        <v>0.2</v>
      </c>
      <c r="D40" s="919" t="s">
        <v>753</v>
      </c>
      <c r="E40" s="920">
        <v>547234329</v>
      </c>
      <c r="F40" s="920">
        <f>+T40</f>
        <v>547234329</v>
      </c>
      <c r="G40" s="920">
        <f t="shared" si="0"/>
        <v>0</v>
      </c>
      <c r="H40" s="920">
        <f>+'Metas 6 (ONU Mujeres)'!Q$22</f>
        <v>371243829</v>
      </c>
      <c r="I40" s="920">
        <f>+'Metas 6 (ONU Mujeres)'!R$22</f>
        <v>22500000</v>
      </c>
      <c r="J40" s="920">
        <f>+'Metas 6 (ONU Mujeres)'!S$22</f>
        <v>0</v>
      </c>
      <c r="K40" s="920">
        <f>+'Metas 6 (ONU Mujeres)'!T$22</f>
        <v>27180500</v>
      </c>
      <c r="L40" s="920">
        <f>+'Metas 6 (ONU Mujeres)'!U$22</f>
        <v>18810000</v>
      </c>
      <c r="M40" s="920">
        <f>+'Metas 6 (ONU Mujeres)'!V$22</f>
        <v>1000000</v>
      </c>
      <c r="N40" s="920">
        <f>+'Metas 6 (ONU Mujeres)'!W$22</f>
        <v>34000000</v>
      </c>
      <c r="O40" s="920">
        <f>+'Metas 6 (ONU Mujeres)'!X$22</f>
        <v>72500000</v>
      </c>
      <c r="P40" s="920">
        <f>+'Metas 6 (ONU Mujeres)'!Y$22</f>
        <v>0</v>
      </c>
      <c r="Q40" s="920">
        <f>+'Metas 6 (ONU Mujeres)'!Z$22</f>
        <v>0</v>
      </c>
      <c r="R40" s="920">
        <f>+'Metas 6 (ONU Mujeres)'!AA$22</f>
        <v>0</v>
      </c>
      <c r="S40" s="920">
        <f>+'Metas 6 (ONU Mujeres)'!AB$22</f>
        <v>0</v>
      </c>
      <c r="T40" s="920">
        <f>+'Metas 6 (ONU Mujeres)'!AC$22</f>
        <v>547234329</v>
      </c>
      <c r="U40" s="920">
        <f>+'Metas 6 (ONU Mujeres)'!AD$22</f>
        <v>0</v>
      </c>
      <c r="V40" s="921"/>
      <c r="W40" s="922"/>
      <c r="X40" s="920">
        <f>+'Metas 6 (ONU Mujeres)'!C$22</f>
        <v>0</v>
      </c>
      <c r="Y40" s="920">
        <f>+'Metas 6 (ONU Mujeres)'!D$22</f>
        <v>0</v>
      </c>
      <c r="Z40" s="920">
        <f>+'Metas 6 (ONU Mujeres)'!E$22</f>
        <v>0</v>
      </c>
      <c r="AA40" s="920">
        <f>+'Metas 6 (ONU Mujeres)'!F$22</f>
        <v>0</v>
      </c>
      <c r="AB40" s="920">
        <f>+'Metas 6 (ONU Mujeres)'!G$22</f>
        <v>0</v>
      </c>
      <c r="AC40" s="920">
        <f>+'Metas 6 (ONU Mujeres)'!H$22</f>
        <v>0</v>
      </c>
      <c r="AD40" s="920">
        <f>+'Metas 6 (ONU Mujeres)'!I$22</f>
        <v>0</v>
      </c>
      <c r="AE40" s="920">
        <f>+'Metas 6 (ONU Mujeres)'!J$22</f>
        <v>0</v>
      </c>
      <c r="AF40" s="920">
        <f>+'Metas 6 (ONU Mujeres)'!K$22</f>
        <v>0</v>
      </c>
      <c r="AG40" s="920">
        <f>+'Metas 6 (ONU Mujeres)'!L$22</f>
        <v>0</v>
      </c>
      <c r="AH40" s="920">
        <f>+'Metas 6 (ONU Mujeres)'!M$22</f>
        <v>0</v>
      </c>
      <c r="AI40" s="920">
        <f>+'Metas 6 (ONU Mujeres)'!N$22</f>
        <v>0</v>
      </c>
      <c r="AJ40" s="920">
        <f>+'Metas 6 (ONU Mujeres)'!O$22</f>
        <v>0</v>
      </c>
      <c r="AK40" s="920">
        <f>+'Metas 6 (ONU Mujeres)'!P$22</f>
        <v>0</v>
      </c>
    </row>
    <row r="41" spans="1:37">
      <c r="A41" s="928"/>
      <c r="B41" s="917"/>
      <c r="C41" s="917"/>
      <c r="D41" s="919" t="s">
        <v>139</v>
      </c>
      <c r="E41" s="920"/>
      <c r="F41" s="920"/>
      <c r="G41" s="920">
        <f t="shared" si="0"/>
        <v>0</v>
      </c>
      <c r="H41" s="920">
        <f>+'Metas 6 (ONU Mujeres)'!Q$23</f>
        <v>371243829</v>
      </c>
      <c r="I41" s="920">
        <f>+'Metas 6 (ONU Mujeres)'!R$23</f>
        <v>0</v>
      </c>
      <c r="J41" s="920">
        <f>+'Metas 6 (ONU Mujeres)'!S$23</f>
        <v>15695590</v>
      </c>
      <c r="K41" s="920">
        <f>+'Metas 6 (ONU Mujeres)'!T$23</f>
        <v>14195831</v>
      </c>
      <c r="L41" s="920">
        <f>+'Metas 6 (ONU Mujeres)'!U$23</f>
        <v>18226266</v>
      </c>
      <c r="M41" s="920">
        <f>+'Metas 6 (ONU Mujeres)'!V$23</f>
        <v>0</v>
      </c>
      <c r="N41" s="920">
        <f>+'Metas 6 (ONU Mujeres)'!W$23</f>
        <v>0</v>
      </c>
      <c r="O41" s="920">
        <f>+'Metas 6 (ONU Mujeres)'!X$23</f>
        <v>0</v>
      </c>
      <c r="P41" s="920">
        <f>+'Metas 6 (ONU Mujeres)'!Y$23</f>
        <v>0</v>
      </c>
      <c r="Q41" s="920">
        <f>+'Metas 6 (ONU Mujeres)'!Z$23</f>
        <v>0</v>
      </c>
      <c r="R41" s="920">
        <f>+'Metas 6 (ONU Mujeres)'!AA$23</f>
        <v>0</v>
      </c>
      <c r="S41" s="920">
        <f>+'Metas 6 (ONU Mujeres)'!AB$23</f>
        <v>0</v>
      </c>
      <c r="T41" s="920">
        <f>+'Metas 6 (ONU Mujeres)'!AC$23</f>
        <v>419361786</v>
      </c>
      <c r="U41" s="920">
        <f>+'Metas 6 (ONU Mujeres)'!AD$23</f>
        <v>0.76632945664488827</v>
      </c>
      <c r="V41" s="921">
        <f>+T41/T40</f>
        <v>0.76632945664488827</v>
      </c>
      <c r="W41" s="922"/>
      <c r="X41" s="920">
        <f>+'Metas 6 (ONU Mujeres)'!C$23</f>
        <v>224665526</v>
      </c>
      <c r="Y41" s="920">
        <f>+'Metas 6 (ONU Mujeres)'!D$23</f>
        <v>0</v>
      </c>
      <c r="Z41" s="920">
        <f>+'Metas 6 (ONU Mujeres)'!E$23</f>
        <v>-2744000</v>
      </c>
      <c r="AA41" s="920">
        <f>+'Metas 6 (ONU Mujeres)'!F$23</f>
        <v>0</v>
      </c>
      <c r="AB41" s="920">
        <f>+'Metas 6 (ONU Mujeres)'!G$23</f>
        <v>-179378</v>
      </c>
      <c r="AC41" s="920">
        <f>+'Metas 6 (ONU Mujeres)'!H$23</f>
        <v>0</v>
      </c>
      <c r="AD41" s="920">
        <f>+'Metas 6 (ONU Mujeres)'!I$23</f>
        <v>0</v>
      </c>
      <c r="AE41" s="920">
        <f>+'Metas 6 (ONU Mujeres)'!J$23</f>
        <v>0</v>
      </c>
      <c r="AF41" s="920">
        <f>+'Metas 6 (ONU Mujeres)'!K$23</f>
        <v>0</v>
      </c>
      <c r="AG41" s="920">
        <f>+'Metas 6 (ONU Mujeres)'!L$23</f>
        <v>0</v>
      </c>
      <c r="AH41" s="920">
        <f>+'Metas 6 (ONU Mujeres)'!M$23</f>
        <v>0</v>
      </c>
      <c r="AI41" s="920">
        <f>+'Metas 6 (ONU Mujeres)'!N$23</f>
        <v>0</v>
      </c>
      <c r="AJ41" s="920">
        <f>+'Metas 6 (ONU Mujeres)'!O$23</f>
        <v>221742148</v>
      </c>
      <c r="AK41" s="920" t="str">
        <f>+'Metas 6 (ONU Mujeres)'!P$23</f>
        <v xml:space="preserve"> </v>
      </c>
    </row>
    <row r="42" spans="1:37" ht="30">
      <c r="A42" s="928"/>
      <c r="B42" s="917"/>
      <c r="C42" s="917"/>
      <c r="D42" s="919" t="s">
        <v>141</v>
      </c>
      <c r="E42" s="920">
        <v>547234329</v>
      </c>
      <c r="F42" s="920">
        <f>+T42</f>
        <v>547234329</v>
      </c>
      <c r="G42" s="920">
        <f t="shared" si="0"/>
        <v>0</v>
      </c>
      <c r="H42" s="920">
        <f>+'Metas 6 (ONU Mujeres)'!Q$24</f>
        <v>0</v>
      </c>
      <c r="I42" s="920">
        <f>+'Metas 6 (ONU Mujeres)'!R$24</f>
        <v>13926297</v>
      </c>
      <c r="J42" s="920">
        <f>+'Metas 6 (ONU Mujeres)'!S$24</f>
        <v>32504200</v>
      </c>
      <c r="K42" s="920">
        <f>+'Metas 6 (ONU Mujeres)'!T$24</f>
        <v>35879200</v>
      </c>
      <c r="L42" s="920">
        <f>+'Metas 6 (ONU Mujeres)'!U$24</f>
        <v>34724254</v>
      </c>
      <c r="M42" s="920">
        <f>+'Metas 6 (ONU Mujeres)'!V$24</f>
        <v>41640923</v>
      </c>
      <c r="N42" s="920">
        <f>+'Metas 6 (ONU Mujeres)'!W$24</f>
        <v>52324256</v>
      </c>
      <c r="O42" s="920">
        <f>+'Metas 6 (ONU Mujeres)'!X$24</f>
        <v>70160922</v>
      </c>
      <c r="P42" s="920">
        <f>+'Metas 6 (ONU Mujeres)'!Y$24</f>
        <v>35890922</v>
      </c>
      <c r="Q42" s="920">
        <f>+'Metas 6 (ONU Mujeres)'!Z$24</f>
        <v>39760922</v>
      </c>
      <c r="R42" s="920">
        <f>+'Metas 6 (ONU Mujeres)'!AA$24</f>
        <v>66765922</v>
      </c>
      <c r="S42" s="920">
        <f>+'Metas 6 (ONU Mujeres)'!AB$24</f>
        <v>123656511</v>
      </c>
      <c r="T42" s="920">
        <f>+'Metas 6 (ONU Mujeres)'!AC$24</f>
        <v>547234329</v>
      </c>
      <c r="U42" s="920">
        <f>+'Metas 6 (ONU Mujeres)'!AD$24</f>
        <v>0</v>
      </c>
      <c r="V42" s="921"/>
      <c r="W42" s="922"/>
      <c r="X42" s="920">
        <f>+'Metas 6 (ONU Mujeres)'!C$24</f>
        <v>0</v>
      </c>
      <c r="Y42" s="920">
        <f>+'Metas 6 (ONU Mujeres)'!D$24</f>
        <v>200686598</v>
      </c>
      <c r="Z42" s="920">
        <f>+'Metas 6 (ONU Mujeres)'!E$24</f>
        <v>7059928</v>
      </c>
      <c r="AA42" s="920">
        <f>+'Metas 6 (ONU Mujeres)'!F$24</f>
        <v>14175000</v>
      </c>
      <c r="AB42" s="920">
        <f>+'Metas 6 (ONU Mujeres)'!G$24</f>
        <v>0</v>
      </c>
      <c r="AC42" s="920">
        <f>+'Metas 6 (ONU Mujeres)'!H$24</f>
        <v>0</v>
      </c>
      <c r="AD42" s="920">
        <f>+'Metas 6 (ONU Mujeres)'!I$24</f>
        <v>0</v>
      </c>
      <c r="AE42" s="920">
        <f>+'Metas 6 (ONU Mujeres)'!J$24</f>
        <v>0</v>
      </c>
      <c r="AF42" s="920">
        <f>+'Metas 6 (ONU Mujeres)'!K$24</f>
        <v>0</v>
      </c>
      <c r="AG42" s="920">
        <f>+'Metas 6 (ONU Mujeres)'!L$24</f>
        <v>0</v>
      </c>
      <c r="AH42" s="920">
        <f>+'Metas 6 (ONU Mujeres)'!M$24</f>
        <v>0</v>
      </c>
      <c r="AI42" s="920">
        <f>+'Metas 6 (ONU Mujeres)'!N$24</f>
        <v>0</v>
      </c>
      <c r="AJ42" s="920">
        <f>+'Metas 6 (ONU Mujeres)'!O$24</f>
        <v>221921526</v>
      </c>
      <c r="AK42" s="920">
        <f>+'Metas 6 (ONU Mujeres)'!P$24</f>
        <v>0</v>
      </c>
    </row>
    <row r="43" spans="1:37">
      <c r="A43" s="928"/>
      <c r="B43" s="917"/>
      <c r="C43" s="917"/>
      <c r="D43" s="919" t="s">
        <v>142</v>
      </c>
      <c r="E43" s="920"/>
      <c r="F43" s="920"/>
      <c r="G43" s="920">
        <f t="shared" si="0"/>
        <v>0</v>
      </c>
      <c r="H43" s="920">
        <f>+'Metas 6 (ONU Mujeres)'!Q$25</f>
        <v>0</v>
      </c>
      <c r="I43" s="920">
        <f>+'Metas 6 (ONU Mujeres)'!R$25</f>
        <v>8988603</v>
      </c>
      <c r="J43" s="920">
        <f>+'Metas 6 (ONU Mujeres)'!S$25</f>
        <v>31806534</v>
      </c>
      <c r="K43" s="920">
        <f>+'Metas 6 (ONU Mujeres)'!T$25</f>
        <v>33177133</v>
      </c>
      <c r="L43" s="920">
        <f>+'Metas 6 (ONU Mujeres)'!U$25</f>
        <v>31609200</v>
      </c>
      <c r="M43" s="920">
        <f>+'Metas 6 (ONU Mujeres)'!V$25</f>
        <v>0</v>
      </c>
      <c r="N43" s="920">
        <f>+'Metas 6 (ONU Mujeres)'!W$25</f>
        <v>0</v>
      </c>
      <c r="O43" s="920">
        <f>+'Metas 6 (ONU Mujeres)'!X$25</f>
        <v>0</v>
      </c>
      <c r="P43" s="920">
        <f>+'Metas 6 (ONU Mujeres)'!Y$25</f>
        <v>0</v>
      </c>
      <c r="Q43" s="920">
        <f>+'Metas 6 (ONU Mujeres)'!Z$25</f>
        <v>0</v>
      </c>
      <c r="R43" s="920">
        <f>+'Metas 6 (ONU Mujeres)'!AA$25</f>
        <v>0</v>
      </c>
      <c r="S43" s="920">
        <f>+'Metas 6 (ONU Mujeres)'!AB$25</f>
        <v>0</v>
      </c>
      <c r="T43" s="920">
        <f>+'Metas 6 (ONU Mujeres)'!AC$25</f>
        <v>105581470</v>
      </c>
      <c r="U43" s="920">
        <f>+'Metas 6 (ONU Mujeres)'!AD$25</f>
        <v>0.19293648882177492</v>
      </c>
      <c r="V43" s="921"/>
      <c r="W43" s="922"/>
      <c r="X43" s="920">
        <f>+'Metas 6 (ONU Mujeres)'!C$25</f>
        <v>0</v>
      </c>
      <c r="Y43" s="920">
        <f>+'Metas 6 (ONU Mujeres)'!D$25</f>
        <v>183052517</v>
      </c>
      <c r="Z43" s="920">
        <f>+'Metas 6 (ONU Mujeres)'!E$25</f>
        <v>17167870</v>
      </c>
      <c r="AA43" s="920">
        <f>+'Metas 6 (ONU Mujeres)'!F$25</f>
        <v>1175000</v>
      </c>
      <c r="AB43" s="920">
        <f>+'Metas 6 (ONU Mujeres)'!G$25</f>
        <v>7134987</v>
      </c>
      <c r="AC43" s="920">
        <f>+'Metas 6 (ONU Mujeres)'!H$25</f>
        <v>0</v>
      </c>
      <c r="AD43" s="920">
        <f>+'Metas 6 (ONU Mujeres)'!I$25</f>
        <v>0</v>
      </c>
      <c r="AE43" s="920">
        <f>+'Metas 6 (ONU Mujeres)'!J$25</f>
        <v>0</v>
      </c>
      <c r="AF43" s="920">
        <f>+'Metas 6 (ONU Mujeres)'!K$25</f>
        <v>0</v>
      </c>
      <c r="AG43" s="920">
        <f>+'Metas 6 (ONU Mujeres)'!L$25</f>
        <v>0</v>
      </c>
      <c r="AH43" s="920">
        <f>+'Metas 6 (ONU Mujeres)'!M$25</f>
        <v>0</v>
      </c>
      <c r="AI43" s="920">
        <f>+'Metas 6 (ONU Mujeres)'!N$25</f>
        <v>0</v>
      </c>
      <c r="AJ43" s="920">
        <f>+'Metas 6 (ONU Mujeres)'!O$25</f>
        <v>208530374</v>
      </c>
      <c r="AK43" s="920">
        <f>+'Metas 6 (ONU Mujeres)'!P$25</f>
        <v>0.9396581654724202</v>
      </c>
    </row>
    <row r="44" spans="1:37">
      <c r="A44" s="928"/>
      <c r="B44" s="917"/>
      <c r="C44" s="917"/>
      <c r="D44" s="919" t="s">
        <v>754</v>
      </c>
      <c r="E44" s="923">
        <f>+Hoja1!$AS$37</f>
        <v>0</v>
      </c>
      <c r="F44" s="924">
        <f>+'Metas 6 (ONU Mujeres)'!$W$17</f>
        <v>1</v>
      </c>
      <c r="G44" s="924">
        <f t="shared" si="0"/>
        <v>-1</v>
      </c>
      <c r="H44" s="925">
        <f>+'Metas 6 (ONU Mujeres)'!D$34</f>
        <v>0.72499999999999998</v>
      </c>
      <c r="I44" s="925">
        <f>+'Metas 6 (ONU Mujeres)'!E$34</f>
        <v>0.75</v>
      </c>
      <c r="J44" s="925">
        <f>+'Metas 6 (ONU Mujeres)'!F$34</f>
        <v>0.77500000000000002</v>
      </c>
      <c r="K44" s="925">
        <f>+'Metas 6 (ONU Mujeres)'!G$34</f>
        <v>0.8</v>
      </c>
      <c r="L44" s="925">
        <f>+'Metas 6 (ONU Mujeres)'!H$34</f>
        <v>0.82500000000000007</v>
      </c>
      <c r="M44" s="925">
        <f>+'Metas 6 (ONU Mujeres)'!I$34</f>
        <v>0.85000000000000009</v>
      </c>
      <c r="N44" s="925">
        <f>+'Metas 6 (ONU Mujeres)'!J$34</f>
        <v>0.87500000000000011</v>
      </c>
      <c r="O44" s="925">
        <f>+'Metas 6 (ONU Mujeres)'!K$34</f>
        <v>0.90000000000000013</v>
      </c>
      <c r="P44" s="925">
        <f>+'Metas 6 (ONU Mujeres)'!L$34</f>
        <v>0.92500000000000016</v>
      </c>
      <c r="Q44" s="925">
        <f>+'Metas 6 (ONU Mujeres)'!M$34</f>
        <v>0.95000000000000018</v>
      </c>
      <c r="R44" s="925">
        <f>+'Metas 6 (ONU Mujeres)'!N$34</f>
        <v>0.9750000000000002</v>
      </c>
      <c r="S44" s="925">
        <f>+'Metas 6 (ONU Mujeres)'!O$34</f>
        <v>1.0000000000000002</v>
      </c>
      <c r="T44" s="925">
        <f>+'Metas 6 (ONU Mujeres)'!P$34</f>
        <v>1.0000000000000002</v>
      </c>
      <c r="U44" s="925">
        <f>+'Metas 6 (ONU Mujeres)'!P$34</f>
        <v>1.0000000000000002</v>
      </c>
      <c r="V44" s="921"/>
      <c r="W44" s="926"/>
    </row>
    <row r="45" spans="1:37">
      <c r="A45" s="930"/>
      <c r="B45" s="917"/>
      <c r="C45" s="917"/>
      <c r="D45" s="919" t="s">
        <v>755</v>
      </c>
      <c r="E45" s="925"/>
      <c r="F45" s="925"/>
      <c r="G45" s="925">
        <f t="shared" si="0"/>
        <v>0</v>
      </c>
      <c r="H45" s="925">
        <f>+'Metas 6 (ONU Mujeres)'!D$35</f>
        <v>0.71841999999999995</v>
      </c>
      <c r="I45" s="925">
        <f>+'Metas 6 (ONU Mujeres)'!E$35</f>
        <v>0.74681749999999991</v>
      </c>
      <c r="J45" s="925">
        <f>+'Metas 6 (ONU Mujeres)'!F$35</f>
        <v>0.77444749999999996</v>
      </c>
      <c r="K45" s="925">
        <f>+'Metas 6 (ONU Mujeres)'!G$35</f>
        <v>0.77444749999999996</v>
      </c>
      <c r="L45" s="925">
        <f>+'Metas 6 (ONU Mujeres)'!H$35</f>
        <v>0.82203249999999994</v>
      </c>
      <c r="M45" s="925">
        <f>+'Metas 6 (ONU Mujeres)'!I$35</f>
        <v>0.82203249999999994</v>
      </c>
      <c r="N45" s="925">
        <f>+'Metas 6 (ONU Mujeres)'!J$35</f>
        <v>0.82203249999999994</v>
      </c>
      <c r="O45" s="925">
        <f>+'Metas 6 (ONU Mujeres)'!K$35</f>
        <v>0.82203249999999994</v>
      </c>
      <c r="P45" s="925">
        <f>+'Metas 6 (ONU Mujeres)'!L$35</f>
        <v>0.82203249999999994</v>
      </c>
      <c r="Q45" s="925">
        <f>+'Metas 6 (ONU Mujeres)'!M$35</f>
        <v>0.82203249999999994</v>
      </c>
      <c r="R45" s="925">
        <f>+'Metas 6 (ONU Mujeres)'!N$35</f>
        <v>0.82203249999999994</v>
      </c>
      <c r="S45" s="925">
        <f>+'Metas 6 (ONU Mujeres)'!O$35</f>
        <v>0.82203249999999994</v>
      </c>
      <c r="T45" s="925">
        <f>+'Metas 6 (ONU Mujeres)'!P$35</f>
        <v>0.82203249999999994</v>
      </c>
      <c r="U45" s="925">
        <f>+'Metas 6 (ONU Mujeres)'!P$35</f>
        <v>0.82203249999999994</v>
      </c>
      <c r="V45" s="921"/>
      <c r="W45" s="926"/>
    </row>
    <row r="46" spans="1:37">
      <c r="A46" s="927">
        <f>+A40+1</f>
        <v>7</v>
      </c>
      <c r="B46" s="917" t="str">
        <f>+'Metas 7 (Unidades Moviles)'!A34</f>
        <v>7. Gestionar la implementación de 1 estrategia de unidades móviles de cuidado.</v>
      </c>
      <c r="C46" s="918">
        <f>+'Metas 7 (Unidades Moviles)'!B34</f>
        <v>0.15000000000000002</v>
      </c>
      <c r="D46" s="919" t="s">
        <v>753</v>
      </c>
      <c r="E46" s="920">
        <v>3482036529</v>
      </c>
      <c r="F46" s="920">
        <f>+T46</f>
        <v>3482036529</v>
      </c>
      <c r="G46" s="920">
        <f t="shared" si="0"/>
        <v>0</v>
      </c>
      <c r="H46" s="920">
        <f>+'Metas 7 (Unidades Moviles)'!Q$22</f>
        <v>1087452842</v>
      </c>
      <c r="I46" s="920">
        <f>+'Metas 7 (Unidades Moviles)'!R$22</f>
        <v>22500000</v>
      </c>
      <c r="J46" s="920">
        <f>+'Metas 7 (Unidades Moviles)'!S$22</f>
        <v>2262603187</v>
      </c>
      <c r="K46" s="920">
        <f>+'Metas 7 (Unidades Moviles)'!T$22</f>
        <v>19980500</v>
      </c>
      <c r="L46" s="920">
        <f>+'Metas 7 (Unidades Moviles)'!U$22</f>
        <v>16000000</v>
      </c>
      <c r="M46" s="920">
        <f>+'Metas 7 (Unidades Moviles)'!V$22</f>
        <v>1000000</v>
      </c>
      <c r="N46" s="920">
        <f>+'Metas 7 (Unidades Moviles)'!W$22</f>
        <v>0</v>
      </c>
      <c r="O46" s="920">
        <f>+'Metas 7 (Unidades Moviles)'!X$22</f>
        <v>72500000</v>
      </c>
      <c r="P46" s="920">
        <f>+'Metas 7 (Unidades Moviles)'!Y$22</f>
        <v>0</v>
      </c>
      <c r="Q46" s="920">
        <f>+'Metas 7 (Unidades Moviles)'!Z$22</f>
        <v>0</v>
      </c>
      <c r="R46" s="920">
        <f>+'Metas 7 (Unidades Moviles)'!AA$22</f>
        <v>0</v>
      </c>
      <c r="S46" s="920">
        <f>+'Metas 7 (Unidades Moviles)'!AB$22</f>
        <v>0</v>
      </c>
      <c r="T46" s="920">
        <f>+'Metas 7 (Unidades Moviles)'!AC$22</f>
        <v>3482036529</v>
      </c>
      <c r="U46" s="920">
        <f>+'Metas 7 (Unidades Moviles)'!AD$22</f>
        <v>0</v>
      </c>
      <c r="V46" s="921"/>
      <c r="W46" s="922"/>
      <c r="X46" s="920">
        <f>+'Metas 7 (Unidades Moviles)'!C$22</f>
        <v>0</v>
      </c>
      <c r="Y46" s="920">
        <f>+'Metas 7 (Unidades Moviles)'!D$22</f>
        <v>0</v>
      </c>
      <c r="Z46" s="920">
        <f>+'Metas 7 (Unidades Moviles)'!E$22</f>
        <v>0</v>
      </c>
      <c r="AA46" s="920">
        <f>+'Metas 7 (Unidades Moviles)'!F$22</f>
        <v>0</v>
      </c>
      <c r="AB46" s="920">
        <f>+'Metas 7 (Unidades Moviles)'!G$22</f>
        <v>0</v>
      </c>
      <c r="AC46" s="920">
        <f>+'Metas 7 (Unidades Moviles)'!H$22</f>
        <v>0</v>
      </c>
      <c r="AD46" s="920">
        <f>+'Metas 7 (Unidades Moviles)'!I$22</f>
        <v>0</v>
      </c>
      <c r="AE46" s="920">
        <f>+'Metas 7 (Unidades Moviles)'!J$22</f>
        <v>0</v>
      </c>
      <c r="AF46" s="920">
        <f>+'Metas 7 (Unidades Moviles)'!K$22</f>
        <v>0</v>
      </c>
      <c r="AG46" s="920">
        <f>+'Metas 7 (Unidades Moviles)'!L$22</f>
        <v>0</v>
      </c>
      <c r="AH46" s="920">
        <f>+'Metas 7 (Unidades Moviles)'!M$22</f>
        <v>0</v>
      </c>
      <c r="AI46" s="920">
        <f>+'Metas 7 (Unidades Moviles)'!N$22</f>
        <v>0</v>
      </c>
      <c r="AJ46" s="920">
        <f>+'Metas 7 (Unidades Moviles)'!O$22</f>
        <v>0</v>
      </c>
      <c r="AK46" s="920">
        <f>+'Metas 7 (Unidades Moviles)'!P$22</f>
        <v>0</v>
      </c>
    </row>
    <row r="47" spans="1:37">
      <c r="A47" s="928"/>
      <c r="B47" s="917"/>
      <c r="C47" s="917"/>
      <c r="D47" s="919" t="s">
        <v>139</v>
      </c>
      <c r="E47" s="920"/>
      <c r="F47" s="920"/>
      <c r="G47" s="920">
        <f t="shared" si="0"/>
        <v>0</v>
      </c>
      <c r="H47" s="920">
        <f>+'Metas 7 (Unidades Moviles)'!Q$23</f>
        <v>1087452840</v>
      </c>
      <c r="I47" s="920">
        <f>+'Metas 7 (Unidades Moviles)'!R$23</f>
        <v>0</v>
      </c>
      <c r="J47" s="920">
        <f>+'Metas 7 (Unidades Moviles)'!S$23</f>
        <v>4447824</v>
      </c>
      <c r="K47" s="920">
        <f>+'Metas 7 (Unidades Moviles)'!T$23</f>
        <v>8261659</v>
      </c>
      <c r="L47" s="920">
        <f>+'Metas 7 (Unidades Moviles)'!U$23</f>
        <v>18226535</v>
      </c>
      <c r="M47" s="920">
        <f>+'Metas 7 (Unidades Moviles)'!V$23</f>
        <v>0</v>
      </c>
      <c r="N47" s="920">
        <f>+'Metas 7 (Unidades Moviles)'!W$23</f>
        <v>0</v>
      </c>
      <c r="O47" s="920">
        <f>+'Metas 7 (Unidades Moviles)'!X$23</f>
        <v>0</v>
      </c>
      <c r="P47" s="920">
        <f>+'Metas 7 (Unidades Moviles)'!Y$23</f>
        <v>0</v>
      </c>
      <c r="Q47" s="920">
        <f>+'Metas 7 (Unidades Moviles)'!Z$23</f>
        <v>0</v>
      </c>
      <c r="R47" s="920">
        <f>+'Metas 7 (Unidades Moviles)'!AA$23</f>
        <v>0</v>
      </c>
      <c r="S47" s="920">
        <f>+'Metas 7 (Unidades Moviles)'!AB$23</f>
        <v>0</v>
      </c>
      <c r="T47" s="920">
        <f>+'Metas 7 (Unidades Moviles)'!AC$23</f>
        <v>1118388858</v>
      </c>
      <c r="U47" s="920">
        <f>+'Metas 7 (Unidades Moviles)'!AD$23</f>
        <v>0.32118814627174175</v>
      </c>
      <c r="V47" s="921">
        <f>+T47/T46</f>
        <v>0.32118814627174175</v>
      </c>
      <c r="W47" s="922"/>
      <c r="X47" s="920">
        <f>+'Metas 7 (Unidades Moviles)'!C$23</f>
        <v>6741045</v>
      </c>
      <c r="Y47" s="920">
        <f>+'Metas 7 (Unidades Moviles)'!D$23</f>
        <v>0</v>
      </c>
      <c r="Z47" s="920">
        <f>+'Metas 7 (Unidades Moviles)'!E$23</f>
        <v>-2744000</v>
      </c>
      <c r="AA47" s="920">
        <f>+'Metas 7 (Unidades Moviles)'!F$23</f>
        <v>0</v>
      </c>
      <c r="AB47" s="920">
        <f>+'Metas 7 (Unidades Moviles)'!G$23</f>
        <v>-179377</v>
      </c>
      <c r="AC47" s="920">
        <f>+'Metas 7 (Unidades Moviles)'!H$23</f>
        <v>0</v>
      </c>
      <c r="AD47" s="920">
        <f>+'Metas 7 (Unidades Moviles)'!I$23</f>
        <v>0</v>
      </c>
      <c r="AE47" s="920">
        <f>+'Metas 7 (Unidades Moviles)'!J$23</f>
        <v>0</v>
      </c>
      <c r="AF47" s="920">
        <f>+'Metas 7 (Unidades Moviles)'!K$23</f>
        <v>0</v>
      </c>
      <c r="AG47" s="920">
        <f>+'Metas 7 (Unidades Moviles)'!L$23</f>
        <v>0</v>
      </c>
      <c r="AH47" s="920">
        <f>+'Metas 7 (Unidades Moviles)'!M$23</f>
        <v>0</v>
      </c>
      <c r="AI47" s="920">
        <f>+'Metas 7 (Unidades Moviles)'!N$23</f>
        <v>0</v>
      </c>
      <c r="AJ47" s="920">
        <f>+'Metas 7 (Unidades Moviles)'!O$23</f>
        <v>3817668</v>
      </c>
      <c r="AK47" s="920" t="str">
        <f>+'Metas 7 (Unidades Moviles)'!P$23</f>
        <v xml:space="preserve"> </v>
      </c>
    </row>
    <row r="48" spans="1:37" ht="30">
      <c r="A48" s="928"/>
      <c r="B48" s="917"/>
      <c r="C48" s="917"/>
      <c r="D48" s="919" t="s">
        <v>141</v>
      </c>
      <c r="E48" s="920">
        <v>3482036529</v>
      </c>
      <c r="F48" s="920">
        <f>+T48</f>
        <v>3482036529</v>
      </c>
      <c r="G48" s="920">
        <f t="shared" si="0"/>
        <v>0</v>
      </c>
      <c r="H48" s="920">
        <f>+'Metas 7 (Unidades Moviles)'!Q$24</f>
        <v>0</v>
      </c>
      <c r="I48" s="920">
        <f>+'Metas 7 (Unidades Moviles)'!R$24</f>
        <v>37420042</v>
      </c>
      <c r="J48" s="920">
        <f>+'Metas 7 (Unidades Moviles)'!S$24</f>
        <v>95526800</v>
      </c>
      <c r="K48" s="920">
        <f>+'Metas 7 (Unidades Moviles)'!T$24</f>
        <v>98901800</v>
      </c>
      <c r="L48" s="920">
        <f>+'Metas 7 (Unidades Moviles)'!U$24</f>
        <v>609658160</v>
      </c>
      <c r="M48" s="920">
        <f>+'Metas 7 (Unidades Moviles)'!V$24</f>
        <v>576489980</v>
      </c>
      <c r="N48" s="920">
        <f>+'Metas 7 (Unidades Moviles)'!W$24</f>
        <v>271584201</v>
      </c>
      <c r="O48" s="920">
        <f>+'Metas 7 (Unidades Moviles)'!X$24</f>
        <v>258250867</v>
      </c>
      <c r="P48" s="920">
        <f>+'Metas 7 (Unidades Moviles)'!Y$24</f>
        <v>258584201</v>
      </c>
      <c r="Q48" s="920">
        <f>+'Metas 7 (Unidades Moviles)'!Z$24</f>
        <v>258250867</v>
      </c>
      <c r="R48" s="920">
        <f>+'Metas 7 (Unidades Moviles)'!AA$24</f>
        <v>289459201</v>
      </c>
      <c r="S48" s="920">
        <f>+'Metas 7 (Unidades Moviles)'!AB$24</f>
        <v>727910410</v>
      </c>
      <c r="T48" s="920">
        <f>+'Metas 7 (Unidades Moviles)'!AC$24</f>
        <v>3482036529</v>
      </c>
      <c r="U48" s="920">
        <f>+'Metas 7 (Unidades Moviles)'!AD$24</f>
        <v>0</v>
      </c>
      <c r="W48" s="922"/>
      <c r="X48" s="920">
        <f>+'Metas 7 (Unidades Moviles)'!C$24</f>
        <v>0</v>
      </c>
      <c r="Y48" s="920">
        <f>+'Metas 7 (Unidades Moviles)'!D$24</f>
        <v>1467667</v>
      </c>
      <c r="Z48" s="920">
        <f>+'Metas 7 (Unidades Moviles)'!E$24</f>
        <v>1354378</v>
      </c>
      <c r="AA48" s="920">
        <f>+'Metas 7 (Unidades Moviles)'!F$24</f>
        <v>1175000</v>
      </c>
      <c r="AB48" s="920">
        <f>+'Metas 7 (Unidades Moviles)'!G$24</f>
        <v>0</v>
      </c>
      <c r="AC48" s="920">
        <f>+'Metas 7 (Unidades Moviles)'!H$24</f>
        <v>0</v>
      </c>
      <c r="AD48" s="920">
        <f>+'Metas 7 (Unidades Moviles)'!I$24</f>
        <v>0</v>
      </c>
      <c r="AE48" s="920">
        <f>+'Metas 7 (Unidades Moviles)'!J$24</f>
        <v>0</v>
      </c>
      <c r="AF48" s="920">
        <f>+'Metas 7 (Unidades Moviles)'!K$24</f>
        <v>0</v>
      </c>
      <c r="AG48" s="920">
        <f>+'Metas 7 (Unidades Moviles)'!L$24</f>
        <v>0</v>
      </c>
      <c r="AH48" s="920">
        <f>+'Metas 7 (Unidades Moviles)'!M$24</f>
        <v>0</v>
      </c>
      <c r="AI48" s="920">
        <f>+'Metas 7 (Unidades Moviles)'!N$24</f>
        <v>0</v>
      </c>
      <c r="AJ48" s="920">
        <f>+'Metas 7 (Unidades Moviles)'!O$24</f>
        <v>3997045</v>
      </c>
      <c r="AK48" s="920">
        <f>+'Metas 7 (Unidades Moviles)'!P$24</f>
        <v>0</v>
      </c>
    </row>
    <row r="49" spans="1:37">
      <c r="A49" s="928"/>
      <c r="B49" s="917"/>
      <c r="C49" s="917"/>
      <c r="D49" s="919" t="s">
        <v>142</v>
      </c>
      <c r="E49" s="920"/>
      <c r="F49" s="920"/>
      <c r="G49" s="920">
        <f t="shared" si="0"/>
        <v>0</v>
      </c>
      <c r="H49" s="920">
        <f>+'Metas 7 (Unidades Moviles)'!Q$25</f>
        <v>0</v>
      </c>
      <c r="I49" s="920">
        <f>+'Metas 7 (Unidades Moviles)'!R$25</f>
        <v>13608498</v>
      </c>
      <c r="J49" s="920">
        <f>+'Metas 7 (Unidades Moviles)'!S$25</f>
        <v>94854709</v>
      </c>
      <c r="K49" s="920">
        <f>+'Metas 7 (Unidades Moviles)'!T$25</f>
        <v>95010083</v>
      </c>
      <c r="L49" s="920">
        <f>+'Metas 7 (Unidades Moviles)'!U$25</f>
        <v>95821450</v>
      </c>
      <c r="M49" s="920">
        <f>+'Metas 7 (Unidades Moviles)'!V$25</f>
        <v>0</v>
      </c>
      <c r="N49" s="920">
        <f>+'Metas 7 (Unidades Moviles)'!W$25</f>
        <v>0</v>
      </c>
      <c r="O49" s="920">
        <f>+'Metas 7 (Unidades Moviles)'!X$25</f>
        <v>0</v>
      </c>
      <c r="P49" s="920">
        <f>+'Metas 7 (Unidades Moviles)'!Y$25</f>
        <v>0</v>
      </c>
      <c r="Q49" s="920">
        <f>+'Metas 7 (Unidades Moviles)'!Z$25</f>
        <v>0</v>
      </c>
      <c r="R49" s="920">
        <f>+'Metas 7 (Unidades Moviles)'!AA$25</f>
        <v>0</v>
      </c>
      <c r="S49" s="920">
        <f>+'Metas 7 (Unidades Moviles)'!AB$25</f>
        <v>0</v>
      </c>
      <c r="T49" s="920">
        <f>+'Metas 7 (Unidades Moviles)'!AC$25</f>
        <v>299294740</v>
      </c>
      <c r="U49" s="920">
        <f>+'Metas 7 (Unidades Moviles)'!AD$25</f>
        <v>8.595393457459044E-2</v>
      </c>
      <c r="W49" s="922"/>
      <c r="X49" s="920">
        <f>+'Metas 7 (Unidades Moviles)'!C$25</f>
        <v>0</v>
      </c>
      <c r="Y49" s="920">
        <f>+'Metas 7 (Unidades Moviles)'!D$25</f>
        <v>1431666</v>
      </c>
      <c r="Z49" s="920">
        <f>+'Metas 7 (Unidades Moviles)'!E$25</f>
        <v>1175000</v>
      </c>
      <c r="AA49" s="920">
        <f>+'Metas 7 (Unidades Moviles)'!F$25</f>
        <v>1175000</v>
      </c>
      <c r="AB49" s="920">
        <f>+'Metas 7 (Unidades Moviles)'!G$25</f>
        <v>0</v>
      </c>
      <c r="AC49" s="920">
        <f>+'Metas 7 (Unidades Moviles)'!H$25</f>
        <v>0</v>
      </c>
      <c r="AD49" s="920">
        <f>+'Metas 7 (Unidades Moviles)'!I$25</f>
        <v>0</v>
      </c>
      <c r="AE49" s="920">
        <f>+'Metas 7 (Unidades Moviles)'!J$25</f>
        <v>0</v>
      </c>
      <c r="AF49" s="920">
        <f>+'Metas 7 (Unidades Moviles)'!K$25</f>
        <v>0</v>
      </c>
      <c r="AG49" s="920">
        <f>+'Metas 7 (Unidades Moviles)'!L$25</f>
        <v>0</v>
      </c>
      <c r="AH49" s="920">
        <f>+'Metas 7 (Unidades Moviles)'!M$25</f>
        <v>0</v>
      </c>
      <c r="AI49" s="920">
        <f>+'Metas 7 (Unidades Moviles)'!N$25</f>
        <v>0</v>
      </c>
      <c r="AJ49" s="920">
        <f>+'Metas 7 (Unidades Moviles)'!O$25</f>
        <v>3781666</v>
      </c>
      <c r="AK49" s="920">
        <f>+'Metas 7 (Unidades Moviles)'!P$25</f>
        <v>0.94611544278335624</v>
      </c>
    </row>
    <row r="50" spans="1:37">
      <c r="A50" s="928"/>
      <c r="B50" s="917"/>
      <c r="C50" s="917"/>
      <c r="D50" s="919" t="s">
        <v>754</v>
      </c>
      <c r="E50" s="923">
        <f>+Hoja1!$AS$39</f>
        <v>0</v>
      </c>
      <c r="F50" s="924">
        <f>+'Metas 7 (Unidades Moviles)'!$W$17</f>
        <v>0.25</v>
      </c>
      <c r="G50" s="924">
        <f t="shared" si="0"/>
        <v>-0.25</v>
      </c>
      <c r="H50" s="925">
        <f>+'Metas 7 (Unidades Moviles)'!D$34</f>
        <v>1.3883333333333333E-2</v>
      </c>
      <c r="I50" s="925">
        <f>+'Metas 7 (Unidades Moviles)'!E$34</f>
        <v>1.3883333333333333E-2</v>
      </c>
      <c r="J50" s="925">
        <f>+'Metas 7 (Unidades Moviles)'!F$34</f>
        <v>1.3883333333333333E-2</v>
      </c>
      <c r="K50" s="925">
        <f>+'Metas 7 (Unidades Moviles)'!G$34</f>
        <v>1.3883333333333333E-2</v>
      </c>
      <c r="L50" s="925">
        <f>+'Metas 7 (Unidades Moviles)'!H$34</f>
        <v>1.3883333333333333E-2</v>
      </c>
      <c r="M50" s="925">
        <f>+'Metas 7 (Unidades Moviles)'!I$34</f>
        <v>1.3883333333333333E-2</v>
      </c>
      <c r="N50" s="925">
        <f>+'Metas 7 (Unidades Moviles)'!J$34</f>
        <v>2.7633333333333333E-2</v>
      </c>
      <c r="O50" s="925">
        <f>+'Metas 7 (Unidades Moviles)'!K$34</f>
        <v>2.7633333333333333E-2</v>
      </c>
      <c r="P50" s="925">
        <f>+'Metas 7 (Unidades Moviles)'!L$34</f>
        <v>2.7633333333333333E-2</v>
      </c>
      <c r="Q50" s="925">
        <f>+'Metas 7 (Unidades Moviles)'!M$34</f>
        <v>2.7633333333333333E-2</v>
      </c>
      <c r="R50" s="925">
        <f>+'Metas 7 (Unidades Moviles)'!N$34</f>
        <v>2.7633333333333333E-2</v>
      </c>
      <c r="S50" s="925">
        <f>+'Metas 7 (Unidades Moviles)'!O$34</f>
        <v>2.8800000000000003E-2</v>
      </c>
      <c r="T50" s="925">
        <f>+'Metas 7 (Unidades Moviles)'!P$34</f>
        <v>0.25026666666666669</v>
      </c>
      <c r="U50" s="925">
        <f>+'Metas 7 (Unidades Moviles)'!P$34</f>
        <v>0.25026666666666669</v>
      </c>
      <c r="W50" s="926"/>
    </row>
    <row r="51" spans="1:37">
      <c r="A51" s="930"/>
      <c r="B51" s="917"/>
      <c r="C51" s="917"/>
      <c r="D51" s="919" t="s">
        <v>755</v>
      </c>
      <c r="E51" s="925"/>
      <c r="F51" s="925"/>
      <c r="G51" s="925">
        <f t="shared" si="0"/>
        <v>0</v>
      </c>
      <c r="H51" s="925">
        <f>+'Metas 7 (Unidades Moviles)'!D$35</f>
        <v>3.3333333333333335E-3</v>
      </c>
      <c r="I51" s="925">
        <f>+'Metas 7 (Unidades Moviles)'!E$35</f>
        <v>1.3333333333333334E-2</v>
      </c>
      <c r="J51" s="925">
        <f>+'Metas 7 (Unidades Moviles)'!F$35</f>
        <v>1.3333333333333334E-2</v>
      </c>
      <c r="K51" s="925">
        <f>+'Metas 7 (Unidades Moviles)'!G$35</f>
        <v>1.3333333333333334E-2</v>
      </c>
      <c r="L51" s="925">
        <f>+'Metas 7 (Unidades Moviles)'!H$35</f>
        <v>1.3333333333333334E-2</v>
      </c>
      <c r="M51" s="925">
        <f>+'Metas 7 (Unidades Moviles)'!I$35</f>
        <v>0</v>
      </c>
      <c r="N51" s="925">
        <f>+'Metas 7 (Unidades Moviles)'!J$35</f>
        <v>0</v>
      </c>
      <c r="O51" s="925">
        <f>+'Metas 7 (Unidades Moviles)'!K$35</f>
        <v>0</v>
      </c>
      <c r="P51" s="925">
        <f>+'Metas 7 (Unidades Moviles)'!L$35</f>
        <v>0</v>
      </c>
      <c r="Q51" s="925">
        <f>+'Metas 7 (Unidades Moviles)'!M$35</f>
        <v>0</v>
      </c>
      <c r="R51" s="925">
        <f>+'Metas 7 (Unidades Moviles)'!N$35</f>
        <v>0</v>
      </c>
      <c r="S51" s="925">
        <f>+'Metas 7 (Unidades Moviles)'!O$35</f>
        <v>0</v>
      </c>
      <c r="T51" s="925">
        <f>+'Metas 7 (Unidades Moviles)'!P$35</f>
        <v>5.6666666666666671E-2</v>
      </c>
      <c r="U51" s="925">
        <f>+'Metas 7 (Unidades Moviles)'!P$35</f>
        <v>5.6666666666666671E-2</v>
      </c>
      <c r="W51" s="926"/>
    </row>
    <row r="53" spans="1:37">
      <c r="E53" s="920">
        <f>+E3-E10-E16-E22-E28-E34-E40-E46</f>
        <v>0</v>
      </c>
      <c r="F53" s="920"/>
      <c r="G53" s="920"/>
      <c r="H53" s="920">
        <f>+H3-H10-H16-H22-H28-H34-H40-H46</f>
        <v>0</v>
      </c>
      <c r="I53" s="920">
        <f t="shared" ref="H53:V56" si="1">+I3-I10-I16-I22-I28-I34-I40-I46</f>
        <v>0</v>
      </c>
      <c r="J53" s="920">
        <f t="shared" si="1"/>
        <v>0</v>
      </c>
      <c r="K53" s="920">
        <f t="shared" si="1"/>
        <v>0</v>
      </c>
      <c r="L53" s="920">
        <f t="shared" si="1"/>
        <v>0</v>
      </c>
      <c r="M53" s="920">
        <f t="shared" si="1"/>
        <v>0</v>
      </c>
      <c r="N53" s="920">
        <f t="shared" si="1"/>
        <v>0</v>
      </c>
      <c r="O53" s="920">
        <f t="shared" si="1"/>
        <v>0</v>
      </c>
      <c r="P53" s="920">
        <f t="shared" si="1"/>
        <v>0</v>
      </c>
      <c r="Q53" s="920">
        <f t="shared" si="1"/>
        <v>0</v>
      </c>
      <c r="R53" s="920">
        <f t="shared" si="1"/>
        <v>0</v>
      </c>
      <c r="S53" s="920">
        <f t="shared" si="1"/>
        <v>0</v>
      </c>
      <c r="T53" s="920">
        <f t="shared" si="1"/>
        <v>0</v>
      </c>
      <c r="U53" s="920">
        <f t="shared" si="1"/>
        <v>0</v>
      </c>
      <c r="W53" s="920"/>
      <c r="X53" s="920">
        <f t="shared" ref="X53:AK56" si="2">+X3-X10-X16-X22-X28-X34-X40-X46</f>
        <v>0</v>
      </c>
      <c r="Y53" s="920">
        <f t="shared" si="2"/>
        <v>0</v>
      </c>
      <c r="Z53" s="920">
        <f t="shared" si="2"/>
        <v>0</v>
      </c>
      <c r="AA53" s="920">
        <f t="shared" si="2"/>
        <v>0</v>
      </c>
      <c r="AB53" s="920">
        <f t="shared" si="2"/>
        <v>0</v>
      </c>
      <c r="AC53" s="920">
        <f t="shared" si="2"/>
        <v>0</v>
      </c>
      <c r="AD53" s="920">
        <f t="shared" si="2"/>
        <v>0</v>
      </c>
      <c r="AE53" s="920">
        <f t="shared" si="2"/>
        <v>0</v>
      </c>
      <c r="AF53" s="920">
        <f t="shared" si="2"/>
        <v>0</v>
      </c>
      <c r="AG53" s="920">
        <f t="shared" si="2"/>
        <v>0</v>
      </c>
      <c r="AH53" s="920">
        <f t="shared" si="2"/>
        <v>0</v>
      </c>
      <c r="AI53" s="920">
        <f t="shared" si="2"/>
        <v>0</v>
      </c>
      <c r="AJ53" s="920">
        <f t="shared" si="2"/>
        <v>0</v>
      </c>
      <c r="AK53" s="920">
        <f t="shared" si="2"/>
        <v>0</v>
      </c>
    </row>
    <row r="54" spans="1:37">
      <c r="E54" s="920">
        <f>+E4-E11-E17-E23-E29-E35-E41-E47</f>
        <v>0</v>
      </c>
      <c r="F54" s="920"/>
      <c r="G54" s="920"/>
      <c r="H54" s="920">
        <f t="shared" si="1"/>
        <v>0</v>
      </c>
      <c r="I54" s="920">
        <f t="shared" si="1"/>
        <v>0</v>
      </c>
      <c r="J54" s="920">
        <f t="shared" si="1"/>
        <v>0</v>
      </c>
      <c r="K54" s="920">
        <f t="shared" si="1"/>
        <v>0</v>
      </c>
      <c r="L54" s="920">
        <f t="shared" si="1"/>
        <v>0</v>
      </c>
      <c r="M54" s="920">
        <f t="shared" si="1"/>
        <v>0</v>
      </c>
      <c r="N54" s="920">
        <f t="shared" si="1"/>
        <v>0</v>
      </c>
      <c r="O54" s="920">
        <f t="shared" si="1"/>
        <v>0</v>
      </c>
      <c r="P54" s="920">
        <f t="shared" si="1"/>
        <v>0</v>
      </c>
      <c r="Q54" s="920">
        <f t="shared" si="1"/>
        <v>0</v>
      </c>
      <c r="R54" s="920">
        <f t="shared" si="1"/>
        <v>0</v>
      </c>
      <c r="S54" s="920">
        <f t="shared" si="1"/>
        <v>0</v>
      </c>
      <c r="T54" s="920">
        <f t="shared" si="1"/>
        <v>-270</v>
      </c>
      <c r="U54" s="920">
        <f t="shared" si="1"/>
        <v>-4.3421757536770542</v>
      </c>
      <c r="W54" s="920"/>
      <c r="X54" s="920">
        <f t="shared" si="2"/>
        <v>0</v>
      </c>
      <c r="Y54" s="920">
        <f t="shared" si="2"/>
        <v>0</v>
      </c>
      <c r="Z54" s="920">
        <f t="shared" si="2"/>
        <v>0</v>
      </c>
      <c r="AA54" s="920">
        <f t="shared" si="2"/>
        <v>0</v>
      </c>
      <c r="AB54" s="920">
        <f t="shared" si="2"/>
        <v>0</v>
      </c>
      <c r="AC54" s="920">
        <f t="shared" si="2"/>
        <v>0</v>
      </c>
      <c r="AD54" s="920">
        <f t="shared" si="2"/>
        <v>0</v>
      </c>
      <c r="AE54" s="920">
        <f t="shared" si="2"/>
        <v>0</v>
      </c>
      <c r="AF54" s="920">
        <f t="shared" si="2"/>
        <v>0</v>
      </c>
      <c r="AG54" s="920">
        <f t="shared" si="2"/>
        <v>0</v>
      </c>
      <c r="AH54" s="920">
        <f t="shared" si="2"/>
        <v>0</v>
      </c>
      <c r="AI54" s="920">
        <f t="shared" si="2"/>
        <v>0</v>
      </c>
      <c r="AJ54" s="920">
        <f t="shared" si="2"/>
        <v>0</v>
      </c>
      <c r="AK54" s="920" t="e">
        <f>+AK4-AK11-AK17-AK23-AK29-AK35-AK41-AK47</f>
        <v>#VALUE!</v>
      </c>
    </row>
    <row r="55" spans="1:37">
      <c r="E55" s="920">
        <f>+E5-E12-E18-E24-E30-E36-E42-E48</f>
        <v>0</v>
      </c>
      <c r="F55" s="920"/>
      <c r="G55" s="920"/>
      <c r="H55" s="920">
        <f t="shared" si="1"/>
        <v>0</v>
      </c>
      <c r="I55" s="920">
        <f t="shared" si="1"/>
        <v>0</v>
      </c>
      <c r="J55" s="920">
        <f t="shared" si="1"/>
        <v>0</v>
      </c>
      <c r="K55" s="920">
        <f t="shared" si="1"/>
        <v>0</v>
      </c>
      <c r="L55" s="920">
        <f t="shared" si="1"/>
        <v>0</v>
      </c>
      <c r="M55" s="920">
        <f t="shared" si="1"/>
        <v>0</v>
      </c>
      <c r="N55" s="920">
        <f t="shared" si="1"/>
        <v>0</v>
      </c>
      <c r="O55" s="920">
        <f t="shared" si="1"/>
        <v>0</v>
      </c>
      <c r="P55" s="920">
        <f t="shared" si="1"/>
        <v>0</v>
      </c>
      <c r="Q55" s="920">
        <f t="shared" si="1"/>
        <v>0</v>
      </c>
      <c r="R55" s="920">
        <f t="shared" si="1"/>
        <v>0</v>
      </c>
      <c r="S55" s="920">
        <f t="shared" si="1"/>
        <v>0</v>
      </c>
      <c r="T55" s="920">
        <f t="shared" si="1"/>
        <v>0</v>
      </c>
      <c r="U55" s="920">
        <f t="shared" si="1"/>
        <v>0</v>
      </c>
      <c r="W55" s="920"/>
      <c r="X55" s="920">
        <f t="shared" si="2"/>
        <v>0</v>
      </c>
      <c r="Y55" s="920">
        <f t="shared" si="2"/>
        <v>0</v>
      </c>
      <c r="Z55" s="920">
        <f t="shared" si="2"/>
        <v>0</v>
      </c>
      <c r="AA55" s="920">
        <f t="shared" si="2"/>
        <v>0</v>
      </c>
      <c r="AB55" s="920">
        <f t="shared" si="2"/>
        <v>0</v>
      </c>
      <c r="AC55" s="920">
        <f t="shared" si="2"/>
        <v>0</v>
      </c>
      <c r="AD55" s="920">
        <f t="shared" si="2"/>
        <v>0</v>
      </c>
      <c r="AE55" s="920">
        <f t="shared" si="2"/>
        <v>0</v>
      </c>
      <c r="AF55" s="920">
        <f t="shared" si="2"/>
        <v>0</v>
      </c>
      <c r="AG55" s="920">
        <f t="shared" si="2"/>
        <v>0</v>
      </c>
      <c r="AH55" s="920">
        <f t="shared" si="2"/>
        <v>0</v>
      </c>
      <c r="AI55" s="920">
        <f t="shared" si="2"/>
        <v>0</v>
      </c>
      <c r="AJ55" s="920">
        <f t="shared" si="2"/>
        <v>0</v>
      </c>
      <c r="AK55" s="920">
        <f t="shared" si="2"/>
        <v>0</v>
      </c>
    </row>
    <row r="56" spans="1:37">
      <c r="E56" s="920">
        <f>+E6-E13-E19-E25-E31-E37-E43-E49</f>
        <v>0</v>
      </c>
      <c r="F56" s="920"/>
      <c r="G56" s="920"/>
      <c r="H56" s="920">
        <f t="shared" si="1"/>
        <v>0</v>
      </c>
      <c r="I56" s="920">
        <f t="shared" si="1"/>
        <v>0</v>
      </c>
      <c r="J56" s="920">
        <f t="shared" si="1"/>
        <v>0</v>
      </c>
      <c r="K56" s="920">
        <f t="shared" si="1"/>
        <v>0</v>
      </c>
      <c r="L56" s="920">
        <f t="shared" si="1"/>
        <v>0</v>
      </c>
      <c r="M56" s="920">
        <f t="shared" si="1"/>
        <v>0</v>
      </c>
      <c r="N56" s="920">
        <f t="shared" si="1"/>
        <v>0</v>
      </c>
      <c r="O56" s="920">
        <f t="shared" si="1"/>
        <v>0</v>
      </c>
      <c r="P56" s="920">
        <f t="shared" si="1"/>
        <v>0</v>
      </c>
      <c r="Q56" s="920">
        <f t="shared" si="1"/>
        <v>0</v>
      </c>
      <c r="R56" s="920">
        <f t="shared" si="1"/>
        <v>0</v>
      </c>
      <c r="S56" s="920">
        <f t="shared" si="1"/>
        <v>0</v>
      </c>
      <c r="T56" s="920">
        <f t="shared" si="1"/>
        <v>0</v>
      </c>
      <c r="U56" s="920">
        <f t="shared" si="1"/>
        <v>-0.56466459946783898</v>
      </c>
      <c r="W56" s="920"/>
      <c r="X56" s="920">
        <f t="shared" si="2"/>
        <v>0</v>
      </c>
      <c r="Y56" s="920">
        <f t="shared" si="2"/>
        <v>0</v>
      </c>
      <c r="Z56" s="920">
        <f t="shared" si="2"/>
        <v>0</v>
      </c>
      <c r="AA56" s="920">
        <f t="shared" si="2"/>
        <v>0</v>
      </c>
      <c r="AB56" s="920">
        <f t="shared" si="2"/>
        <v>0</v>
      </c>
      <c r="AC56" s="920">
        <f t="shared" si="2"/>
        <v>0</v>
      </c>
      <c r="AD56" s="920">
        <f t="shared" si="2"/>
        <v>0</v>
      </c>
      <c r="AE56" s="920">
        <f t="shared" si="2"/>
        <v>0</v>
      </c>
      <c r="AF56" s="920">
        <f t="shared" si="2"/>
        <v>0</v>
      </c>
      <c r="AG56" s="920">
        <f t="shared" si="2"/>
        <v>0</v>
      </c>
      <c r="AH56" s="920">
        <f t="shared" si="2"/>
        <v>0</v>
      </c>
      <c r="AI56" s="920">
        <f t="shared" si="2"/>
        <v>0</v>
      </c>
      <c r="AJ56" s="920">
        <f t="shared" si="2"/>
        <v>0</v>
      </c>
      <c r="AK56" s="920">
        <f t="shared" si="2"/>
        <v>-4.8657991943246168</v>
      </c>
    </row>
    <row r="57" spans="1:37">
      <c r="E57" s="932"/>
      <c r="F57" s="932"/>
      <c r="G57" s="932"/>
      <c r="H57" s="932"/>
      <c r="I57" s="932"/>
      <c r="J57" s="932"/>
      <c r="K57" s="932"/>
      <c r="L57" s="932"/>
      <c r="M57" s="932"/>
      <c r="N57" s="932"/>
      <c r="O57" s="932"/>
      <c r="P57" s="932"/>
      <c r="Q57" s="932"/>
      <c r="R57" s="932"/>
      <c r="S57" s="932"/>
      <c r="T57" s="932"/>
      <c r="U57" s="932"/>
      <c r="W57" s="932"/>
      <c r="X57" s="932"/>
      <c r="Y57" s="932"/>
      <c r="Z57" s="932"/>
      <c r="AA57" s="932"/>
      <c r="AB57" s="932"/>
      <c r="AC57" s="932"/>
      <c r="AD57" s="932"/>
      <c r="AE57" s="932"/>
      <c r="AF57" s="932"/>
      <c r="AG57" s="932"/>
      <c r="AH57" s="932"/>
      <c r="AI57" s="932"/>
      <c r="AJ57" s="932"/>
      <c r="AK57" s="932"/>
    </row>
    <row r="58" spans="1:37">
      <c r="D58" s="919" t="s">
        <v>753</v>
      </c>
      <c r="E58" s="920">
        <f t="shared" ref="E58:U61" si="3">+E10+E16+E22+E28+E34+E40+E46</f>
        <v>13853951000</v>
      </c>
      <c r="F58" s="920">
        <f t="shared" si="3"/>
        <v>13853951000</v>
      </c>
      <c r="G58" s="920">
        <f t="shared" si="3"/>
        <v>0</v>
      </c>
      <c r="H58" s="920">
        <f t="shared" si="3"/>
        <v>6726921106</v>
      </c>
      <c r="I58" s="920">
        <f t="shared" si="3"/>
        <v>90000000</v>
      </c>
      <c r="J58" s="920">
        <f t="shared" si="3"/>
        <v>2262603187</v>
      </c>
      <c r="K58" s="920">
        <f t="shared" si="3"/>
        <v>87122000</v>
      </c>
      <c r="L58" s="920">
        <f t="shared" si="3"/>
        <v>4217725695</v>
      </c>
      <c r="M58" s="920">
        <f t="shared" si="3"/>
        <v>22959012</v>
      </c>
      <c r="N58" s="920">
        <f t="shared" si="3"/>
        <v>49000000</v>
      </c>
      <c r="O58" s="920">
        <f t="shared" si="3"/>
        <v>397620000</v>
      </c>
      <c r="P58" s="920">
        <f t="shared" si="3"/>
        <v>0</v>
      </c>
      <c r="Q58" s="920">
        <f t="shared" si="3"/>
        <v>0</v>
      </c>
      <c r="R58" s="920">
        <f t="shared" si="3"/>
        <v>0</v>
      </c>
      <c r="S58" s="920">
        <f t="shared" si="3"/>
        <v>0</v>
      </c>
      <c r="T58" s="920">
        <f t="shared" si="3"/>
        <v>13853951000</v>
      </c>
      <c r="U58" s="920">
        <f t="shared" si="3"/>
        <v>0</v>
      </c>
      <c r="W58" s="920">
        <f t="shared" ref="W58:AK61" si="4">+W10+W16+W22+W28+W34+W40+W46</f>
        <v>0</v>
      </c>
      <c r="X58" s="920">
        <f t="shared" si="4"/>
        <v>0</v>
      </c>
      <c r="Y58" s="920">
        <f t="shared" si="4"/>
        <v>0</v>
      </c>
      <c r="Z58" s="920">
        <f t="shared" si="4"/>
        <v>0</v>
      </c>
      <c r="AA58" s="920">
        <f t="shared" si="4"/>
        <v>0</v>
      </c>
      <c r="AB58" s="920">
        <f t="shared" si="4"/>
        <v>0</v>
      </c>
      <c r="AC58" s="920">
        <f t="shared" si="4"/>
        <v>0</v>
      </c>
      <c r="AD58" s="920">
        <f t="shared" si="4"/>
        <v>0</v>
      </c>
      <c r="AE58" s="920">
        <f t="shared" si="4"/>
        <v>0</v>
      </c>
      <c r="AF58" s="920">
        <f t="shared" si="4"/>
        <v>0</v>
      </c>
      <c r="AG58" s="920">
        <f t="shared" si="4"/>
        <v>0</v>
      </c>
      <c r="AH58" s="920">
        <f t="shared" si="4"/>
        <v>0</v>
      </c>
      <c r="AI58" s="920">
        <f t="shared" si="4"/>
        <v>0</v>
      </c>
      <c r="AJ58" s="920">
        <f t="shared" si="4"/>
        <v>0</v>
      </c>
      <c r="AK58" s="920">
        <f t="shared" si="4"/>
        <v>0</v>
      </c>
    </row>
    <row r="59" spans="1:37">
      <c r="D59" s="919" t="s">
        <v>139</v>
      </c>
      <c r="E59" s="920">
        <f t="shared" si="3"/>
        <v>0</v>
      </c>
      <c r="F59" s="920">
        <f t="shared" si="3"/>
        <v>0</v>
      </c>
      <c r="G59" s="920">
        <f t="shared" si="3"/>
        <v>0</v>
      </c>
      <c r="H59" s="920">
        <f t="shared" si="3"/>
        <v>6689497774</v>
      </c>
      <c r="I59" s="920">
        <f t="shared" si="3"/>
        <v>0</v>
      </c>
      <c r="J59" s="920">
        <f t="shared" si="3"/>
        <v>-5137626</v>
      </c>
      <c r="K59" s="920">
        <f t="shared" si="3"/>
        <v>30140193</v>
      </c>
      <c r="L59" s="920">
        <f t="shared" si="3"/>
        <v>131189269</v>
      </c>
      <c r="M59" s="920">
        <f t="shared" si="3"/>
        <v>0</v>
      </c>
      <c r="N59" s="920">
        <f t="shared" si="3"/>
        <v>0</v>
      </c>
      <c r="O59" s="920">
        <f t="shared" si="3"/>
        <v>0</v>
      </c>
      <c r="P59" s="920">
        <f t="shared" si="3"/>
        <v>0</v>
      </c>
      <c r="Q59" s="920">
        <f t="shared" si="3"/>
        <v>0</v>
      </c>
      <c r="R59" s="920">
        <f t="shared" si="3"/>
        <v>0</v>
      </c>
      <c r="S59" s="920">
        <f t="shared" si="3"/>
        <v>0</v>
      </c>
      <c r="T59" s="920">
        <f t="shared" si="3"/>
        <v>6845689880</v>
      </c>
      <c r="U59" s="920">
        <f t="shared" si="3"/>
        <v>4.962718998689537</v>
      </c>
      <c r="W59" s="920">
        <f t="shared" si="4"/>
        <v>0</v>
      </c>
      <c r="X59" s="920">
        <f t="shared" si="4"/>
        <v>5753056358</v>
      </c>
      <c r="Y59" s="920">
        <f t="shared" si="4"/>
        <v>0</v>
      </c>
      <c r="Z59" s="920">
        <f t="shared" si="4"/>
        <v>-19600000</v>
      </c>
      <c r="AA59" s="920">
        <f t="shared" si="4"/>
        <v>0</v>
      </c>
      <c r="AB59" s="920">
        <f t="shared" si="4"/>
        <v>-7947937</v>
      </c>
      <c r="AC59" s="920">
        <f t="shared" si="4"/>
        <v>0</v>
      </c>
      <c r="AD59" s="920">
        <f t="shared" si="4"/>
        <v>0</v>
      </c>
      <c r="AE59" s="920">
        <f t="shared" si="4"/>
        <v>0</v>
      </c>
      <c r="AF59" s="920">
        <f t="shared" si="4"/>
        <v>0</v>
      </c>
      <c r="AG59" s="920">
        <f t="shared" si="4"/>
        <v>0</v>
      </c>
      <c r="AH59" s="920">
        <f t="shared" si="4"/>
        <v>0</v>
      </c>
      <c r="AI59" s="920">
        <f t="shared" si="4"/>
        <v>0</v>
      </c>
      <c r="AJ59" s="920">
        <f t="shared" si="4"/>
        <v>5725508421</v>
      </c>
      <c r="AK59" s="920" t="e">
        <f t="shared" si="4"/>
        <v>#VALUE!</v>
      </c>
    </row>
    <row r="60" spans="1:37" ht="30">
      <c r="D60" s="919" t="s">
        <v>141</v>
      </c>
      <c r="E60" s="920">
        <f t="shared" si="3"/>
        <v>13853951000</v>
      </c>
      <c r="F60" s="920">
        <f t="shared" si="3"/>
        <v>13853951000</v>
      </c>
      <c r="G60" s="920">
        <f t="shared" si="3"/>
        <v>0</v>
      </c>
      <c r="H60" s="920">
        <f t="shared" si="3"/>
        <v>0</v>
      </c>
      <c r="I60" s="920">
        <f t="shared" si="3"/>
        <v>285410170.99999994</v>
      </c>
      <c r="J60" s="920">
        <f t="shared" si="3"/>
        <v>589199007</v>
      </c>
      <c r="K60" s="920">
        <f t="shared" si="3"/>
        <v>602699007</v>
      </c>
      <c r="L60" s="920">
        <f t="shared" si="3"/>
        <v>1109990533</v>
      </c>
      <c r="M60" s="920">
        <f t="shared" si="3"/>
        <v>1107838917</v>
      </c>
      <c r="N60" s="920">
        <f t="shared" si="3"/>
        <v>2020257523</v>
      </c>
      <c r="O60" s="920">
        <f t="shared" si="3"/>
        <v>1317997659</v>
      </c>
      <c r="P60" s="920">
        <f t="shared" si="3"/>
        <v>1256790005</v>
      </c>
      <c r="Q60" s="920">
        <f t="shared" si="3"/>
        <v>1257597658</v>
      </c>
      <c r="R60" s="920">
        <f t="shared" si="3"/>
        <v>1384124327</v>
      </c>
      <c r="S60" s="920">
        <f t="shared" si="3"/>
        <v>2922046193</v>
      </c>
      <c r="T60" s="920">
        <f t="shared" si="3"/>
        <v>13853951000</v>
      </c>
      <c r="U60" s="920">
        <f t="shared" si="3"/>
        <v>0</v>
      </c>
      <c r="W60" s="920">
        <f t="shared" si="4"/>
        <v>0</v>
      </c>
      <c r="X60" s="920">
        <f t="shared" si="4"/>
        <v>0</v>
      </c>
      <c r="Y60" s="920">
        <f t="shared" si="4"/>
        <v>1257629814</v>
      </c>
      <c r="Z60" s="920">
        <f t="shared" si="4"/>
        <v>1752999700</v>
      </c>
      <c r="AA60" s="920">
        <f t="shared" si="4"/>
        <v>1793829922</v>
      </c>
      <c r="AB60" s="920">
        <f t="shared" si="4"/>
        <v>928996922</v>
      </c>
      <c r="AC60" s="920">
        <f t="shared" si="4"/>
        <v>0</v>
      </c>
      <c r="AD60" s="920">
        <f t="shared" si="4"/>
        <v>0</v>
      </c>
      <c r="AE60" s="920">
        <f t="shared" si="4"/>
        <v>0</v>
      </c>
      <c r="AF60" s="920">
        <f t="shared" si="4"/>
        <v>0</v>
      </c>
      <c r="AG60" s="920">
        <f t="shared" si="4"/>
        <v>0</v>
      </c>
      <c r="AH60" s="920">
        <f t="shared" si="4"/>
        <v>0</v>
      </c>
      <c r="AI60" s="920">
        <f t="shared" si="4"/>
        <v>0</v>
      </c>
      <c r="AJ60" s="920">
        <f t="shared" si="4"/>
        <v>5733456358</v>
      </c>
      <c r="AK60" s="920">
        <f t="shared" si="4"/>
        <v>0</v>
      </c>
    </row>
    <row r="61" spans="1:37">
      <c r="D61" s="919" t="s">
        <v>142</v>
      </c>
      <c r="E61" s="920">
        <f t="shared" si="3"/>
        <v>0</v>
      </c>
      <c r="F61" s="920">
        <f t="shared" si="3"/>
        <v>0</v>
      </c>
      <c r="G61" s="920">
        <f t="shared" si="3"/>
        <v>0</v>
      </c>
      <c r="H61" s="920">
        <f t="shared" si="3"/>
        <v>0</v>
      </c>
      <c r="I61" s="920">
        <f t="shared" si="3"/>
        <v>96238222</v>
      </c>
      <c r="J61" s="920">
        <f t="shared" si="3"/>
        <v>567797313</v>
      </c>
      <c r="K61" s="920">
        <f t="shared" si="3"/>
        <v>609032369</v>
      </c>
      <c r="L61" s="920">
        <f t="shared" si="3"/>
        <v>573723468</v>
      </c>
      <c r="M61" s="920">
        <f t="shared" si="3"/>
        <v>0</v>
      </c>
      <c r="N61" s="920">
        <f t="shared" si="3"/>
        <v>0</v>
      </c>
      <c r="O61" s="920">
        <f t="shared" si="3"/>
        <v>0</v>
      </c>
      <c r="P61" s="920">
        <f t="shared" si="3"/>
        <v>0</v>
      </c>
      <c r="Q61" s="920">
        <f t="shared" si="3"/>
        <v>0</v>
      </c>
      <c r="R61" s="920">
        <f t="shared" si="3"/>
        <v>0</v>
      </c>
      <c r="S61" s="920">
        <f t="shared" si="3"/>
        <v>0</v>
      </c>
      <c r="T61" s="920">
        <f t="shared" si="3"/>
        <v>1846791372</v>
      </c>
      <c r="U61" s="920">
        <f t="shared" si="3"/>
        <v>1.2784559213402447</v>
      </c>
      <c r="W61" s="920">
        <f t="shared" si="4"/>
        <v>0</v>
      </c>
      <c r="X61" s="920">
        <f t="shared" si="4"/>
        <v>77754654</v>
      </c>
      <c r="Y61" s="920">
        <f t="shared" si="4"/>
        <v>195328162</v>
      </c>
      <c r="Z61" s="920">
        <f t="shared" si="4"/>
        <v>705786665</v>
      </c>
      <c r="AA61" s="920">
        <f t="shared" si="4"/>
        <v>64338749</v>
      </c>
      <c r="AB61" s="920">
        <f t="shared" si="4"/>
        <v>316725059</v>
      </c>
      <c r="AC61" s="920">
        <f t="shared" si="4"/>
        <v>0</v>
      </c>
      <c r="AD61" s="920">
        <f t="shared" si="4"/>
        <v>0</v>
      </c>
      <c r="AE61" s="920">
        <f t="shared" si="4"/>
        <v>0</v>
      </c>
      <c r="AF61" s="920">
        <f t="shared" si="4"/>
        <v>0</v>
      </c>
      <c r="AG61" s="920">
        <f t="shared" si="4"/>
        <v>0</v>
      </c>
      <c r="AH61" s="920">
        <f t="shared" si="4"/>
        <v>0</v>
      </c>
      <c r="AI61" s="920">
        <f t="shared" si="4"/>
        <v>0</v>
      </c>
      <c r="AJ61" s="920">
        <f t="shared" si="4"/>
        <v>1359933289</v>
      </c>
      <c r="AK61" s="920">
        <f t="shared" si="4"/>
        <v>5.1029917713819897</v>
      </c>
    </row>
    <row r="62" spans="1:37">
      <c r="E62" s="932"/>
      <c r="F62" s="932"/>
      <c r="G62" s="932"/>
      <c r="H62" s="932"/>
      <c r="I62" s="932"/>
      <c r="J62" s="932"/>
      <c r="K62" s="932"/>
      <c r="L62" s="932"/>
      <c r="M62" s="932"/>
      <c r="N62" s="932"/>
      <c r="O62" s="932"/>
      <c r="P62" s="932"/>
      <c r="Q62" s="932"/>
      <c r="R62" s="932"/>
      <c r="S62" s="932"/>
      <c r="T62" s="932"/>
      <c r="U62" s="932"/>
      <c r="W62" s="932"/>
      <c r="X62" s="932"/>
      <c r="Y62" s="932"/>
      <c r="Z62" s="932"/>
      <c r="AA62" s="932"/>
      <c r="AB62" s="932"/>
      <c r="AC62" s="932"/>
      <c r="AD62" s="932"/>
      <c r="AE62" s="932"/>
      <c r="AF62" s="932"/>
      <c r="AG62" s="932"/>
      <c r="AH62" s="932"/>
      <c r="AI62" s="932"/>
      <c r="AJ62" s="932"/>
      <c r="AK62" s="932"/>
    </row>
    <row r="63" spans="1:37">
      <c r="E63" s="932"/>
      <c r="F63" s="932"/>
      <c r="G63" s="932"/>
      <c r="H63" s="932"/>
      <c r="I63" s="932"/>
      <c r="J63" s="932"/>
      <c r="K63" s="932"/>
      <c r="L63" s="932"/>
      <c r="M63" s="932"/>
      <c r="N63" s="932"/>
      <c r="O63" s="932"/>
      <c r="P63" s="932"/>
      <c r="Q63" s="932"/>
      <c r="R63" s="932"/>
      <c r="S63" s="932"/>
      <c r="T63" s="932"/>
      <c r="U63" s="932"/>
      <c r="W63" s="932"/>
      <c r="X63" s="932"/>
      <c r="Y63" s="932"/>
      <c r="Z63" s="932"/>
      <c r="AA63" s="932"/>
      <c r="AB63" s="932"/>
      <c r="AC63" s="932"/>
      <c r="AD63" s="932"/>
      <c r="AE63" s="932"/>
      <c r="AF63" s="932"/>
      <c r="AG63" s="932"/>
      <c r="AH63" s="932"/>
      <c r="AI63" s="932"/>
      <c r="AJ63" s="932"/>
      <c r="AK63" s="932"/>
    </row>
    <row r="64" spans="1:37">
      <c r="E64" s="932"/>
      <c r="F64" s="932"/>
      <c r="G64" s="932"/>
      <c r="H64" s="932"/>
      <c r="I64" s="932"/>
      <c r="J64" s="932"/>
      <c r="K64" s="932"/>
      <c r="L64" s="932"/>
      <c r="M64" s="932"/>
      <c r="N64" s="932"/>
      <c r="O64" s="932"/>
      <c r="P64" s="932"/>
      <c r="Q64" s="932"/>
      <c r="R64" s="932"/>
      <c r="S64" s="932"/>
      <c r="T64" s="932"/>
      <c r="U64" s="932"/>
      <c r="W64" s="932"/>
      <c r="X64" s="932"/>
      <c r="Y64" s="932"/>
      <c r="Z64" s="932"/>
      <c r="AA64" s="932"/>
      <c r="AB64" s="932"/>
      <c r="AC64" s="932"/>
      <c r="AD64" s="932"/>
      <c r="AE64" s="932"/>
      <c r="AF64" s="932"/>
      <c r="AG64" s="932"/>
      <c r="AH64" s="932"/>
      <c r="AI64" s="932"/>
      <c r="AJ64" s="932"/>
      <c r="AK64" s="932"/>
    </row>
    <row r="65" spans="2:37">
      <c r="E65" s="932"/>
      <c r="F65" s="932"/>
      <c r="G65" s="932"/>
      <c r="H65" s="932"/>
      <c r="I65" s="932"/>
      <c r="J65" s="932"/>
      <c r="K65" s="932"/>
      <c r="L65" s="932"/>
      <c r="M65" s="932"/>
      <c r="N65" s="932"/>
      <c r="O65" s="932"/>
      <c r="P65" s="932"/>
      <c r="Q65" s="932"/>
      <c r="R65" s="932"/>
      <c r="S65" s="932"/>
      <c r="T65" s="932"/>
      <c r="U65" s="932"/>
      <c r="W65" s="932"/>
      <c r="X65" s="932"/>
      <c r="Y65" s="932"/>
      <c r="Z65" s="932"/>
      <c r="AA65" s="932"/>
      <c r="AB65" s="932"/>
      <c r="AC65" s="932"/>
      <c r="AD65" s="932"/>
      <c r="AE65" s="932"/>
      <c r="AF65" s="932"/>
      <c r="AG65" s="932"/>
      <c r="AH65" s="932"/>
      <c r="AI65" s="932"/>
      <c r="AJ65" s="932"/>
      <c r="AK65" s="932"/>
    </row>
    <row r="66" spans="2:37">
      <c r="E66" s="932"/>
      <c r="F66" s="932"/>
      <c r="G66" s="932"/>
      <c r="H66" s="932"/>
      <c r="I66" s="932"/>
      <c r="J66" s="932"/>
      <c r="K66" s="932"/>
      <c r="L66" s="932"/>
      <c r="M66" s="932"/>
      <c r="N66" s="932"/>
      <c r="O66" s="932"/>
      <c r="P66" s="932"/>
      <c r="Q66" s="932"/>
      <c r="R66" s="932"/>
      <c r="S66" s="932"/>
      <c r="T66" s="932"/>
      <c r="U66" s="932"/>
      <c r="W66" s="932"/>
      <c r="X66" s="932"/>
      <c r="Y66" s="932"/>
      <c r="Z66" s="932"/>
      <c r="AA66" s="932"/>
      <c r="AB66" s="932"/>
      <c r="AC66" s="932"/>
      <c r="AD66" s="932"/>
      <c r="AE66" s="932"/>
      <c r="AF66" s="932"/>
      <c r="AG66" s="932"/>
      <c r="AH66" s="932"/>
      <c r="AI66" s="932"/>
      <c r="AJ66" s="932"/>
      <c r="AK66" s="932"/>
    </row>
    <row r="67" spans="2:37">
      <c r="E67" s="932"/>
      <c r="F67" s="932"/>
      <c r="G67" s="932"/>
      <c r="H67" s="932"/>
      <c r="I67" s="932"/>
      <c r="J67" s="932"/>
      <c r="K67" s="932"/>
      <c r="L67" s="932"/>
      <c r="M67" s="932"/>
      <c r="N67" s="932"/>
      <c r="O67" s="932"/>
      <c r="P67" s="932"/>
      <c r="Q67" s="932"/>
      <c r="R67" s="932"/>
      <c r="S67" s="932"/>
      <c r="T67" s="932"/>
      <c r="U67" s="932"/>
      <c r="W67" s="932"/>
      <c r="X67" s="932"/>
      <c r="Y67" s="932"/>
      <c r="Z67" s="932"/>
      <c r="AA67" s="932"/>
      <c r="AB67" s="932"/>
      <c r="AC67" s="932"/>
      <c r="AD67" s="932"/>
      <c r="AE67" s="932"/>
      <c r="AF67" s="932"/>
      <c r="AG67" s="932"/>
      <c r="AH67" s="932"/>
      <c r="AI67" s="932"/>
      <c r="AJ67" s="932"/>
      <c r="AK67" s="932"/>
    </row>
    <row r="68" spans="2:37">
      <c r="E68" s="932"/>
      <c r="F68" s="932"/>
      <c r="G68" s="932"/>
      <c r="H68" s="932"/>
      <c r="I68" s="932"/>
      <c r="J68" s="932"/>
      <c r="K68" s="932"/>
      <c r="L68" s="932"/>
      <c r="M68" s="932"/>
      <c r="N68" s="932"/>
      <c r="O68" s="932"/>
      <c r="P68" s="932"/>
      <c r="Q68" s="932"/>
      <c r="R68" s="932"/>
      <c r="S68" s="932"/>
      <c r="T68" s="932"/>
      <c r="U68" s="932"/>
      <c r="W68" s="932"/>
      <c r="X68" s="932"/>
      <c r="Y68" s="932"/>
      <c r="Z68" s="932"/>
      <c r="AA68" s="932"/>
      <c r="AB68" s="932"/>
      <c r="AC68" s="932"/>
      <c r="AD68" s="932"/>
      <c r="AE68" s="932"/>
      <c r="AF68" s="932"/>
      <c r="AG68" s="932"/>
      <c r="AH68" s="932"/>
      <c r="AI68" s="932"/>
      <c r="AJ68" s="932"/>
      <c r="AK68" s="932"/>
    </row>
    <row r="71" spans="2:37">
      <c r="B71" s="904" t="s">
        <v>164</v>
      </c>
      <c r="C71" s="903"/>
      <c r="D71" s="904" t="s">
        <v>165</v>
      </c>
      <c r="E71" s="904" t="s">
        <v>166</v>
      </c>
      <c r="F71" s="904"/>
      <c r="G71" s="904"/>
      <c r="H71" s="904"/>
      <c r="I71" s="904"/>
      <c r="J71" s="904"/>
      <c r="K71" s="904"/>
      <c r="L71" s="904"/>
      <c r="M71" s="904"/>
      <c r="N71" s="904"/>
      <c r="O71" s="904"/>
      <c r="P71" s="904"/>
      <c r="Q71" s="904"/>
      <c r="R71" s="904"/>
    </row>
    <row r="72" spans="2:37" ht="28.5">
      <c r="B72" s="904"/>
      <c r="C72" s="903"/>
      <c r="D72" s="904"/>
      <c r="E72" s="903" t="s">
        <v>168</v>
      </c>
      <c r="F72" s="903" t="s">
        <v>169</v>
      </c>
      <c r="G72" s="903" t="s">
        <v>170</v>
      </c>
      <c r="H72" s="903" t="s">
        <v>171</v>
      </c>
      <c r="I72" s="903" t="s">
        <v>172</v>
      </c>
      <c r="J72" s="903" t="s">
        <v>173</v>
      </c>
      <c r="K72" s="903" t="s">
        <v>174</v>
      </c>
      <c r="L72" s="903" t="s">
        <v>175</v>
      </c>
      <c r="M72" s="903" t="s">
        <v>176</v>
      </c>
      <c r="N72" s="903" t="s">
        <v>177</v>
      </c>
      <c r="O72" s="903" t="s">
        <v>178</v>
      </c>
      <c r="P72" s="903" t="s">
        <v>179</v>
      </c>
      <c r="Q72" s="903" t="s">
        <v>180</v>
      </c>
      <c r="R72" s="903" t="s">
        <v>181</v>
      </c>
    </row>
    <row r="73" spans="2:37">
      <c r="B73" s="935" t="str">
        <f>+'Metas 1'!A38</f>
        <v>1. Diseñar el modelo de seguimiento y monitoreo del Sistema Distrital de Cuidado</v>
      </c>
      <c r="C73" s="936">
        <f>+C10-D73-D75</f>
        <v>0</v>
      </c>
      <c r="D73" s="937">
        <f>+'Metas 1'!B38</f>
        <v>0.05</v>
      </c>
      <c r="E73" s="938" t="s">
        <v>159</v>
      </c>
      <c r="F73" s="939">
        <f>+'Metas 1'!D38</f>
        <v>8.3299999999999999E-2</v>
      </c>
      <c r="G73" s="939">
        <f>+'Metas 1'!E38</f>
        <v>8.3299999999999999E-2</v>
      </c>
      <c r="H73" s="939">
        <f>+'Metas 1'!F38</f>
        <v>8.3299999999999999E-2</v>
      </c>
      <c r="I73" s="939">
        <f>+'Metas 1'!G38</f>
        <v>8.3299999999999999E-2</v>
      </c>
      <c r="J73" s="939">
        <f>+'Metas 1'!H38</f>
        <v>8.3299999999999999E-2</v>
      </c>
      <c r="K73" s="939">
        <f>+'Metas 1'!I38</f>
        <v>8.3299999999999999E-2</v>
      </c>
      <c r="L73" s="939">
        <f>+'Metas 1'!J38</f>
        <v>8.3299999999999999E-2</v>
      </c>
      <c r="M73" s="939">
        <f>+'Metas 1'!K38</f>
        <v>8.3299999999999999E-2</v>
      </c>
      <c r="N73" s="939">
        <f>+'Metas 1'!L38</f>
        <v>8.3299999999999999E-2</v>
      </c>
      <c r="O73" s="939">
        <f>+'Metas 1'!M38</f>
        <v>8.3299999999999999E-2</v>
      </c>
      <c r="P73" s="939">
        <f>+'Metas 1'!N38</f>
        <v>8.3299999999999999E-2</v>
      </c>
      <c r="Q73" s="939">
        <f>+'Metas 1'!O38</f>
        <v>8.3299999999999999E-2</v>
      </c>
      <c r="R73" s="939">
        <f t="shared" ref="R73:R80" si="5">SUM(F73:Q73)</f>
        <v>0.99960000000000016</v>
      </c>
    </row>
    <row r="74" spans="2:37">
      <c r="B74" s="935"/>
      <c r="C74" s="940"/>
      <c r="D74" s="937"/>
      <c r="E74" s="941" t="s">
        <v>162</v>
      </c>
      <c r="F74" s="942">
        <f>+'Metas 1'!D39</f>
        <v>0.08</v>
      </c>
      <c r="G74" s="942">
        <f>+'Metas 1'!E39</f>
        <v>0.08</v>
      </c>
      <c r="H74" s="942">
        <f>+'Metas 1'!F39</f>
        <v>0.08</v>
      </c>
      <c r="I74" s="942">
        <f>+'Metas 1'!G39</f>
        <v>0.08</v>
      </c>
      <c r="J74" s="942">
        <f>+'Metas 1'!H39</f>
        <v>0.08</v>
      </c>
      <c r="K74" s="942">
        <f>+'Metas 1'!I39</f>
        <v>0</v>
      </c>
      <c r="L74" s="942">
        <f>+'Metas 1'!J39</f>
        <v>0</v>
      </c>
      <c r="M74" s="942">
        <f>+'Metas 1'!K39</f>
        <v>0</v>
      </c>
      <c r="N74" s="942">
        <f>+'Metas 1'!L39</f>
        <v>0</v>
      </c>
      <c r="O74" s="942">
        <f>+'Metas 1'!M39</f>
        <v>0</v>
      </c>
      <c r="P74" s="942">
        <f>+'Metas 1'!N39</f>
        <v>0</v>
      </c>
      <c r="Q74" s="942">
        <f>+'Metas 1'!O39</f>
        <v>0</v>
      </c>
      <c r="R74" s="939">
        <f t="shared" si="5"/>
        <v>0.4</v>
      </c>
    </row>
    <row r="75" spans="2:37" ht="15" customHeight="1">
      <c r="B75" s="935" t="str">
        <f>+'Metas 1'!A40</f>
        <v>2. Consolidar el documento de desarrollo técnico del Sistema Distrital de Cuidado</v>
      </c>
      <c r="C75" s="940"/>
      <c r="D75" s="937">
        <f>+'Metas 1'!B40</f>
        <v>0.05</v>
      </c>
      <c r="E75" s="938" t="s">
        <v>159</v>
      </c>
      <c r="F75" s="939">
        <f>+'Metas 1'!D40</f>
        <v>0.1</v>
      </c>
      <c r="G75" s="939">
        <f>+'Metas 1'!E40</f>
        <v>0.1</v>
      </c>
      <c r="H75" s="939">
        <f>+'Metas 1'!F40</f>
        <v>0.1</v>
      </c>
      <c r="I75" s="939">
        <f>+'Metas 1'!G40</f>
        <v>0.1</v>
      </c>
      <c r="J75" s="939">
        <f>+'Metas 1'!H40</f>
        <v>0.1</v>
      </c>
      <c r="K75" s="939">
        <f>+'Metas 1'!I40</f>
        <v>0.1</v>
      </c>
      <c r="L75" s="939">
        <f>+'Metas 1'!J40</f>
        <v>6.6600000000000006E-2</v>
      </c>
      <c r="M75" s="939">
        <f>+'Metas 1'!K40</f>
        <v>6.6600000000000006E-2</v>
      </c>
      <c r="N75" s="939">
        <f>+'Metas 1'!L40</f>
        <v>6.6600000000000006E-2</v>
      </c>
      <c r="O75" s="939">
        <f>+'Metas 1'!M40</f>
        <v>6.6600000000000006E-2</v>
      </c>
      <c r="P75" s="939">
        <f>+'Metas 1'!N40</f>
        <v>6.6600000000000006E-2</v>
      </c>
      <c r="Q75" s="939">
        <f>+'Metas 1'!O40</f>
        <v>6.6600000000000006E-2</v>
      </c>
      <c r="R75" s="939">
        <f t="shared" si="5"/>
        <v>0.99959999999999993</v>
      </c>
    </row>
    <row r="76" spans="2:37">
      <c r="B76" s="935"/>
      <c r="C76" s="943"/>
      <c r="D76" s="937"/>
      <c r="E76" s="941" t="s">
        <v>162</v>
      </c>
      <c r="F76" s="942">
        <f>+'Metas 1'!D41</f>
        <v>0.1</v>
      </c>
      <c r="G76" s="942">
        <f>+'Metas 1'!E41</f>
        <v>0.1</v>
      </c>
      <c r="H76" s="942">
        <f>+'Metas 1'!F41</f>
        <v>0.1</v>
      </c>
      <c r="I76" s="942">
        <f>+'Metas 1'!G41</f>
        <v>0.1</v>
      </c>
      <c r="J76" s="942">
        <f>+'Metas 1'!H41</f>
        <v>0</v>
      </c>
      <c r="K76" s="942">
        <f>+'Metas 1'!I41</f>
        <v>0</v>
      </c>
      <c r="L76" s="942">
        <f>+'Metas 1'!J41</f>
        <v>0</v>
      </c>
      <c r="M76" s="942">
        <f>+'Metas 1'!K41</f>
        <v>0</v>
      </c>
      <c r="N76" s="942">
        <f>+'Metas 1'!L41</f>
        <v>0</v>
      </c>
      <c r="O76" s="942">
        <f>+'Metas 1'!M41</f>
        <v>0</v>
      </c>
      <c r="P76" s="942">
        <f>+'Metas 1'!N41</f>
        <v>0</v>
      </c>
      <c r="Q76" s="942">
        <f>+'Metas 1'!O41</f>
        <v>0</v>
      </c>
      <c r="R76" s="939">
        <f t="shared" si="5"/>
        <v>0.4</v>
      </c>
    </row>
    <row r="77" spans="2:37">
      <c r="B77" s="935" t="str">
        <f>+'Metas 2'!A38</f>
        <v>3. Convocar y gestionar las sesiones de la Comisión Intersectorial del Sistema de Cuidado según lo establecido en el Decreto 237 de 2020</v>
      </c>
      <c r="C77" s="936">
        <f>+C16-D77</f>
        <v>0.10000000000000002</v>
      </c>
      <c r="D77" s="937">
        <f>+'Metas 2'!B38</f>
        <v>0.05</v>
      </c>
      <c r="E77" s="938" t="s">
        <v>159</v>
      </c>
      <c r="F77" s="939">
        <f>+'Metas 2'!D42</f>
        <v>0</v>
      </c>
      <c r="G77" s="939">
        <f>+'Metas 2'!E42</f>
        <v>0</v>
      </c>
      <c r="H77" s="939">
        <f>+'Metas 2'!F42</f>
        <v>0</v>
      </c>
      <c r="I77" s="939">
        <f>+'Metas 2'!G42</f>
        <v>0</v>
      </c>
      <c r="J77" s="939">
        <f>+'Metas 2'!H42</f>
        <v>0</v>
      </c>
      <c r="K77" s="939">
        <f>+'Metas 2'!I42</f>
        <v>0.5</v>
      </c>
      <c r="L77" s="939">
        <f>+'Metas 2'!J42</f>
        <v>0</v>
      </c>
      <c r="M77" s="939">
        <f>+'Metas 2'!K42</f>
        <v>0</v>
      </c>
      <c r="N77" s="939">
        <f>+'Metas 2'!L42</f>
        <v>0</v>
      </c>
      <c r="O77" s="939">
        <f>+'Metas 2'!M42</f>
        <v>0</v>
      </c>
      <c r="P77" s="939">
        <f>+'Metas 2'!N42</f>
        <v>0.5</v>
      </c>
      <c r="Q77" s="939">
        <f>+'Metas 2'!O42</f>
        <v>0</v>
      </c>
      <c r="R77" s="939">
        <f t="shared" si="5"/>
        <v>1</v>
      </c>
    </row>
    <row r="78" spans="2:37">
      <c r="B78" s="935"/>
      <c r="C78" s="943"/>
      <c r="D78" s="937"/>
      <c r="E78" s="941" t="s">
        <v>162</v>
      </c>
      <c r="F78" s="942">
        <f>+'Metas 2'!D43</f>
        <v>0</v>
      </c>
      <c r="G78" s="942">
        <f>+'Metas 2'!E43</f>
        <v>0</v>
      </c>
      <c r="H78" s="942">
        <f>+'Metas 2'!F43</f>
        <v>0</v>
      </c>
      <c r="I78" s="942">
        <f>+'Metas 2'!G43</f>
        <v>0</v>
      </c>
      <c r="J78" s="942">
        <f>+'Metas 2'!H43</f>
        <v>0</v>
      </c>
      <c r="K78" s="942">
        <f>+'Metas 2'!I43</f>
        <v>0</v>
      </c>
      <c r="L78" s="942">
        <f>+'Metas 2'!J43</f>
        <v>0</v>
      </c>
      <c r="M78" s="942">
        <f>+'Metas 2'!K43</f>
        <v>0</v>
      </c>
      <c r="N78" s="942">
        <f>+'Metas 2'!L43</f>
        <v>0</v>
      </c>
      <c r="O78" s="942">
        <f>+'Metas 2'!M43</f>
        <v>0</v>
      </c>
      <c r="P78" s="942">
        <f>+'Metas 2'!N43</f>
        <v>0</v>
      </c>
      <c r="Q78" s="942">
        <f>+'Metas 2'!O43</f>
        <v>0</v>
      </c>
      <c r="R78" s="939">
        <f t="shared" si="5"/>
        <v>0</v>
      </c>
    </row>
    <row r="79" spans="2:37">
      <c r="B79" s="935" t="str">
        <f>+'Metas 3'!A38</f>
        <v xml:space="preserve">6. Implementar actividades de difusión del programa de Sistema de Cuidado con ciudadanos y actores territoriales </v>
      </c>
      <c r="C79" s="936">
        <f>+C22-D79</f>
        <v>0.10000000000000002</v>
      </c>
      <c r="D79" s="937">
        <f>+'Metas 3'!B38</f>
        <v>0.05</v>
      </c>
      <c r="E79" s="938" t="s">
        <v>159</v>
      </c>
      <c r="F79" s="939">
        <f>+'Metas 3'!D38</f>
        <v>8.3333333333333343E-2</v>
      </c>
      <c r="G79" s="939">
        <f>+'Metas 3'!E38</f>
        <v>8.3333333333333343E-2</v>
      </c>
      <c r="H79" s="939">
        <f>+'Metas 3'!F38</f>
        <v>8.3333333333333343E-2</v>
      </c>
      <c r="I79" s="939">
        <f>+'Metas 3'!G38</f>
        <v>8.3333333333333343E-2</v>
      </c>
      <c r="J79" s="939">
        <f>+'Metas 3'!H38</f>
        <v>8.3333333333333343E-2</v>
      </c>
      <c r="K79" s="939">
        <f>+'Metas 3'!I38</f>
        <v>8.3333333333333343E-2</v>
      </c>
      <c r="L79" s="939">
        <f>+'Metas 3'!J38</f>
        <v>8.3333333333333343E-2</v>
      </c>
      <c r="M79" s="939">
        <f>+'Metas 3'!K38</f>
        <v>8.3333333333333343E-2</v>
      </c>
      <c r="N79" s="939">
        <f>+'Metas 3'!L38</f>
        <v>8.3333333333333343E-2</v>
      </c>
      <c r="O79" s="939">
        <f>+'Metas 3'!M38</f>
        <v>8.3333333333333343E-2</v>
      </c>
      <c r="P79" s="939">
        <f>+'Metas 3'!N38</f>
        <v>8.3333333333333343E-2</v>
      </c>
      <c r="Q79" s="939">
        <f>+'Metas 3'!O38</f>
        <v>8.3333333333333343E-2</v>
      </c>
      <c r="R79" s="939">
        <f t="shared" si="5"/>
        <v>1.0000000000000002</v>
      </c>
    </row>
    <row r="80" spans="2:37">
      <c r="B80" s="935"/>
      <c r="C80" s="943"/>
      <c r="D80" s="937"/>
      <c r="E80" s="941" t="s">
        <v>162</v>
      </c>
      <c r="F80" s="942">
        <f>+'Metas 3'!D39</f>
        <v>0.08</v>
      </c>
      <c r="G80" s="942">
        <f>+'Metas 3'!E39</f>
        <v>0.08</v>
      </c>
      <c r="H80" s="942">
        <f>+'Metas 3'!F39</f>
        <v>0.08</v>
      </c>
      <c r="I80" s="942">
        <f>+'Metas 3'!G39</f>
        <v>0.08</v>
      </c>
      <c r="J80" s="942">
        <f>+'Metas 3'!H39</f>
        <v>0.08</v>
      </c>
      <c r="K80" s="942">
        <f>+'Metas 3'!I39</f>
        <v>0</v>
      </c>
      <c r="L80" s="942">
        <f>+'Metas 3'!J39</f>
        <v>0</v>
      </c>
      <c r="M80" s="942">
        <f>+'Metas 3'!K39</f>
        <v>0</v>
      </c>
      <c r="N80" s="942">
        <f>+'Metas 3'!L39</f>
        <v>0</v>
      </c>
      <c r="O80" s="942">
        <f>+'Metas 3'!M39</f>
        <v>0</v>
      </c>
      <c r="P80" s="942">
        <f>+'Metas 3'!N39</f>
        <v>0</v>
      </c>
      <c r="Q80" s="942">
        <f>+'Metas 3'!O39</f>
        <v>0</v>
      </c>
      <c r="R80" s="939">
        <f t="shared" si="5"/>
        <v>0.4</v>
      </c>
    </row>
    <row r="81" spans="2:18">
      <c r="B81" s="935" t="str">
        <f>+'Metas 4 (Contrato relevos)'!A38</f>
        <v>9. Implementar el componente de formación para cuidadoras</v>
      </c>
      <c r="C81" s="936">
        <f>+C28-D81-D83-D85-D87</f>
        <v>1.3877787807814457E-17</v>
      </c>
      <c r="D81" s="937">
        <f>+'Metas 4 (Contrato relevos)'!B38</f>
        <v>0.05</v>
      </c>
      <c r="E81" s="938"/>
      <c r="F81" s="939"/>
      <c r="G81" s="939"/>
      <c r="H81" s="939"/>
      <c r="I81" s="939"/>
      <c r="J81" s="939"/>
      <c r="K81" s="939"/>
      <c r="L81" s="939"/>
      <c r="M81" s="939"/>
      <c r="N81" s="939"/>
      <c r="O81" s="939"/>
      <c r="P81" s="939"/>
      <c r="Q81" s="939"/>
      <c r="R81" s="939"/>
    </row>
    <row r="82" spans="2:18">
      <c r="B82" s="935"/>
      <c r="C82" s="940"/>
      <c r="D82" s="937"/>
      <c r="E82" s="941"/>
      <c r="F82" s="942"/>
      <c r="G82" s="942"/>
      <c r="H82" s="942"/>
      <c r="I82" s="942"/>
      <c r="J82" s="942"/>
      <c r="K82" s="942"/>
      <c r="L82" s="942"/>
      <c r="M82" s="942"/>
      <c r="N82" s="942"/>
      <c r="O82" s="942"/>
      <c r="P82" s="942"/>
      <c r="Q82" s="942"/>
      <c r="R82" s="939"/>
    </row>
    <row r="83" spans="2:18">
      <c r="B83" s="935" t="str">
        <f>+'Metas 4 (Contrato relevos)'!A40</f>
        <v>10. Monitorear y hacer seguimiento a la implementación del componente de respiro para cuidadoras</v>
      </c>
      <c r="C83" s="940"/>
      <c r="D83" s="937">
        <f>+'Metas 4 (Contrato relevos)'!B40</f>
        <v>0.05</v>
      </c>
      <c r="E83" s="938"/>
      <c r="F83" s="939"/>
      <c r="G83" s="939"/>
      <c r="H83" s="939"/>
      <c r="I83" s="939"/>
      <c r="J83" s="939"/>
      <c r="K83" s="939"/>
      <c r="L83" s="939"/>
      <c r="M83" s="939"/>
      <c r="N83" s="939"/>
      <c r="O83" s="939"/>
      <c r="P83" s="939"/>
      <c r="Q83" s="939"/>
      <c r="R83" s="939"/>
    </row>
    <row r="84" spans="2:18">
      <c r="B84" s="935"/>
      <c r="C84" s="940"/>
      <c r="D84" s="937"/>
      <c r="E84" s="941"/>
      <c r="F84" s="942"/>
      <c r="G84" s="942"/>
      <c r="H84" s="942"/>
      <c r="I84" s="942"/>
      <c r="J84" s="942"/>
      <c r="K84" s="942"/>
      <c r="L84" s="942"/>
      <c r="M84" s="942"/>
      <c r="N84" s="942"/>
      <c r="O84" s="942"/>
      <c r="P84" s="942"/>
      <c r="Q84" s="942"/>
      <c r="R84" s="939"/>
    </row>
    <row r="85" spans="2:18">
      <c r="B85" s="935" t="str">
        <f>+'Metas 4 (Contrato relevos)'!A42</f>
        <v>11. Poner en marcha el programa de relevos de cuidado</v>
      </c>
      <c r="C85" s="940"/>
      <c r="D85" s="937">
        <f>+'Metas 4 (Contrato relevos)'!B42</f>
        <v>0.05</v>
      </c>
      <c r="E85" s="938"/>
      <c r="F85" s="939"/>
      <c r="G85" s="939"/>
      <c r="H85" s="939"/>
      <c r="I85" s="939"/>
      <c r="J85" s="939"/>
      <c r="K85" s="939"/>
      <c r="L85" s="939"/>
      <c r="M85" s="939"/>
      <c r="N85" s="939"/>
      <c r="O85" s="939"/>
      <c r="P85" s="939"/>
      <c r="Q85" s="939"/>
      <c r="R85" s="939"/>
    </row>
    <row r="86" spans="2:18">
      <c r="B86" s="935"/>
      <c r="C86" s="940"/>
      <c r="D86" s="937"/>
      <c r="E86" s="941"/>
      <c r="F86" s="942"/>
      <c r="G86" s="942"/>
      <c r="H86" s="942"/>
      <c r="I86" s="942"/>
      <c r="J86" s="942"/>
      <c r="K86" s="942"/>
      <c r="L86" s="942"/>
      <c r="M86" s="942"/>
      <c r="N86" s="942"/>
      <c r="O86" s="942"/>
      <c r="P86" s="942"/>
      <c r="Q86" s="942"/>
      <c r="R86" s="939"/>
    </row>
    <row r="87" spans="2:18">
      <c r="B87" s="935" t="str">
        <f>+'Metas 4 (Contrato relevos)'!A44</f>
        <v>*Incluir tantas filas sean necesarias</v>
      </c>
      <c r="C87" s="940"/>
      <c r="D87" s="937">
        <f>+'Metas 4 (Contrato relevos)'!B44</f>
        <v>0</v>
      </c>
      <c r="E87" s="938"/>
      <c r="F87" s="939"/>
      <c r="G87" s="939"/>
      <c r="H87" s="939"/>
      <c r="I87" s="939"/>
      <c r="J87" s="939"/>
      <c r="K87" s="939"/>
      <c r="L87" s="939"/>
      <c r="M87" s="939"/>
      <c r="N87" s="939"/>
      <c r="O87" s="939"/>
      <c r="P87" s="939"/>
      <c r="Q87" s="939"/>
      <c r="R87" s="939"/>
    </row>
    <row r="88" spans="2:18">
      <c r="B88" s="935"/>
      <c r="C88" s="943"/>
      <c r="D88" s="937"/>
      <c r="E88" s="941"/>
      <c r="F88" s="942"/>
      <c r="G88" s="942"/>
      <c r="H88" s="942"/>
      <c r="I88" s="942"/>
      <c r="J88" s="942"/>
      <c r="K88" s="942"/>
      <c r="L88" s="942"/>
      <c r="M88" s="942"/>
      <c r="N88" s="942"/>
      <c r="O88" s="942"/>
      <c r="P88" s="942"/>
      <c r="Q88" s="942"/>
      <c r="R88" s="939"/>
    </row>
    <row r="89" spans="2:18">
      <c r="B89" s="935" t="str">
        <f>+'Metas 5'!A38</f>
        <v>12. Diseñar e implementar la virtualización de la estrategia pedagógica para la valoración, la resignificación, el reconocimiento y la redistribución del trabajo de cuidado no remunerado que realizan las mujeres en Bogotá</v>
      </c>
      <c r="C89" s="936">
        <f>+C34-D89-D91</f>
        <v>0</v>
      </c>
      <c r="D89" s="937">
        <f>+'Metas 5'!B38</f>
        <v>0.05</v>
      </c>
      <c r="E89" s="938"/>
      <c r="F89" s="939"/>
      <c r="G89" s="939"/>
      <c r="H89" s="939"/>
      <c r="I89" s="939"/>
      <c r="J89" s="939"/>
      <c r="K89" s="939"/>
      <c r="L89" s="939"/>
      <c r="M89" s="939"/>
      <c r="N89" s="939"/>
      <c r="O89" s="939"/>
      <c r="P89" s="939"/>
      <c r="Q89" s="939"/>
      <c r="R89" s="939"/>
    </row>
    <row r="90" spans="2:18">
      <c r="B90" s="935"/>
      <c r="C90" s="940"/>
      <c r="D90" s="937"/>
      <c r="E90" s="941"/>
      <c r="F90" s="942"/>
      <c r="G90" s="942"/>
      <c r="H90" s="942"/>
      <c r="I90" s="942"/>
      <c r="J90" s="942"/>
      <c r="K90" s="942"/>
      <c r="L90" s="942"/>
      <c r="M90" s="942"/>
      <c r="N90" s="942"/>
      <c r="O90" s="942"/>
      <c r="P90" s="942"/>
      <c r="Q90" s="942"/>
      <c r="R90" s="939"/>
    </row>
    <row r="91" spans="2:18">
      <c r="B91" s="935" t="str">
        <f>+'Metas 5'!A40</f>
        <v xml:space="preserve">13. Diseñar la estrategia de comunicación, de la estrategia pedagógica y de cambio cultural del Sistema Distrital de Cuidado </v>
      </c>
      <c r="C91" s="940"/>
      <c r="D91" s="937">
        <f>+'Metas 5'!B40</f>
        <v>0.05</v>
      </c>
      <c r="E91" s="938"/>
      <c r="F91" s="939"/>
      <c r="G91" s="939"/>
      <c r="H91" s="939"/>
      <c r="I91" s="939"/>
      <c r="J91" s="939"/>
      <c r="K91" s="939"/>
      <c r="L91" s="939"/>
      <c r="M91" s="939"/>
      <c r="N91" s="939"/>
      <c r="O91" s="939"/>
      <c r="P91" s="939"/>
      <c r="Q91" s="939"/>
      <c r="R91" s="939"/>
    </row>
    <row r="92" spans="2:18">
      <c r="B92" s="935"/>
      <c r="C92" s="943"/>
      <c r="D92" s="937"/>
      <c r="E92" s="941"/>
      <c r="F92" s="942"/>
      <c r="G92" s="942"/>
      <c r="H92" s="942"/>
      <c r="I92" s="942"/>
      <c r="J92" s="942"/>
      <c r="K92" s="942"/>
      <c r="L92" s="942"/>
      <c r="M92" s="942"/>
      <c r="N92" s="942"/>
      <c r="O92" s="942"/>
      <c r="P92" s="942"/>
      <c r="Q92" s="942"/>
      <c r="R92" s="939"/>
    </row>
    <row r="93" spans="2:18">
      <c r="B93" s="935" t="str">
        <f>+'Metas 6 (ONU Mujeres)'!A38</f>
        <v xml:space="preserve">14. Implementar los talleres de cambio cultural </v>
      </c>
      <c r="C93" s="936">
        <f>C40-D93-D95-D97-D99</f>
        <v>0</v>
      </c>
      <c r="D93" s="944">
        <f>+'Metas 6 (ONU Mujeres)'!B38</f>
        <v>0.05</v>
      </c>
      <c r="E93" s="938"/>
      <c r="F93" s="939"/>
      <c r="G93" s="939"/>
      <c r="H93" s="939"/>
      <c r="I93" s="939"/>
      <c r="J93" s="939"/>
      <c r="K93" s="939"/>
      <c r="L93" s="939"/>
      <c r="M93" s="939"/>
      <c r="N93" s="939"/>
      <c r="O93" s="939"/>
      <c r="P93" s="939"/>
      <c r="Q93" s="939"/>
      <c r="R93" s="939"/>
    </row>
    <row r="94" spans="2:18">
      <c r="B94" s="935"/>
      <c r="C94" s="940"/>
      <c r="D94" s="944"/>
      <c r="E94" s="941"/>
      <c r="F94" s="942"/>
      <c r="G94" s="942"/>
      <c r="H94" s="942"/>
      <c r="I94" s="942"/>
      <c r="J94" s="942"/>
      <c r="K94" s="942"/>
      <c r="L94" s="942"/>
      <c r="M94" s="942"/>
      <c r="N94" s="942"/>
      <c r="O94" s="942"/>
      <c r="P94" s="942"/>
      <c r="Q94" s="942"/>
      <c r="R94" s="939"/>
    </row>
    <row r="95" spans="2:18">
      <c r="B95" s="935" t="str">
        <f>+'Metas 6 (ONU Mujeres)'!A40</f>
        <v xml:space="preserve">15. Producir e implementar la estrategia de comunicaciones </v>
      </c>
      <c r="C95" s="940"/>
      <c r="D95" s="944">
        <f>+'Metas 6 (ONU Mujeres)'!B40</f>
        <v>0.05</v>
      </c>
      <c r="E95" s="938"/>
      <c r="F95" s="939"/>
      <c r="G95" s="939"/>
      <c r="H95" s="939"/>
      <c r="I95" s="939"/>
      <c r="J95" s="939"/>
      <c r="K95" s="939"/>
      <c r="L95" s="939"/>
      <c r="M95" s="939"/>
      <c r="N95" s="939"/>
      <c r="O95" s="939"/>
      <c r="P95" s="939"/>
      <c r="Q95" s="939"/>
      <c r="R95" s="939"/>
    </row>
    <row r="96" spans="2:18">
      <c r="B96" s="935"/>
      <c r="C96" s="940"/>
      <c r="D96" s="944"/>
      <c r="E96" s="941"/>
      <c r="F96" s="942"/>
      <c r="G96" s="942"/>
      <c r="H96" s="942"/>
      <c r="I96" s="942"/>
      <c r="J96" s="942"/>
      <c r="K96" s="942"/>
      <c r="L96" s="942"/>
      <c r="M96" s="942"/>
      <c r="N96" s="942"/>
      <c r="O96" s="942"/>
      <c r="P96" s="942"/>
      <c r="Q96" s="942"/>
      <c r="R96" s="939"/>
    </row>
    <row r="97" spans="2:18">
      <c r="B97" s="935" t="str">
        <f>+'Metas 6 (ONU Mujeres)'!A42</f>
        <v>16. Implementar el componente de amplificación [Red de Alianzas del Cuidado]</v>
      </c>
      <c r="C97" s="940"/>
      <c r="D97" s="944">
        <f>+'Metas 6 (ONU Mujeres)'!B42</f>
        <v>0.05</v>
      </c>
      <c r="E97" s="938"/>
      <c r="F97" s="939"/>
      <c r="G97" s="939"/>
      <c r="H97" s="939"/>
      <c r="I97" s="939"/>
      <c r="J97" s="939"/>
      <c r="K97" s="939"/>
      <c r="L97" s="939"/>
      <c r="M97" s="939"/>
      <c r="N97" s="939"/>
      <c r="O97" s="939"/>
      <c r="P97" s="939"/>
      <c r="Q97" s="939"/>
      <c r="R97" s="939"/>
    </row>
    <row r="98" spans="2:18">
      <c r="B98" s="935"/>
      <c r="C98" s="940"/>
      <c r="D98" s="944"/>
      <c r="E98" s="941"/>
      <c r="F98" s="942"/>
      <c r="G98" s="942"/>
      <c r="H98" s="942"/>
      <c r="I98" s="942"/>
      <c r="J98" s="942"/>
      <c r="K98" s="942"/>
      <c r="L98" s="942"/>
      <c r="M98" s="942"/>
      <c r="N98" s="942"/>
      <c r="O98" s="942"/>
      <c r="P98" s="942"/>
      <c r="Q98" s="942"/>
      <c r="R98" s="939"/>
    </row>
    <row r="99" spans="2:18">
      <c r="B99" s="935" t="str">
        <f>+'Metas 6 (ONU Mujeres)'!A44</f>
        <v>17. Monitorear y hacer seguimiento a las acciones intersectoriales</v>
      </c>
      <c r="C99" s="940"/>
      <c r="D99" s="944">
        <f>+'Metas 6 (ONU Mujeres)'!B44</f>
        <v>0.05</v>
      </c>
      <c r="E99" s="938"/>
      <c r="F99" s="939"/>
      <c r="G99" s="939"/>
      <c r="H99" s="939"/>
      <c r="I99" s="939"/>
      <c r="J99" s="939"/>
      <c r="K99" s="939"/>
      <c r="L99" s="939"/>
      <c r="M99" s="939"/>
      <c r="N99" s="939"/>
      <c r="O99" s="939"/>
      <c r="P99" s="939"/>
      <c r="Q99" s="939"/>
      <c r="R99" s="939"/>
    </row>
    <row r="100" spans="2:18">
      <c r="B100" s="935"/>
      <c r="C100" s="943"/>
      <c r="D100" s="944"/>
      <c r="E100" s="941"/>
      <c r="F100" s="942"/>
      <c r="G100" s="942"/>
      <c r="H100" s="942"/>
      <c r="I100" s="942"/>
      <c r="J100" s="942"/>
      <c r="K100" s="942"/>
      <c r="L100" s="942"/>
      <c r="M100" s="942"/>
      <c r="N100" s="942"/>
      <c r="O100" s="942"/>
      <c r="P100" s="942"/>
      <c r="Q100" s="942"/>
      <c r="R100" s="939"/>
    </row>
    <row r="101" spans="2:18">
      <c r="B101" s="935" t="str">
        <f>+'Metas 7 (Unidades Moviles)'!A38</f>
        <v>18. Definir y poner en marcha dos unidades móviles de servicios de cuidado (Urbana y Rural)</v>
      </c>
      <c r="C101" s="936">
        <f>C46-D101</f>
        <v>0.10000000000000002</v>
      </c>
      <c r="D101" s="937">
        <f>+'Metas 7 (Unidades Moviles)'!B38</f>
        <v>0.05</v>
      </c>
      <c r="E101" s="938"/>
      <c r="F101" s="939"/>
      <c r="G101" s="939"/>
      <c r="H101" s="939"/>
      <c r="I101" s="939"/>
      <c r="J101" s="939"/>
      <c r="K101" s="939"/>
      <c r="L101" s="939"/>
      <c r="M101" s="939"/>
      <c r="N101" s="939"/>
      <c r="O101" s="939"/>
      <c r="P101" s="939"/>
      <c r="Q101" s="939"/>
      <c r="R101" s="939"/>
    </row>
    <row r="102" spans="2:18">
      <c r="B102" s="935"/>
      <c r="C102" s="943"/>
      <c r="D102" s="937"/>
      <c r="E102" s="941"/>
      <c r="F102" s="942"/>
      <c r="G102" s="942"/>
      <c r="H102" s="942"/>
      <c r="I102" s="942"/>
      <c r="J102" s="942"/>
      <c r="K102" s="942"/>
      <c r="L102" s="942"/>
      <c r="M102" s="942"/>
      <c r="N102" s="942"/>
      <c r="O102" s="942"/>
      <c r="P102" s="942"/>
      <c r="Q102" s="942"/>
      <c r="R102" s="939"/>
    </row>
    <row r="104" spans="2:18">
      <c r="C104" s="945">
        <f>SUM(C73:C102)</f>
        <v>0.3000000000000001</v>
      </c>
      <c r="D104" s="945">
        <f>SUM(D73:D102)</f>
        <v>0.70000000000000007</v>
      </c>
    </row>
  </sheetData>
  <autoFilter ref="A9:AL51" xr:uid="{0715FF0D-858A-42E5-829A-7EA685CF46ED}"/>
  <mergeCells count="67">
    <mergeCell ref="B101:B102"/>
    <mergeCell ref="C101:C102"/>
    <mergeCell ref="D101:D102"/>
    <mergeCell ref="B93:B94"/>
    <mergeCell ref="C93:C100"/>
    <mergeCell ref="D93:D94"/>
    <mergeCell ref="B95:B96"/>
    <mergeCell ref="D95:D96"/>
    <mergeCell ref="B97:B98"/>
    <mergeCell ref="D97:D98"/>
    <mergeCell ref="B99:B100"/>
    <mergeCell ref="D99:D100"/>
    <mergeCell ref="B87:B88"/>
    <mergeCell ref="D87:D88"/>
    <mergeCell ref="B89:B90"/>
    <mergeCell ref="C89:C92"/>
    <mergeCell ref="D89:D90"/>
    <mergeCell ref="B91:B92"/>
    <mergeCell ref="D91:D92"/>
    <mergeCell ref="B79:B80"/>
    <mergeCell ref="C79:C80"/>
    <mergeCell ref="D79:D80"/>
    <mergeCell ref="B81:B82"/>
    <mergeCell ref="C81:C88"/>
    <mergeCell ref="D81:D82"/>
    <mergeCell ref="B83:B84"/>
    <mergeCell ref="D83:D84"/>
    <mergeCell ref="B85:B86"/>
    <mergeCell ref="D85:D86"/>
    <mergeCell ref="B73:B74"/>
    <mergeCell ref="C73:C76"/>
    <mergeCell ref="D73:D74"/>
    <mergeCell ref="B75:B76"/>
    <mergeCell ref="D75:D76"/>
    <mergeCell ref="B77:B78"/>
    <mergeCell ref="C77:C78"/>
    <mergeCell ref="D77:D78"/>
    <mergeCell ref="A46:A51"/>
    <mergeCell ref="B46:B51"/>
    <mergeCell ref="C46:C51"/>
    <mergeCell ref="B71:B72"/>
    <mergeCell ref="D71:D72"/>
    <mergeCell ref="E71:R71"/>
    <mergeCell ref="A34:A39"/>
    <mergeCell ref="B34:B39"/>
    <mergeCell ref="C34:C39"/>
    <mergeCell ref="A40:A45"/>
    <mergeCell ref="B40:B45"/>
    <mergeCell ref="C40:C45"/>
    <mergeCell ref="A22:A27"/>
    <mergeCell ref="B22:B27"/>
    <mergeCell ref="C22:C27"/>
    <mergeCell ref="A28:A33"/>
    <mergeCell ref="B28:B33"/>
    <mergeCell ref="C28:C33"/>
    <mergeCell ref="A10:A15"/>
    <mergeCell ref="B10:B15"/>
    <mergeCell ref="C10:C15"/>
    <mergeCell ref="A16:A21"/>
    <mergeCell ref="B16:B21"/>
    <mergeCell ref="C16:C21"/>
    <mergeCell ref="H1:U1"/>
    <mergeCell ref="X1:AK1"/>
    <mergeCell ref="A3:D3"/>
    <mergeCell ref="A4:D4"/>
    <mergeCell ref="A5:D5"/>
    <mergeCell ref="A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99"/>
  <sheetViews>
    <sheetView showGridLines="0" view="pageBreakPreview" topLeftCell="A27" zoomScale="70" zoomScaleNormal="80" zoomScaleSheetLayoutView="70" workbookViewId="0">
      <selection activeCell="P35" sqref="P35"/>
    </sheetView>
  </sheetViews>
  <sheetFormatPr baseColWidth="10" defaultColWidth="14.42578125" defaultRowHeight="15" customHeight="1"/>
  <cols>
    <col min="1" max="1" width="38.42578125" customWidth="1"/>
    <col min="2" max="2" width="15.42578125" customWidth="1"/>
    <col min="3" max="3" width="19.42578125" customWidth="1"/>
    <col min="4" max="4" width="12.7109375" customWidth="1"/>
    <col min="5" max="5" width="14" customWidth="1"/>
    <col min="6" max="14" width="12.7109375" customWidth="1"/>
    <col min="15" max="15" width="13.5703125" bestFit="1" customWidth="1"/>
    <col min="16" max="16" width="14.5703125" customWidth="1"/>
    <col min="17" max="17" width="16.7109375" bestFit="1" customWidth="1"/>
    <col min="18" max="18" width="14.5703125" customWidth="1"/>
    <col min="19" max="20" width="16.7109375" bestFit="1" customWidth="1"/>
    <col min="21" max="21" width="14.5703125" customWidth="1"/>
    <col min="22" max="22" width="15.28515625" bestFit="1" customWidth="1"/>
    <col min="23" max="28" width="16.42578125" customWidth="1"/>
    <col min="29" max="29" width="18.28515625" bestFit="1" customWidth="1"/>
    <col min="30" max="30" width="16.4257812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0"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301</v>
      </c>
      <c r="D17" s="573"/>
      <c r="E17" s="573"/>
      <c r="F17" s="573"/>
      <c r="G17" s="573"/>
      <c r="H17" s="573"/>
      <c r="I17" s="573"/>
      <c r="J17" s="573"/>
      <c r="K17" s="573"/>
      <c r="L17" s="573"/>
      <c r="M17" s="573"/>
      <c r="N17" s="573"/>
      <c r="O17" s="573"/>
      <c r="P17" s="573"/>
      <c r="Q17" s="565"/>
      <c r="R17" s="574" t="s">
        <v>132</v>
      </c>
      <c r="S17" s="573"/>
      <c r="T17" s="573"/>
      <c r="U17" s="573"/>
      <c r="V17" s="565"/>
      <c r="W17" s="747">
        <v>0.25</v>
      </c>
      <c r="X17" s="565"/>
      <c r="Y17" s="572" t="s">
        <v>133</v>
      </c>
      <c r="Z17" s="573"/>
      <c r="AA17" s="573"/>
      <c r="AB17" s="565"/>
      <c r="AC17" s="594">
        <f>+B34</f>
        <v>0.15000000000000002</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569" t="s">
        <v>138</v>
      </c>
      <c r="B22" s="570"/>
      <c r="C22" s="22"/>
      <c r="D22" s="23"/>
      <c r="E22" s="23"/>
      <c r="F22" s="23"/>
      <c r="G22" s="449"/>
      <c r="H22" s="23"/>
      <c r="I22" s="23"/>
      <c r="J22" s="23"/>
      <c r="K22" s="23"/>
      <c r="L22" s="23"/>
      <c r="M22" s="23"/>
      <c r="N22" s="23"/>
      <c r="O22" s="142">
        <f t="shared" ref="O22:O25" si="0">SUM(C22:N22)</f>
        <v>0</v>
      </c>
      <c r="P22" s="247"/>
      <c r="Q22" s="429">
        <v>1087452842</v>
      </c>
      <c r="R22" s="72">
        <v>22500000</v>
      </c>
      <c r="S22" s="72">
        <f>1862603187+400000000</f>
        <v>2262603187</v>
      </c>
      <c r="T22" s="72">
        <v>19980500</v>
      </c>
      <c r="U22" s="26">
        <f>2000000+14000000</f>
        <v>16000000</v>
      </c>
      <c r="V22" s="72">
        <v>1000000</v>
      </c>
      <c r="W22" s="72"/>
      <c r="X22" s="72">
        <f>35000000+37500000</f>
        <v>72500000</v>
      </c>
      <c r="Y22" s="72"/>
      <c r="Z22" s="72"/>
      <c r="AA22" s="72"/>
      <c r="AB22" s="72"/>
      <c r="AC22" s="142">
        <f t="shared" ref="AC22:AC23" si="1">SUM(Q22:AB22)</f>
        <v>3482036529</v>
      </c>
      <c r="AD22" s="24"/>
      <c r="AE22" s="18"/>
      <c r="AF22" s="18"/>
      <c r="AG22" s="1"/>
      <c r="AH22" s="1"/>
      <c r="AI22" s="1"/>
      <c r="AJ22" s="1"/>
      <c r="AK22" s="1"/>
      <c r="AL22" s="1"/>
      <c r="AM22" s="1"/>
      <c r="AN22" s="1"/>
      <c r="AO22" s="1"/>
    </row>
    <row r="23" spans="1:41" ht="31.5" customHeight="1">
      <c r="A23" s="563" t="s">
        <v>139</v>
      </c>
      <c r="B23" s="535"/>
      <c r="C23" s="25">
        <v>6741045</v>
      </c>
      <c r="D23" s="26"/>
      <c r="E23" s="26">
        <v>-2744000</v>
      </c>
      <c r="F23" s="26">
        <v>0</v>
      </c>
      <c r="G23" s="447">
        <v>-179377</v>
      </c>
      <c r="H23" s="26"/>
      <c r="I23" s="26"/>
      <c r="J23" s="26"/>
      <c r="K23" s="26"/>
      <c r="L23" s="26"/>
      <c r="M23" s="26"/>
      <c r="N23" s="26"/>
      <c r="O23" s="27">
        <f t="shared" si="0"/>
        <v>3817668</v>
      </c>
      <c r="P23" s="430" t="str">
        <f>IFERROR(O23/(SUMIF(C23:N23,"&gt;0",C22:N22))," ")</f>
        <v xml:space="preserve"> </v>
      </c>
      <c r="Q23" s="431">
        <v>1087452840</v>
      </c>
      <c r="R23" s="26">
        <v>0</v>
      </c>
      <c r="S23" s="26">
        <v>4447824</v>
      </c>
      <c r="T23" s="26">
        <v>8261659</v>
      </c>
      <c r="U23" s="26">
        <v>18226535</v>
      </c>
      <c r="V23" s="26"/>
      <c r="W23" s="26"/>
      <c r="X23" s="26"/>
      <c r="Y23" s="26"/>
      <c r="Z23" s="26"/>
      <c r="AA23" s="26"/>
      <c r="AB23" s="26"/>
      <c r="AC23" s="27">
        <f t="shared" si="1"/>
        <v>1118388858</v>
      </c>
      <c r="AD23" s="29">
        <f>AC23/AC22</f>
        <v>0.32118814627174175</v>
      </c>
      <c r="AE23" s="358" t="s">
        <v>286</v>
      </c>
      <c r="AF23" s="18"/>
      <c r="AG23" s="1"/>
      <c r="AH23" s="1"/>
      <c r="AI23" s="1"/>
      <c r="AJ23" s="1"/>
      <c r="AK23" s="1"/>
      <c r="AL23" s="1"/>
      <c r="AM23" s="1"/>
      <c r="AN23" s="1"/>
      <c r="AO23" s="1"/>
    </row>
    <row r="24" spans="1:41" ht="31.5" customHeight="1">
      <c r="A24" s="563" t="s">
        <v>141</v>
      </c>
      <c r="B24" s="535"/>
      <c r="C24" s="30"/>
      <c r="D24" s="26">
        <f>4211667+E23</f>
        <v>1467667</v>
      </c>
      <c r="E24" s="26">
        <v>1354378</v>
      </c>
      <c r="F24" s="26">
        <v>1175000</v>
      </c>
      <c r="G24" s="448"/>
      <c r="H24" s="27"/>
      <c r="I24" s="27"/>
      <c r="J24" s="27"/>
      <c r="K24" s="27"/>
      <c r="L24" s="27"/>
      <c r="M24" s="27"/>
      <c r="N24" s="27"/>
      <c r="O24" s="27">
        <f t="shared" si="0"/>
        <v>3997045</v>
      </c>
      <c r="P24" s="248"/>
      <c r="Q24" s="25"/>
      <c r="R24" s="26">
        <v>37420042</v>
      </c>
      <c r="S24" s="26">
        <v>95526800</v>
      </c>
      <c r="T24" s="26">
        <v>98901800</v>
      </c>
      <c r="U24" s="26">
        <v>609658160</v>
      </c>
      <c r="V24" s="26">
        <v>576489980</v>
      </c>
      <c r="W24" s="26">
        <v>271584201</v>
      </c>
      <c r="X24" s="26">
        <v>258250867</v>
      </c>
      <c r="Y24" s="26">
        <v>258584201</v>
      </c>
      <c r="Z24" s="26">
        <v>258250867</v>
      </c>
      <c r="AA24" s="26">
        <v>289459201</v>
      </c>
      <c r="AB24" s="26">
        <f>277750867+450159543</f>
        <v>727910410</v>
      </c>
      <c r="AC24" s="27">
        <f>SUM(Q24:AB24)</f>
        <v>3482036529</v>
      </c>
      <c r="AD24" s="29"/>
      <c r="AE24" s="18"/>
      <c r="AF24" s="18"/>
      <c r="AG24" s="1"/>
      <c r="AH24" s="1"/>
      <c r="AI24" s="1"/>
      <c r="AJ24" s="1"/>
      <c r="AK24" s="1"/>
      <c r="AL24" s="1"/>
      <c r="AM24" s="1"/>
      <c r="AN24" s="1"/>
      <c r="AO24" s="1"/>
    </row>
    <row r="25" spans="1:41" ht="31.5" customHeight="1">
      <c r="A25" s="597" t="s">
        <v>142</v>
      </c>
      <c r="B25" s="598"/>
      <c r="C25" s="31"/>
      <c r="D25" s="32">
        <v>1431666</v>
      </c>
      <c r="E25" s="32">
        <f>3919000+E23</f>
        <v>1175000</v>
      </c>
      <c r="F25" s="32">
        <v>1175000</v>
      </c>
      <c r="G25" s="445">
        <v>0</v>
      </c>
      <c r="H25" s="32"/>
      <c r="I25" s="32"/>
      <c r="J25" s="32"/>
      <c r="K25" s="32"/>
      <c r="L25" s="32"/>
      <c r="M25" s="32"/>
      <c r="N25" s="32"/>
      <c r="O25" s="33">
        <f t="shared" si="0"/>
        <v>3781666</v>
      </c>
      <c r="P25" s="433">
        <f>O25/O24</f>
        <v>0.94611544278335624</v>
      </c>
      <c r="Q25" s="31"/>
      <c r="R25" s="32">
        <v>13608498</v>
      </c>
      <c r="S25" s="32">
        <v>94854709</v>
      </c>
      <c r="T25" s="32">
        <v>95010083</v>
      </c>
      <c r="U25" s="26">
        <v>95821450</v>
      </c>
      <c r="V25" s="32"/>
      <c r="W25" s="32"/>
      <c r="X25" s="32"/>
      <c r="Y25" s="32"/>
      <c r="Z25" s="32"/>
      <c r="AA25" s="32"/>
      <c r="AB25" s="32"/>
      <c r="AC25" s="33">
        <f>SUM(Q25:AB25)</f>
        <v>299294740</v>
      </c>
      <c r="AD25" s="34">
        <f>AC25/AC24</f>
        <v>8.595393457459044E-2</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54" customHeight="1">
      <c r="A30" s="36" t="s">
        <v>302</v>
      </c>
      <c r="B30" s="554" t="s">
        <v>58</v>
      </c>
      <c r="C30" s="555"/>
      <c r="D30" s="250"/>
      <c r="E30" s="250"/>
      <c r="F30" s="73"/>
      <c r="G30" s="250"/>
      <c r="H30" s="250"/>
      <c r="I30" s="250"/>
      <c r="J30" s="250"/>
      <c r="K30" s="250"/>
      <c r="L30" s="250"/>
      <c r="M30" s="250"/>
      <c r="N30" s="250"/>
      <c r="O30" s="250"/>
      <c r="P30" s="251">
        <f>SUM(D30:O30)</f>
        <v>0</v>
      </c>
      <c r="Q30" s="646"/>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22.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82.5" customHeight="1">
      <c r="A34" s="799" t="s">
        <v>302</v>
      </c>
      <c r="B34" s="552">
        <f>SUM(B38,B40,B42)</f>
        <v>0.15000000000000002</v>
      </c>
      <c r="C34" s="217" t="s">
        <v>159</v>
      </c>
      <c r="D34" s="262">
        <f t="shared" ref="D34:O35" si="2">+(D47)*$W$17</f>
        <v>1.3883333333333333E-2</v>
      </c>
      <c r="E34" s="262">
        <f t="shared" si="2"/>
        <v>1.3883333333333333E-2</v>
      </c>
      <c r="F34" s="262">
        <f t="shared" si="2"/>
        <v>1.3883333333333333E-2</v>
      </c>
      <c r="G34" s="262">
        <f t="shared" si="2"/>
        <v>1.3883333333333333E-2</v>
      </c>
      <c r="H34" s="262">
        <f t="shared" si="2"/>
        <v>1.3883333333333333E-2</v>
      </c>
      <c r="I34" s="262">
        <f t="shared" si="2"/>
        <v>1.3883333333333333E-2</v>
      </c>
      <c r="J34" s="262">
        <f t="shared" si="2"/>
        <v>2.7633333333333333E-2</v>
      </c>
      <c r="K34" s="262">
        <f t="shared" si="2"/>
        <v>2.7633333333333333E-2</v>
      </c>
      <c r="L34" s="262">
        <f t="shared" si="2"/>
        <v>2.7633333333333333E-2</v>
      </c>
      <c r="M34" s="262">
        <f t="shared" si="2"/>
        <v>2.7633333333333333E-2</v>
      </c>
      <c r="N34" s="262">
        <f t="shared" si="2"/>
        <v>2.7633333333333333E-2</v>
      </c>
      <c r="O34" s="262">
        <f t="shared" si="2"/>
        <v>2.8800000000000003E-2</v>
      </c>
      <c r="P34" s="265">
        <f t="shared" ref="P34" si="3">SUM(D34:O34)</f>
        <v>0.25026666666666669</v>
      </c>
      <c r="Q34" s="837" t="s">
        <v>303</v>
      </c>
      <c r="R34" s="838"/>
      <c r="S34" s="838"/>
      <c r="T34" s="838"/>
      <c r="U34" s="838"/>
      <c r="V34" s="839"/>
      <c r="W34" s="843" t="s">
        <v>304</v>
      </c>
      <c r="X34" s="844"/>
      <c r="Y34" s="844"/>
      <c r="Z34" s="845"/>
      <c r="AA34" s="843" t="s">
        <v>305</v>
      </c>
      <c r="AB34" s="844"/>
      <c r="AC34" s="844"/>
      <c r="AD34" s="849"/>
      <c r="AE34" s="439"/>
      <c r="AF34" s="439"/>
      <c r="AG34" s="38"/>
      <c r="AH34" s="38"/>
      <c r="AI34" s="38"/>
      <c r="AJ34" s="38"/>
      <c r="AK34" s="38"/>
      <c r="AL34" s="38"/>
      <c r="AM34" s="38"/>
      <c r="AN34" s="38"/>
      <c r="AO34" s="38"/>
    </row>
    <row r="35" spans="1:41" ht="91.5" customHeight="1">
      <c r="A35" s="836"/>
      <c r="B35" s="656"/>
      <c r="C35" s="39" t="s">
        <v>162</v>
      </c>
      <c r="D35" s="336">
        <f t="shared" si="2"/>
        <v>3.3333333333333335E-3</v>
      </c>
      <c r="E35" s="336">
        <f t="shared" si="2"/>
        <v>1.3333333333333334E-2</v>
      </c>
      <c r="F35" s="336">
        <f t="shared" si="2"/>
        <v>1.3333333333333334E-2</v>
      </c>
      <c r="G35" s="424">
        <f t="shared" si="2"/>
        <v>1.3333333333333334E-2</v>
      </c>
      <c r="H35" s="424">
        <f t="shared" si="2"/>
        <v>1.3333333333333334E-2</v>
      </c>
      <c r="I35" s="139"/>
      <c r="J35" s="139"/>
      <c r="K35" s="139"/>
      <c r="L35" s="139"/>
      <c r="M35" s="139"/>
      <c r="N35" s="139"/>
      <c r="O35" s="139"/>
      <c r="P35" s="307">
        <f>SUM(D35:O35)</f>
        <v>5.6666666666666671E-2</v>
      </c>
      <c r="Q35" s="840"/>
      <c r="R35" s="841"/>
      <c r="S35" s="841"/>
      <c r="T35" s="841"/>
      <c r="U35" s="841"/>
      <c r="V35" s="842"/>
      <c r="W35" s="846"/>
      <c r="X35" s="847"/>
      <c r="Y35" s="847"/>
      <c r="Z35" s="848"/>
      <c r="AA35" s="846"/>
      <c r="AB35" s="847"/>
      <c r="AC35" s="847"/>
      <c r="AD35" s="850"/>
      <c r="AE35" s="440"/>
      <c r="AF35" s="439"/>
      <c r="AG35" s="38"/>
      <c r="AH35" s="38"/>
      <c r="AI35" s="38"/>
      <c r="AJ35" s="38"/>
      <c r="AK35" s="38"/>
      <c r="AL35" s="38"/>
      <c r="AM35" s="38"/>
      <c r="AN35" s="38"/>
      <c r="AO35" s="38"/>
    </row>
    <row r="36" spans="1:41" ht="33.75" customHeight="1">
      <c r="A36" s="644" t="s">
        <v>164</v>
      </c>
      <c r="B36" s="648" t="s">
        <v>165</v>
      </c>
      <c r="C36" s="649" t="s">
        <v>166</v>
      </c>
      <c r="D36" s="570"/>
      <c r="E36" s="570"/>
      <c r="F36" s="570"/>
      <c r="G36" s="570"/>
      <c r="H36" s="570"/>
      <c r="I36" s="570"/>
      <c r="J36" s="570"/>
      <c r="K36" s="570"/>
      <c r="L36" s="570"/>
      <c r="M36" s="570"/>
      <c r="N36" s="570"/>
      <c r="O36" s="570"/>
      <c r="P36" s="650"/>
      <c r="Q36" s="649" t="s">
        <v>167</v>
      </c>
      <c r="R36" s="570"/>
      <c r="S36" s="570"/>
      <c r="T36" s="570"/>
      <c r="U36" s="570"/>
      <c r="V36" s="570"/>
      <c r="W36" s="570"/>
      <c r="X36" s="570"/>
      <c r="Y36" s="570"/>
      <c r="Z36" s="570"/>
      <c r="AA36" s="570"/>
      <c r="AB36" s="570"/>
      <c r="AC36" s="570"/>
      <c r="AD36" s="589"/>
      <c r="AE36" s="1"/>
      <c r="AF36" s="1"/>
      <c r="AG36" s="38"/>
      <c r="AH36" s="38"/>
      <c r="AI36" s="38"/>
      <c r="AJ36" s="38"/>
      <c r="AK36" s="38"/>
      <c r="AL36" s="38"/>
      <c r="AM36" s="38"/>
      <c r="AN36" s="38"/>
      <c r="AO36" s="38"/>
    </row>
    <row r="37" spans="1:41" ht="50.65" customHeight="1">
      <c r="A37" s="549"/>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87"/>
      <c r="AE37" s="1"/>
      <c r="AF37" s="1"/>
      <c r="AG37" s="41"/>
      <c r="AH37" s="41"/>
      <c r="AI37" s="41"/>
      <c r="AJ37" s="41"/>
      <c r="AK37" s="41"/>
      <c r="AL37" s="41"/>
      <c r="AM37" s="41"/>
      <c r="AN37" s="41"/>
      <c r="AO37" s="41"/>
    </row>
    <row r="38" spans="1:41" ht="31.5" customHeight="1">
      <c r="A38" s="835" t="s">
        <v>306</v>
      </c>
      <c r="B38" s="529">
        <v>0.05</v>
      </c>
      <c r="C38" s="217" t="s">
        <v>159</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3" si="4">SUM(D38:O38)</f>
        <v>0.99960000000000016</v>
      </c>
      <c r="Q38" s="717" t="s">
        <v>307</v>
      </c>
      <c r="R38" s="718"/>
      <c r="S38" s="718"/>
      <c r="T38" s="718"/>
      <c r="U38" s="718"/>
      <c r="V38" s="718"/>
      <c r="W38" s="718"/>
      <c r="X38" s="718"/>
      <c r="Y38" s="718"/>
      <c r="Z38" s="718"/>
      <c r="AA38" s="718"/>
      <c r="AB38" s="718"/>
      <c r="AC38" s="718"/>
      <c r="AD38" s="719"/>
      <c r="AE38" s="43"/>
      <c r="AF38" s="1"/>
      <c r="AG38" s="44"/>
      <c r="AH38" s="44"/>
      <c r="AI38" s="44"/>
      <c r="AJ38" s="44"/>
      <c r="AK38" s="44"/>
      <c r="AL38" s="44"/>
      <c r="AM38" s="44"/>
      <c r="AN38" s="44"/>
      <c r="AO38" s="44"/>
    </row>
    <row r="39" spans="1:41" ht="31.5" customHeight="1">
      <c r="A39" s="822"/>
      <c r="B39" s="528"/>
      <c r="C39" s="45" t="s">
        <v>162</v>
      </c>
      <c r="D39" s="46">
        <v>0.04</v>
      </c>
      <c r="E39" s="46">
        <v>0.08</v>
      </c>
      <c r="F39" s="213">
        <v>0.08</v>
      </c>
      <c r="G39" s="46">
        <v>0.08</v>
      </c>
      <c r="H39" s="46">
        <v>0.08</v>
      </c>
      <c r="I39" s="46"/>
      <c r="J39" s="46"/>
      <c r="K39" s="46"/>
      <c r="L39" s="46"/>
      <c r="M39" s="46"/>
      <c r="N39" s="46"/>
      <c r="O39" s="46"/>
      <c r="P39" s="219">
        <f t="shared" si="4"/>
        <v>0.36000000000000004</v>
      </c>
      <c r="Q39" s="720"/>
      <c r="R39" s="721"/>
      <c r="S39" s="721"/>
      <c r="T39" s="721"/>
      <c r="U39" s="721"/>
      <c r="V39" s="721"/>
      <c r="W39" s="721"/>
      <c r="X39" s="721"/>
      <c r="Y39" s="721"/>
      <c r="Z39" s="721"/>
      <c r="AA39" s="721"/>
      <c r="AB39" s="721"/>
      <c r="AC39" s="721"/>
      <c r="AD39" s="722"/>
      <c r="AE39" s="43"/>
      <c r="AF39" s="1"/>
      <c r="AG39" s="1"/>
      <c r="AH39" s="1"/>
      <c r="AI39" s="1"/>
      <c r="AJ39" s="1"/>
      <c r="AK39" s="1"/>
      <c r="AL39" s="1"/>
      <c r="AM39" s="1"/>
      <c r="AN39" s="1"/>
      <c r="AO39" s="1"/>
    </row>
    <row r="40" spans="1:41" ht="39.6" customHeight="1">
      <c r="A40" s="821" t="s">
        <v>308</v>
      </c>
      <c r="B40" s="523">
        <v>0.05</v>
      </c>
      <c r="C40" s="47" t="s">
        <v>159</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4"/>
        <v>0.99960000000000016</v>
      </c>
      <c r="Q40" s="717" t="s">
        <v>309</v>
      </c>
      <c r="R40" s="718"/>
      <c r="S40" s="718"/>
      <c r="T40" s="718"/>
      <c r="U40" s="718"/>
      <c r="V40" s="718"/>
      <c r="W40" s="718"/>
      <c r="X40" s="718"/>
      <c r="Y40" s="718"/>
      <c r="Z40" s="718"/>
      <c r="AA40" s="718"/>
      <c r="AB40" s="718"/>
      <c r="AC40" s="718"/>
      <c r="AD40" s="719"/>
      <c r="AE40" s="43"/>
      <c r="AF40" s="1"/>
      <c r="AG40" s="1"/>
      <c r="AH40" s="1"/>
      <c r="AI40" s="1"/>
      <c r="AJ40" s="1"/>
      <c r="AK40" s="1"/>
      <c r="AL40" s="1"/>
      <c r="AM40" s="1"/>
      <c r="AN40" s="1"/>
      <c r="AO40" s="1"/>
    </row>
    <row r="41" spans="1:41" ht="39.6" customHeight="1">
      <c r="A41" s="822"/>
      <c r="B41" s="528"/>
      <c r="C41" s="45" t="s">
        <v>162</v>
      </c>
      <c r="D41" s="46">
        <v>0</v>
      </c>
      <c r="E41" s="46">
        <v>0.08</v>
      </c>
      <c r="F41" s="213">
        <v>0.08</v>
      </c>
      <c r="G41" s="46">
        <v>0.08</v>
      </c>
      <c r="H41" s="46">
        <v>0.08</v>
      </c>
      <c r="I41" s="46"/>
      <c r="J41" s="46"/>
      <c r="K41" s="46"/>
      <c r="L41" s="48"/>
      <c r="M41" s="48"/>
      <c r="N41" s="48"/>
      <c r="O41" s="48"/>
      <c r="P41" s="219">
        <f t="shared" si="4"/>
        <v>0.32</v>
      </c>
      <c r="Q41" s="720"/>
      <c r="R41" s="721"/>
      <c r="S41" s="721"/>
      <c r="T41" s="721"/>
      <c r="U41" s="721"/>
      <c r="V41" s="721"/>
      <c r="W41" s="721"/>
      <c r="X41" s="721"/>
      <c r="Y41" s="721"/>
      <c r="Z41" s="721"/>
      <c r="AA41" s="721"/>
      <c r="AB41" s="721"/>
      <c r="AC41" s="721"/>
      <c r="AD41" s="722"/>
      <c r="AE41" s="43"/>
      <c r="AF41" s="1"/>
      <c r="AG41" s="1"/>
      <c r="AH41" s="1"/>
      <c r="AI41" s="1"/>
      <c r="AJ41" s="1"/>
      <c r="AK41" s="1"/>
      <c r="AL41" s="1"/>
      <c r="AM41" s="1"/>
      <c r="AN41" s="1"/>
      <c r="AO41" s="1"/>
    </row>
    <row r="42" spans="1:41" ht="34.5" customHeight="1">
      <c r="A42" s="835" t="s">
        <v>310</v>
      </c>
      <c r="B42" s="529">
        <v>0.05</v>
      </c>
      <c r="C42" s="47" t="s">
        <v>159</v>
      </c>
      <c r="D42" s="42">
        <v>0</v>
      </c>
      <c r="E42" s="42">
        <v>0</v>
      </c>
      <c r="F42" s="42">
        <v>0</v>
      </c>
      <c r="G42" s="42">
        <v>0</v>
      </c>
      <c r="H42" s="42">
        <v>0</v>
      </c>
      <c r="I42" s="42">
        <v>0</v>
      </c>
      <c r="J42" s="42">
        <v>0.16500000000000001</v>
      </c>
      <c r="K42" s="42">
        <v>0.16500000000000001</v>
      </c>
      <c r="L42" s="42">
        <v>0.16500000000000001</v>
      </c>
      <c r="M42" s="42">
        <v>0.16500000000000001</v>
      </c>
      <c r="N42" s="42">
        <v>0.16500000000000001</v>
      </c>
      <c r="O42" s="42">
        <v>0.17899999999999999</v>
      </c>
      <c r="P42" s="219">
        <f t="shared" si="4"/>
        <v>1.004</v>
      </c>
      <c r="Q42" s="851" t="s">
        <v>311</v>
      </c>
      <c r="R42" s="852"/>
      <c r="S42" s="852"/>
      <c r="T42" s="852"/>
      <c r="U42" s="852"/>
      <c r="V42" s="852"/>
      <c r="W42" s="852"/>
      <c r="X42" s="852"/>
      <c r="Y42" s="852"/>
      <c r="Z42" s="852"/>
      <c r="AA42" s="852"/>
      <c r="AB42" s="852"/>
      <c r="AC42" s="852"/>
      <c r="AD42" s="853"/>
      <c r="AE42" s="43"/>
      <c r="AF42" s="1"/>
      <c r="AG42" s="1"/>
      <c r="AH42" s="1"/>
      <c r="AI42" s="1"/>
      <c r="AJ42" s="1"/>
      <c r="AK42" s="1"/>
      <c r="AL42" s="1"/>
      <c r="AM42" s="1"/>
      <c r="AN42" s="1"/>
      <c r="AO42" s="1"/>
    </row>
    <row r="43" spans="1:41" ht="34.5" customHeight="1">
      <c r="A43" s="822"/>
      <c r="B43" s="528"/>
      <c r="C43" s="45" t="s">
        <v>162</v>
      </c>
      <c r="D43" s="46">
        <v>0</v>
      </c>
      <c r="E43" s="46">
        <v>0</v>
      </c>
      <c r="F43" s="213">
        <v>0</v>
      </c>
      <c r="G43" s="46">
        <v>0</v>
      </c>
      <c r="H43" s="46">
        <v>0</v>
      </c>
      <c r="I43" s="46"/>
      <c r="J43" s="46"/>
      <c r="K43" s="46"/>
      <c r="L43" s="48"/>
      <c r="M43" s="48"/>
      <c r="N43" s="48"/>
      <c r="O43" s="48"/>
      <c r="P43" s="219">
        <f t="shared" si="4"/>
        <v>0</v>
      </c>
      <c r="Q43" s="854"/>
      <c r="R43" s="855"/>
      <c r="S43" s="855"/>
      <c r="T43" s="855"/>
      <c r="U43" s="855"/>
      <c r="V43" s="855"/>
      <c r="W43" s="855"/>
      <c r="X43" s="855"/>
      <c r="Y43" s="855"/>
      <c r="Z43" s="855"/>
      <c r="AA43" s="855"/>
      <c r="AB43" s="855"/>
      <c r="AC43" s="855"/>
      <c r="AD43" s="856"/>
      <c r="AE43" s="43"/>
      <c r="AF43" s="1"/>
      <c r="AG43" s="1"/>
      <c r="AH43" s="1"/>
      <c r="AI43" s="1"/>
      <c r="AJ43" s="1"/>
      <c r="AK43" s="1"/>
      <c r="AL43" s="1"/>
      <c r="AM43" s="1"/>
      <c r="AN43" s="1"/>
      <c r="AO43" s="1"/>
    </row>
    <row r="44" spans="1:41" ht="14.25" customHeight="1">
      <c r="A44" s="1" t="s">
        <v>185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186</v>
      </c>
      <c r="D47" s="74">
        <f t="shared" ref="D47:O47" si="5">AVERAGE(D38,D40,D42)</f>
        <v>5.553333333333333E-2</v>
      </c>
      <c r="E47" s="74">
        <f t="shared" si="5"/>
        <v>5.553333333333333E-2</v>
      </c>
      <c r="F47" s="74">
        <f>AVERAGE(F38,F40,F42)</f>
        <v>5.553333333333333E-2</v>
      </c>
      <c r="G47" s="74">
        <f t="shared" si="5"/>
        <v>5.553333333333333E-2</v>
      </c>
      <c r="H47" s="74">
        <f t="shared" si="5"/>
        <v>5.553333333333333E-2</v>
      </c>
      <c r="I47" s="74">
        <f t="shared" si="5"/>
        <v>5.553333333333333E-2</v>
      </c>
      <c r="J47" s="74">
        <f t="shared" si="5"/>
        <v>0.11053333333333333</v>
      </c>
      <c r="K47" s="74">
        <f t="shared" si="5"/>
        <v>0.11053333333333333</v>
      </c>
      <c r="L47" s="74">
        <f t="shared" si="5"/>
        <v>0.11053333333333333</v>
      </c>
      <c r="M47" s="74">
        <f t="shared" si="5"/>
        <v>0.11053333333333333</v>
      </c>
      <c r="N47" s="74">
        <f t="shared" si="5"/>
        <v>0.11053333333333333</v>
      </c>
      <c r="O47" s="74">
        <f t="shared" si="5"/>
        <v>0.11520000000000001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187</v>
      </c>
      <c r="D48" s="75">
        <f t="shared" ref="D48:O48" si="6">AVERAGE(D39,D41,D43)</f>
        <v>1.3333333333333334E-2</v>
      </c>
      <c r="E48" s="75">
        <f t="shared" si="6"/>
        <v>5.3333333333333337E-2</v>
      </c>
      <c r="F48" s="75">
        <f t="shared" si="6"/>
        <v>5.3333333333333337E-2</v>
      </c>
      <c r="G48" s="75">
        <f t="shared" si="6"/>
        <v>5.3333333333333337E-2</v>
      </c>
      <c r="H48" s="75">
        <f t="shared" si="6"/>
        <v>5.3333333333333337E-2</v>
      </c>
      <c r="I48" s="75" t="e">
        <f t="shared" si="6"/>
        <v>#DIV/0!</v>
      </c>
      <c r="J48" s="75" t="e">
        <f t="shared" si="6"/>
        <v>#DIV/0!</v>
      </c>
      <c r="K48" s="75" t="e">
        <f t="shared" si="6"/>
        <v>#DIV/0!</v>
      </c>
      <c r="L48" s="75" t="e">
        <f t="shared" si="6"/>
        <v>#DIV/0!</v>
      </c>
      <c r="M48" s="75" t="e">
        <f t="shared" si="6"/>
        <v>#DIV/0!</v>
      </c>
      <c r="N48" s="75" t="e">
        <f t="shared" si="6"/>
        <v>#DIV/0!</v>
      </c>
      <c r="O48" s="75"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689" t="s">
        <v>312</v>
      </c>
      <c r="R49" s="689"/>
      <c r="S49" s="689"/>
      <c r="T49" s="689"/>
      <c r="U49" s="689"/>
      <c r="V49" s="689"/>
      <c r="W49" s="689"/>
      <c r="X49" s="689"/>
      <c r="Y49" s="689"/>
      <c r="Z49" s="689"/>
      <c r="AA49" s="689"/>
      <c r="AB49" s="689"/>
      <c r="AC49" s="689"/>
      <c r="AD49" s="689"/>
      <c r="AE49" s="1"/>
      <c r="AF49" s="1"/>
      <c r="AG49" s="1"/>
      <c r="AH49" s="1"/>
      <c r="AI49" s="1"/>
      <c r="AJ49" s="1"/>
      <c r="AK49" s="1"/>
      <c r="AL49" s="1"/>
      <c r="AM49" s="1"/>
      <c r="AN49" s="1"/>
      <c r="AO49" s="1"/>
    </row>
    <row r="50" spans="1:41" ht="28.5" customHeight="1">
      <c r="A50" s="1"/>
      <c r="B50" s="1"/>
      <c r="C50" s="228" t="s">
        <v>313</v>
      </c>
      <c r="D50" s="86"/>
      <c r="E50" s="86"/>
      <c r="F50" s="86"/>
      <c r="G50" s="77"/>
      <c r="H50" s="77"/>
      <c r="I50" s="77"/>
      <c r="J50" s="77"/>
      <c r="K50" s="77"/>
      <c r="L50" s="77"/>
      <c r="M50" s="77"/>
      <c r="N50" s="77"/>
      <c r="O50" s="77"/>
      <c r="P50" s="1"/>
      <c r="Q50" s="689"/>
      <c r="R50" s="689"/>
      <c r="S50" s="689"/>
      <c r="T50" s="689"/>
      <c r="U50" s="689"/>
      <c r="V50" s="689"/>
      <c r="W50" s="689"/>
      <c r="X50" s="689"/>
      <c r="Y50" s="689"/>
      <c r="Z50" s="689"/>
      <c r="AA50" s="689"/>
      <c r="AB50" s="689"/>
      <c r="AC50" s="689"/>
      <c r="AD50" s="689"/>
      <c r="AE50" s="1"/>
      <c r="AF50" s="1"/>
      <c r="AG50" s="1"/>
      <c r="AH50" s="1"/>
      <c r="AI50" s="1"/>
      <c r="AJ50" s="1"/>
      <c r="AK50" s="1"/>
      <c r="AL50" s="1"/>
      <c r="AM50" s="1"/>
      <c r="AN50" s="1"/>
      <c r="AO50" s="1"/>
    </row>
    <row r="51" spans="1:41" ht="28.5" customHeight="1">
      <c r="A51" s="1"/>
      <c r="B51" s="1"/>
      <c r="C51" s="229" t="s">
        <v>314</v>
      </c>
      <c r="D51" s="230"/>
      <c r="E51" s="230"/>
      <c r="F51" s="230"/>
      <c r="G51" s="231"/>
      <c r="H51" s="231"/>
      <c r="I51" s="231"/>
      <c r="J51" s="231"/>
      <c r="K51" s="231"/>
      <c r="L51" s="231"/>
      <c r="M51" s="231"/>
      <c r="N51" s="231"/>
      <c r="O51" s="23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28" t="s">
        <v>315</v>
      </c>
      <c r="D52" s="86"/>
      <c r="E52" s="8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29" t="s">
        <v>316</v>
      </c>
      <c r="D53" s="230"/>
      <c r="E53" s="230"/>
      <c r="F53" s="230"/>
      <c r="G53" s="231"/>
      <c r="H53" s="231"/>
      <c r="I53" s="231"/>
      <c r="J53" s="231"/>
      <c r="K53" s="231"/>
      <c r="L53" s="231"/>
      <c r="M53" s="231"/>
      <c r="N53" s="231"/>
      <c r="O53" s="23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Q49" xr:uid="{00000000-0002-0000-0700-000001000000}">
      <formula1>LTE(LEN(Q34),(2000))</formula1>
    </dataValidation>
    <dataValidation type="list" allowBlank="1" showInputMessage="1" showErrorMessage="1" sqref="C7:C9" xr:uid="{594F53D6-8B89-43D5-82C9-5DC15DB02491}">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51"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P25"/>
  <sheetViews>
    <sheetView zoomScale="85" zoomScaleNormal="85" workbookViewId="0">
      <selection activeCell="E12" sqref="E12"/>
    </sheetView>
  </sheetViews>
  <sheetFormatPr baseColWidth="10" defaultColWidth="10.7109375" defaultRowHeight="14.25"/>
  <cols>
    <col min="1" max="1" width="60.7109375" style="156" customWidth="1"/>
    <col min="2" max="2" width="17.7109375" style="172" customWidth="1"/>
    <col min="3" max="3" width="18.7109375" style="173" customWidth="1"/>
    <col min="4" max="4" width="6.28515625" style="173" customWidth="1"/>
    <col min="5" max="5" width="15.7109375" style="163" customWidth="1"/>
    <col min="6" max="6" width="8.28515625" style="173" customWidth="1"/>
    <col min="7" max="7" width="16.28515625" style="157" bestFit="1" customWidth="1"/>
    <col min="8" max="8" width="16.5703125" style="157" customWidth="1"/>
    <col min="9" max="9" width="8.5703125" style="157" customWidth="1"/>
    <col min="10" max="10" width="14.28515625" style="157" customWidth="1"/>
    <col min="11" max="11" width="8.5703125" style="157" bestFit="1" customWidth="1"/>
    <col min="12" max="12" width="10.42578125" style="157" bestFit="1" customWidth="1"/>
    <col min="13" max="13" width="18" style="337" customWidth="1"/>
    <col min="14" max="14" width="13.42578125" style="157" customWidth="1"/>
    <col min="15" max="15" width="10.7109375" style="157"/>
    <col min="16" max="16" width="12.42578125" style="157" customWidth="1"/>
    <col min="17" max="16384" width="10.7109375" style="157"/>
  </cols>
  <sheetData>
    <row r="2" spans="1:16">
      <c r="A2" s="156" t="s">
        <v>317</v>
      </c>
    </row>
    <row r="4" spans="1:16" ht="16.5" customHeight="1">
      <c r="B4" s="857" t="s">
        <v>318</v>
      </c>
      <c r="C4" s="857"/>
      <c r="D4" s="857"/>
      <c r="E4" s="857"/>
      <c r="F4" s="857"/>
      <c r="G4" s="858" t="s">
        <v>319</v>
      </c>
      <c r="H4" s="858"/>
      <c r="I4" s="858"/>
      <c r="J4" s="858"/>
      <c r="K4" s="858"/>
    </row>
    <row r="5" spans="1:16" s="163" customFormat="1" ht="45">
      <c r="A5" s="158" t="s">
        <v>320</v>
      </c>
      <c r="B5" s="159" t="s">
        <v>321</v>
      </c>
      <c r="C5" s="176" t="s">
        <v>322</v>
      </c>
      <c r="D5" s="160" t="s">
        <v>323</v>
      </c>
      <c r="E5" s="160" t="s">
        <v>324</v>
      </c>
      <c r="F5" s="160" t="s">
        <v>323</v>
      </c>
      <c r="G5" s="161" t="s">
        <v>319</v>
      </c>
      <c r="H5" s="161" t="s">
        <v>325</v>
      </c>
      <c r="I5" s="162" t="s">
        <v>323</v>
      </c>
      <c r="J5" s="162" t="s">
        <v>324</v>
      </c>
      <c r="K5" s="162" t="s">
        <v>323</v>
      </c>
      <c r="M5" s="338"/>
    </row>
    <row r="6" spans="1:16" ht="34.15" customHeight="1">
      <c r="A6" s="164" t="str">
        <f>+'Metas 1'!A30</f>
        <v xml:space="preserve">1. Diseñar 1 documento de lineamientos técnicos para la formulación de las bases del sistema distrital de cuidado. </v>
      </c>
      <c r="B6" s="165">
        <f>+'Metas 1'!AC22</f>
        <v>340713963</v>
      </c>
      <c r="C6" s="165">
        <f>+'Metas 1'!AC23</f>
        <v>303208006</v>
      </c>
      <c r="D6" s="166">
        <f>+C6/B6</f>
        <v>0.88991951879588804</v>
      </c>
      <c r="E6" s="165">
        <f>+'Metas 1'!AC25</f>
        <v>79089420</v>
      </c>
      <c r="F6" s="293">
        <f>+E6/C6</f>
        <v>0.2608421230143903</v>
      </c>
      <c r="G6" s="167">
        <f>+'Metas 1'!O24</f>
        <v>703586045</v>
      </c>
      <c r="H6" s="167">
        <f>+'Metas 1'!O23</f>
        <v>703406667</v>
      </c>
      <c r="I6" s="168">
        <f>+H6/G6</f>
        <v>0.99974505179391382</v>
      </c>
      <c r="J6" s="167">
        <f>+'Metas 1'!O25</f>
        <v>703406667</v>
      </c>
      <c r="K6" s="292">
        <f>+J6/H6</f>
        <v>1</v>
      </c>
      <c r="M6" s="339">
        <v>6932787</v>
      </c>
      <c r="P6" s="157">
        <v>30006820</v>
      </c>
    </row>
    <row r="7" spans="1:16" ht="30" customHeight="1">
      <c r="A7" s="164" t="str">
        <f>+'Metas 2'!A30</f>
        <v>2. Coordinar y articular 13 secretarías del nivel distrital para la implementación del sistema distrital de cuidado</v>
      </c>
      <c r="B7" s="165">
        <f>+'Metas 2'!AC22</f>
        <v>254977520</v>
      </c>
      <c r="C7" s="165">
        <f>+'Metas 2'!AC23</f>
        <v>216814482</v>
      </c>
      <c r="D7" s="166">
        <f t="shared" ref="D7:D13" si="0">+C7/B7</f>
        <v>0.85032783282228175</v>
      </c>
      <c r="E7" s="165">
        <f>+'Metas 2'!AC25</f>
        <v>52280347</v>
      </c>
      <c r="F7" s="293">
        <f t="shared" ref="F7:F12" si="1">+E7/C7</f>
        <v>0.24112940481531117</v>
      </c>
      <c r="G7" s="167">
        <f>+'Metas 2'!O24</f>
        <v>472711</v>
      </c>
      <c r="H7" s="167">
        <f t="shared" ref="H7:H12" si="2">+G7</f>
        <v>472711</v>
      </c>
      <c r="I7" s="168">
        <f t="shared" ref="I7:I12" si="3">+H7/G7</f>
        <v>1</v>
      </c>
      <c r="J7" s="167">
        <f>+'Metas 2'!O25</f>
        <v>293333</v>
      </c>
      <c r="K7" s="292">
        <f t="shared" ref="K7:K12" si="4">+J7/H7</f>
        <v>0.62053347605619502</v>
      </c>
      <c r="M7" s="339">
        <v>4014213</v>
      </c>
      <c r="N7" s="337">
        <f>SUM(M6:M7)</f>
        <v>10947000</v>
      </c>
      <c r="P7" s="157">
        <v>20941680</v>
      </c>
    </row>
    <row r="8" spans="1:16" ht="29.1" customHeight="1">
      <c r="A8" s="164" t="str">
        <f>+'Metas 3'!A30</f>
        <v>3. Gestionar 1 estrategia para la adecuación de infraestructura de manzanas de cuidado</v>
      </c>
      <c r="B8" s="165">
        <f>+'Metas 3'!AC22</f>
        <v>2501008965</v>
      </c>
      <c r="C8" s="165">
        <f>+'Metas 3'!AC23</f>
        <v>2192831211</v>
      </c>
      <c r="D8" s="166">
        <f t="shared" si="0"/>
        <v>0.87677862882030888</v>
      </c>
      <c r="E8" s="165">
        <f>+'Metas 3'!AC25</f>
        <v>602022321</v>
      </c>
      <c r="F8" s="293">
        <f t="shared" si="1"/>
        <v>0.2745411128681714</v>
      </c>
      <c r="G8" s="167">
        <f>+'Metas 3'!O24</f>
        <v>80051794</v>
      </c>
      <c r="H8" s="167">
        <f t="shared" si="2"/>
        <v>80051794</v>
      </c>
      <c r="I8" s="168">
        <f t="shared" si="3"/>
        <v>1</v>
      </c>
      <c r="J8" s="167">
        <f>+'Metas 3'!O25</f>
        <v>74459596</v>
      </c>
      <c r="K8" s="292">
        <f t="shared" si="4"/>
        <v>0.93014275232857369</v>
      </c>
      <c r="M8" s="340">
        <v>33390260</v>
      </c>
      <c r="P8" s="157">
        <v>219253047</v>
      </c>
    </row>
    <row r="9" spans="1:16" ht="29.1" customHeight="1">
      <c r="A9" s="164" t="str">
        <f>+'Metas 4 (Contrato relevos)'!A30</f>
        <v>4. Diseñar e implementar 1 estrategia de cuidado a cuidadoras.</v>
      </c>
      <c r="B9" s="165">
        <f>+'Metas 4 (Contrato relevos)'!AC22</f>
        <v>6333424930</v>
      </c>
      <c r="C9" s="165">
        <f>+'Metas 4 (Contrato relevos)'!AC23</f>
        <v>2238093431</v>
      </c>
      <c r="D9" s="166">
        <f t="shared" si="0"/>
        <v>0.3533780625390629</v>
      </c>
      <c r="E9" s="165">
        <f>+'Metas 4 (Contrato relevos)'!AC25</f>
        <v>620239454</v>
      </c>
      <c r="F9" s="293">
        <f t="shared" si="1"/>
        <v>0.27712849044146987</v>
      </c>
      <c r="G9" s="167">
        <f>+'Metas 4 (Contrato relevos)'!O24</f>
        <v>4722991192</v>
      </c>
      <c r="H9" s="167">
        <f t="shared" si="2"/>
        <v>4722991192</v>
      </c>
      <c r="I9" s="168">
        <f t="shared" si="3"/>
        <v>1</v>
      </c>
      <c r="J9" s="167">
        <f>+'Metas 4 (Contrato relevos)'!O25</f>
        <v>369204986</v>
      </c>
      <c r="K9" s="292">
        <f t="shared" si="4"/>
        <v>7.817185571410229E-2</v>
      </c>
      <c r="M9" s="340">
        <v>25054974</v>
      </c>
      <c r="P9" s="157">
        <v>217848557</v>
      </c>
    </row>
    <row r="10" spans="1:16" ht="53.1" customHeight="1">
      <c r="A10" s="164" t="str">
        <f>+'Metas 5'!A30</f>
        <v>5. Diseñar 1 documento para la implementación de la estrategia pedagógica para la valoración, la resignificación, el reconocimiento y la redistribución del trabajo de cuidado no remunerado que realizan las mujeres en Bogotá</v>
      </c>
      <c r="B10" s="165">
        <f>+'Metas 5'!AC22</f>
        <v>394554764</v>
      </c>
      <c r="C10" s="165">
        <f>+'Metas 5'!AC23</f>
        <v>356992106</v>
      </c>
      <c r="D10" s="166">
        <f t="shared" si="0"/>
        <v>0.90479735279536511</v>
      </c>
      <c r="E10" s="165">
        <f>+'Metas 5'!AC25</f>
        <v>88283620</v>
      </c>
      <c r="F10" s="293">
        <f t="shared" si="1"/>
        <v>0.24729852149727927</v>
      </c>
      <c r="G10" s="167">
        <f>+'Metas 5'!O24</f>
        <v>436045</v>
      </c>
      <c r="H10" s="167">
        <f t="shared" si="2"/>
        <v>436045</v>
      </c>
      <c r="I10" s="168">
        <f t="shared" si="3"/>
        <v>1</v>
      </c>
      <c r="J10" s="167">
        <f>+'Metas 5'!O25</f>
        <v>256667</v>
      </c>
      <c r="K10" s="292">
        <f t="shared" si="4"/>
        <v>0.58862502723342769</v>
      </c>
      <c r="M10" s="341">
        <v>4248887</v>
      </c>
      <c r="P10" s="157">
        <v>26727087</v>
      </c>
    </row>
    <row r="11" spans="1:16" ht="41.65" customHeight="1">
      <c r="A11" s="164" t="str">
        <f>+'Metas 6 (ONU Mujeres)'!A30</f>
        <v>6. Implementar 1 estrategia para el reconocimiento y la redistribución del trabajo de cuidado no remunerado entre hombres y mujeres.</v>
      </c>
      <c r="B11" s="165">
        <f>+'Metas 6 (ONU Mujeres)'!AC22</f>
        <v>547234329</v>
      </c>
      <c r="C11" s="165">
        <f>+'Metas 6 (ONU Mujeres)'!AC23</f>
        <v>419361786</v>
      </c>
      <c r="D11" s="166">
        <f t="shared" si="0"/>
        <v>0.76632945664488827</v>
      </c>
      <c r="E11" s="165">
        <f>+'Metas 6 (ONU Mujeres)'!AC25</f>
        <v>105581470</v>
      </c>
      <c r="F11" s="293">
        <f t="shared" si="1"/>
        <v>0.25176702676480878</v>
      </c>
      <c r="G11" s="167">
        <f>+'Metas 6 (ONU Mujeres)'!O24</f>
        <v>221921526</v>
      </c>
      <c r="H11" s="167">
        <f t="shared" si="2"/>
        <v>221921526</v>
      </c>
      <c r="I11" s="168">
        <f t="shared" si="3"/>
        <v>1</v>
      </c>
      <c r="J11" s="167">
        <f>+'Metas 6 (ONU Mujeres)'!O25</f>
        <v>208530374</v>
      </c>
      <c r="K11" s="292">
        <f t="shared" si="4"/>
        <v>0.9396581654724202</v>
      </c>
      <c r="M11" s="341">
        <v>8988603</v>
      </c>
      <c r="N11" s="337">
        <f>SUM(M10:M11)</f>
        <v>13237490</v>
      </c>
      <c r="P11" s="157">
        <v>40795137</v>
      </c>
    </row>
    <row r="12" spans="1:16" ht="35.1" customHeight="1">
      <c r="A12" s="164" t="str">
        <f>+'Metas 7 (Unidades Moviles)'!A30</f>
        <v>7. Gestionar la implementación de 1 estrategia de unidades móviles de cuidado.</v>
      </c>
      <c r="B12" s="165">
        <f>+'Metas 7 (Unidades Moviles)'!AC22</f>
        <v>3482036529</v>
      </c>
      <c r="C12" s="165">
        <f>+'Metas 7 (Unidades Moviles)'!AC23</f>
        <v>1118388858</v>
      </c>
      <c r="D12" s="166">
        <f t="shared" si="0"/>
        <v>0.32118814627174175</v>
      </c>
      <c r="E12" s="165">
        <f>+'Metas 7 (Unidades Moviles)'!AC25</f>
        <v>299294740</v>
      </c>
      <c r="F12" s="293">
        <f t="shared" si="1"/>
        <v>0.26761241214010734</v>
      </c>
      <c r="G12" s="167">
        <f>+'Metas 7 (Unidades Moviles)'!O24</f>
        <v>3997045</v>
      </c>
      <c r="H12" s="167">
        <f t="shared" si="2"/>
        <v>3997045</v>
      </c>
      <c r="I12" s="168">
        <f t="shared" si="3"/>
        <v>1</v>
      </c>
      <c r="J12" s="167">
        <f>+'Metas 7 (Unidades Moviles)'!O25</f>
        <v>3781666</v>
      </c>
      <c r="K12" s="292">
        <f t="shared" si="4"/>
        <v>0.94611544278335624</v>
      </c>
      <c r="M12" s="340">
        <v>13608498</v>
      </c>
      <c r="N12" s="337">
        <f>+M12+M8+M9</f>
        <v>72053732</v>
      </c>
      <c r="P12" s="157">
        <v>108463207</v>
      </c>
    </row>
    <row r="13" spans="1:16" s="163" customFormat="1" ht="28.5" customHeight="1">
      <c r="A13" s="169" t="s">
        <v>326</v>
      </c>
      <c r="B13" s="170">
        <f>SUM(B6:B12)</f>
        <v>13853951000</v>
      </c>
      <c r="C13" s="174">
        <f>SUM(C6:C12)</f>
        <v>6845689880</v>
      </c>
      <c r="D13" s="171">
        <f t="shared" si="0"/>
        <v>0.49413267594204713</v>
      </c>
      <c r="E13" s="175">
        <f>SUM(E6:E12)</f>
        <v>1846791372</v>
      </c>
      <c r="F13" s="294">
        <f>+E13/C13</f>
        <v>0.26977432579811811</v>
      </c>
      <c r="G13" s="175">
        <f>SUM(G6:G12)</f>
        <v>5733456358</v>
      </c>
      <c r="H13" s="175">
        <f>SUM(H6:H12)</f>
        <v>5733276980</v>
      </c>
      <c r="I13" s="295">
        <f>+H13/G13</f>
        <v>0.99996871381086738</v>
      </c>
      <c r="J13" s="175">
        <f>SUM(J6:J12)</f>
        <v>1359933289</v>
      </c>
      <c r="K13" s="296">
        <f>+J13/H13</f>
        <v>0.23719999814137707</v>
      </c>
      <c r="M13" s="338">
        <v>96238222</v>
      </c>
    </row>
    <row r="14" spans="1:16" ht="15">
      <c r="A14" s="156" t="s">
        <v>327</v>
      </c>
      <c r="B14" s="384">
        <v>44593</v>
      </c>
      <c r="C14" s="174">
        <v>6689497774</v>
      </c>
      <c r="J14" s="174">
        <v>273082816</v>
      </c>
    </row>
    <row r="15" spans="1:16">
      <c r="C15" s="385">
        <f>+C14-C13</f>
        <v>-156192106</v>
      </c>
    </row>
    <row r="16" spans="1:16">
      <c r="B16" s="172">
        <f>B9-3270000000</f>
        <v>3063424930</v>
      </c>
    </row>
    <row r="18" spans="1:2">
      <c r="A18" s="156" t="s">
        <v>328</v>
      </c>
      <c r="B18" s="172">
        <v>340713963</v>
      </c>
    </row>
    <row r="19" spans="1:2">
      <c r="B19" s="172">
        <v>254977520</v>
      </c>
    </row>
    <row r="20" spans="1:2">
      <c r="B20" s="172">
        <v>2501008965</v>
      </c>
    </row>
    <row r="21" spans="1:2">
      <c r="B21" s="172">
        <v>3063424930</v>
      </c>
    </row>
    <row r="22" spans="1:2">
      <c r="B22" s="172">
        <v>394554764</v>
      </c>
    </row>
    <row r="23" spans="1:2">
      <c r="B23" s="172">
        <v>547234329</v>
      </c>
    </row>
    <row r="24" spans="1:2">
      <c r="B24" s="172">
        <v>3482036529</v>
      </c>
    </row>
    <row r="25" spans="1:2">
      <c r="B25" s="172">
        <f>SUM(B18:B24)</f>
        <v>10583951000</v>
      </c>
    </row>
  </sheetData>
  <mergeCells count="2">
    <mergeCell ref="B4:F4"/>
    <mergeCell ref="G4:K4"/>
  </mergeCells>
  <phoneticPr fontId="30" type="noConversion"/>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P115"/>
  <sheetViews>
    <sheetView topLeftCell="A17" zoomScale="92" zoomScaleNormal="92" workbookViewId="0">
      <selection activeCell="C60" sqref="C60:E60"/>
    </sheetView>
  </sheetViews>
  <sheetFormatPr baseColWidth="10" defaultColWidth="11.42578125" defaultRowHeight="15"/>
  <cols>
    <col min="1" max="1" width="10.7109375" style="147" customWidth="1"/>
    <col min="2" max="2" width="6" style="147" customWidth="1"/>
    <col min="3" max="3" width="24" style="147" customWidth="1"/>
    <col min="4" max="4" width="12" style="147" customWidth="1"/>
    <col min="5" max="16384" width="11.42578125" style="147"/>
  </cols>
  <sheetData>
    <row r="1" spans="1:4">
      <c r="A1" s="146" t="s">
        <v>329</v>
      </c>
    </row>
    <row r="3" spans="1:4">
      <c r="A3" s="147">
        <v>2021</v>
      </c>
      <c r="B3" s="148">
        <v>0.38</v>
      </c>
      <c r="C3" s="147">
        <f>0.22/12</f>
        <v>1.8333333333333333E-2</v>
      </c>
      <c r="D3" s="147" t="s">
        <v>330</v>
      </c>
    </row>
    <row r="4" spans="1:4">
      <c r="A4" s="147">
        <v>2022</v>
      </c>
      <c r="B4" s="148">
        <v>0.25</v>
      </c>
      <c r="C4" s="149">
        <f>+C3</f>
        <v>1.8333333333333333E-2</v>
      </c>
      <c r="D4" s="450" t="s">
        <v>331</v>
      </c>
    </row>
    <row r="5" spans="1:4">
      <c r="A5" s="147">
        <v>2023</v>
      </c>
      <c r="B5" s="148">
        <v>0.25</v>
      </c>
      <c r="C5" s="149">
        <f>+C4+C3</f>
        <v>3.6666666666666667E-2</v>
      </c>
      <c r="D5" s="450" t="s">
        <v>332</v>
      </c>
    </row>
    <row r="6" spans="1:4">
      <c r="A6" s="147">
        <v>2024</v>
      </c>
      <c r="B6" s="148">
        <v>0.12</v>
      </c>
      <c r="C6" s="149">
        <f>+C5+C4</f>
        <v>5.5E-2</v>
      </c>
      <c r="D6" s="450" t="s">
        <v>333</v>
      </c>
    </row>
    <row r="7" spans="1:4" hidden="1">
      <c r="B7" s="148"/>
      <c r="C7" s="149"/>
      <c r="D7" s="450" t="s">
        <v>334</v>
      </c>
    </row>
    <row r="8" spans="1:4" hidden="1">
      <c r="B8" s="148"/>
      <c r="C8" s="149"/>
      <c r="D8" s="450" t="s">
        <v>335</v>
      </c>
    </row>
    <row r="9" spans="1:4" hidden="1">
      <c r="B9" s="148"/>
      <c r="C9" s="149"/>
      <c r="D9" s="450" t="s">
        <v>336</v>
      </c>
    </row>
    <row r="10" spans="1:4" hidden="1">
      <c r="B10" s="148"/>
      <c r="C10" s="149"/>
      <c r="D10" s="450" t="s">
        <v>337</v>
      </c>
    </row>
    <row r="11" spans="1:4" hidden="1">
      <c r="B11" s="148"/>
      <c r="C11" s="149"/>
      <c r="D11" s="450" t="s">
        <v>338</v>
      </c>
    </row>
    <row r="12" spans="1:4" hidden="1">
      <c r="B12" s="148"/>
      <c r="C12" s="149"/>
      <c r="D12" s="450" t="s">
        <v>339</v>
      </c>
    </row>
    <row r="13" spans="1:4" hidden="1">
      <c r="B13" s="148"/>
      <c r="C13" s="149"/>
      <c r="D13" s="450" t="s">
        <v>340</v>
      </c>
    </row>
    <row r="14" spans="1:4" hidden="1">
      <c r="B14" s="148"/>
      <c r="C14" s="149"/>
      <c r="D14" s="450" t="s">
        <v>341</v>
      </c>
    </row>
    <row r="15" spans="1:4" hidden="1">
      <c r="B15" s="148"/>
      <c r="C15" s="149"/>
      <c r="D15" s="450" t="s">
        <v>342</v>
      </c>
    </row>
    <row r="16" spans="1:4">
      <c r="B16" s="148"/>
      <c r="C16" s="149">
        <f>+C4+C5+C6</f>
        <v>0.11</v>
      </c>
      <c r="D16" s="450" t="s">
        <v>334</v>
      </c>
    </row>
    <row r="17" spans="1:12">
      <c r="A17" s="450" t="s">
        <v>343</v>
      </c>
      <c r="C17" s="451" t="s">
        <v>344</v>
      </c>
      <c r="D17" s="451"/>
      <c r="E17" s="451"/>
      <c r="F17" s="451"/>
      <c r="G17" s="451"/>
      <c r="H17" s="451"/>
      <c r="I17" s="451"/>
      <c r="J17" s="451"/>
      <c r="K17" s="451"/>
      <c r="L17" s="451"/>
    </row>
    <row r="18" spans="1:12">
      <c r="A18" s="450" t="s">
        <v>345</v>
      </c>
      <c r="C18" s="451" t="s">
        <v>346</v>
      </c>
      <c r="D18" s="451"/>
      <c r="E18" s="451"/>
      <c r="F18" s="451"/>
      <c r="G18" s="451"/>
      <c r="H18" s="451"/>
      <c r="I18" s="451"/>
      <c r="J18" s="451"/>
      <c r="K18" s="451"/>
      <c r="L18" s="451"/>
    </row>
    <row r="19" spans="1:12">
      <c r="A19" s="450" t="s">
        <v>347</v>
      </c>
      <c r="C19" s="451" t="s">
        <v>348</v>
      </c>
    </row>
    <row r="20" spans="1:12">
      <c r="A20" s="450" t="s">
        <v>349</v>
      </c>
      <c r="C20" s="451" t="s">
        <v>350</v>
      </c>
    </row>
    <row r="21" spans="1:12" hidden="1">
      <c r="A21" s="450" t="s">
        <v>351</v>
      </c>
      <c r="C21" s="451" t="s">
        <v>346</v>
      </c>
    </row>
    <row r="22" spans="1:12" hidden="1">
      <c r="A22" s="450" t="s">
        <v>352</v>
      </c>
      <c r="C22" s="451" t="s">
        <v>346</v>
      </c>
    </row>
    <row r="23" spans="1:12" hidden="1">
      <c r="A23" s="450" t="s">
        <v>353</v>
      </c>
      <c r="C23" s="451" t="s">
        <v>346</v>
      </c>
    </row>
    <row r="24" spans="1:12" hidden="1">
      <c r="A24" s="450" t="s">
        <v>354</v>
      </c>
      <c r="C24" s="451" t="s">
        <v>346</v>
      </c>
    </row>
    <row r="25" spans="1:12" hidden="1">
      <c r="A25" s="450" t="s">
        <v>355</v>
      </c>
      <c r="C25" s="451" t="s">
        <v>346</v>
      </c>
    </row>
    <row r="26" spans="1:12" hidden="1">
      <c r="A26" s="450" t="s">
        <v>356</v>
      </c>
      <c r="C26" s="451" t="s">
        <v>346</v>
      </c>
    </row>
    <row r="27" spans="1:12" hidden="1">
      <c r="A27" s="450" t="s">
        <v>357</v>
      </c>
      <c r="C27" s="451" t="s">
        <v>346</v>
      </c>
    </row>
    <row r="28" spans="1:12" hidden="1">
      <c r="A28" s="450" t="s">
        <v>358</v>
      </c>
      <c r="C28" s="451" t="s">
        <v>346</v>
      </c>
    </row>
    <row r="29" spans="1:12">
      <c r="C29" s="147">
        <f>+LEN(C19)</f>
        <v>295</v>
      </c>
    </row>
    <row r="30" spans="1:12">
      <c r="A30" s="146" t="s">
        <v>359</v>
      </c>
    </row>
    <row r="32" spans="1:12">
      <c r="B32" s="147">
        <v>0.25</v>
      </c>
      <c r="C32" s="185">
        <f>+B32/7</f>
        <v>3.5714285714285712E-2</v>
      </c>
      <c r="D32" s="450" t="s">
        <v>331</v>
      </c>
    </row>
    <row r="33" spans="1:12">
      <c r="A33" s="450" t="s">
        <v>360</v>
      </c>
      <c r="B33" s="147">
        <v>7</v>
      </c>
      <c r="C33" s="185">
        <f>+C32+C32</f>
        <v>7.1428571428571425E-2</v>
      </c>
      <c r="D33" s="450" t="s">
        <v>332</v>
      </c>
    </row>
    <row r="34" spans="1:12">
      <c r="C34" s="185">
        <f>+C33+C33</f>
        <v>0.14285714285714285</v>
      </c>
      <c r="D34" s="450" t="s">
        <v>333</v>
      </c>
    </row>
    <row r="35" spans="1:12">
      <c r="C35" s="185"/>
      <c r="D35" s="450" t="s">
        <v>334</v>
      </c>
    </row>
    <row r="36" spans="1:12">
      <c r="C36" s="185"/>
      <c r="D36" s="450" t="s">
        <v>335</v>
      </c>
    </row>
    <row r="37" spans="1:12">
      <c r="C37" s="185"/>
      <c r="D37" s="450" t="s">
        <v>336</v>
      </c>
    </row>
    <row r="38" spans="1:12">
      <c r="C38" s="185"/>
      <c r="D38" s="450" t="s">
        <v>337</v>
      </c>
    </row>
    <row r="39" spans="1:12" hidden="1">
      <c r="C39" s="185"/>
      <c r="D39" s="450" t="s">
        <v>338</v>
      </c>
    </row>
    <row r="40" spans="1:12" hidden="1">
      <c r="C40" s="185"/>
      <c r="D40" s="450" t="s">
        <v>339</v>
      </c>
    </row>
    <row r="41" spans="1:12" hidden="1">
      <c r="C41" s="185"/>
      <c r="D41" s="450" t="s">
        <v>340</v>
      </c>
    </row>
    <row r="42" spans="1:12" hidden="1">
      <c r="C42" s="185"/>
      <c r="D42" s="450" t="s">
        <v>341</v>
      </c>
    </row>
    <row r="43" spans="1:12" hidden="1">
      <c r="C43" s="185"/>
      <c r="D43" s="450" t="s">
        <v>342</v>
      </c>
    </row>
    <row r="44" spans="1:12">
      <c r="D44" s="450"/>
    </row>
    <row r="45" spans="1:12">
      <c r="A45" s="450" t="s">
        <v>343</v>
      </c>
      <c r="C45" s="451" t="s">
        <v>361</v>
      </c>
      <c r="D45" s="451"/>
      <c r="E45" s="451"/>
      <c r="F45" s="451"/>
      <c r="G45" s="451"/>
      <c r="H45" s="451"/>
      <c r="I45" s="451"/>
      <c r="J45" s="451"/>
      <c r="K45" s="451"/>
      <c r="L45" s="451"/>
    </row>
    <row r="46" spans="1:12">
      <c r="A46" s="450" t="s">
        <v>345</v>
      </c>
      <c r="C46" s="451" t="s">
        <v>362</v>
      </c>
      <c r="D46" s="451"/>
      <c r="E46" s="451"/>
      <c r="F46" s="451"/>
      <c r="G46" s="451"/>
      <c r="H46" s="451"/>
      <c r="I46" s="451"/>
      <c r="J46" s="451"/>
      <c r="K46" s="451"/>
      <c r="L46" s="451"/>
    </row>
    <row r="47" spans="1:12">
      <c r="A47" s="450" t="s">
        <v>347</v>
      </c>
      <c r="C47" s="450" t="s">
        <v>363</v>
      </c>
    </row>
    <row r="48" spans="1:12" hidden="1">
      <c r="A48" s="450" t="s">
        <v>349</v>
      </c>
    </row>
    <row r="49" spans="1:12" hidden="1">
      <c r="A49" s="450" t="s">
        <v>351</v>
      </c>
    </row>
    <row r="50" spans="1:12" ht="18" hidden="1" customHeight="1">
      <c r="A50" s="450" t="s">
        <v>352</v>
      </c>
    </row>
    <row r="51" spans="1:12" hidden="1">
      <c r="A51" s="450" t="s">
        <v>353</v>
      </c>
    </row>
    <row r="52" spans="1:12" hidden="1">
      <c r="A52" s="450" t="s">
        <v>354</v>
      </c>
    </row>
    <row r="53" spans="1:12" hidden="1">
      <c r="A53" s="450" t="s">
        <v>355</v>
      </c>
    </row>
    <row r="54" spans="1:12" hidden="1">
      <c r="A54" s="450" t="s">
        <v>356</v>
      </c>
    </row>
    <row r="55" spans="1:12" hidden="1">
      <c r="A55" s="450" t="s">
        <v>357</v>
      </c>
    </row>
    <row r="56" spans="1:12" hidden="1">
      <c r="A56" s="450" t="s">
        <v>358</v>
      </c>
    </row>
    <row r="58" spans="1:12" ht="15" customHeight="1">
      <c r="C58" s="147">
        <f>+LEN(C47)</f>
        <v>262</v>
      </c>
    </row>
    <row r="59" spans="1:12">
      <c r="A59" s="342" t="s">
        <v>364</v>
      </c>
      <c r="B59" s="150">
        <v>13</v>
      </c>
      <c r="C59" s="150" t="s">
        <v>365</v>
      </c>
    </row>
    <row r="60" spans="1:12" ht="70.150000000000006" customHeight="1">
      <c r="B60" s="151">
        <f>+B59/100</f>
        <v>0.13</v>
      </c>
      <c r="C60" s="859" t="s">
        <v>366</v>
      </c>
      <c r="D60" s="859"/>
      <c r="E60" s="859"/>
      <c r="F60" s="150"/>
      <c r="G60" s="147">
        <f>+LEN(D64)</f>
        <v>291</v>
      </c>
    </row>
    <row r="61" spans="1:12" ht="14.65" customHeight="1">
      <c r="C61" s="225" t="s">
        <v>367</v>
      </c>
      <c r="E61" s="224"/>
      <c r="F61" s="224"/>
    </row>
    <row r="62" spans="1:12" ht="14.65" customHeight="1">
      <c r="B62" s="153">
        <v>2021</v>
      </c>
      <c r="C62" s="153">
        <v>2022</v>
      </c>
      <c r="D62" s="224"/>
      <c r="E62" s="224"/>
      <c r="F62" s="224"/>
    </row>
    <row r="63" spans="1:12">
      <c r="A63" s="450" t="s">
        <v>368</v>
      </c>
      <c r="B63" s="153">
        <v>0.05</v>
      </c>
      <c r="C63" s="147">
        <v>0</v>
      </c>
      <c r="D63" s="452" t="s">
        <v>369</v>
      </c>
      <c r="E63" s="452"/>
      <c r="F63" s="452"/>
      <c r="G63" s="452"/>
      <c r="H63" s="452"/>
      <c r="I63" s="452"/>
      <c r="J63" s="452"/>
      <c r="K63" s="452"/>
      <c r="L63" s="452"/>
    </row>
    <row r="64" spans="1:12">
      <c r="A64" s="450" t="s">
        <v>370</v>
      </c>
      <c r="B64" s="150">
        <v>0</v>
      </c>
      <c r="C64" s="147">
        <v>13</v>
      </c>
      <c r="D64" s="452" t="s">
        <v>371</v>
      </c>
      <c r="E64" s="452"/>
      <c r="F64" s="452"/>
      <c r="G64" s="452"/>
      <c r="H64" s="452"/>
      <c r="I64" s="452"/>
      <c r="J64" s="452"/>
      <c r="K64" s="452"/>
      <c r="L64" s="452"/>
    </row>
    <row r="65" spans="1:6" ht="18.75">
      <c r="A65" s="450" t="s">
        <v>372</v>
      </c>
      <c r="B65" s="150">
        <v>0</v>
      </c>
      <c r="C65" s="147">
        <v>13</v>
      </c>
      <c r="D65" s="453" t="s">
        <v>373</v>
      </c>
      <c r="E65" s="152"/>
      <c r="F65" s="152"/>
    </row>
    <row r="66" spans="1:6" ht="18.75" hidden="1">
      <c r="A66" s="153" t="s">
        <v>374</v>
      </c>
      <c r="B66" s="153">
        <f>+(32*0.25)/100</f>
        <v>0.08</v>
      </c>
      <c r="C66" s="152"/>
      <c r="D66" s="152"/>
      <c r="E66" s="152"/>
      <c r="F66" s="152"/>
    </row>
    <row r="67" spans="1:6" ht="18.75" hidden="1">
      <c r="A67" s="153" t="s">
        <v>375</v>
      </c>
      <c r="B67" s="153">
        <f>+(41*0.25)/100</f>
        <v>0.10249999999999999</v>
      </c>
      <c r="C67" s="152"/>
      <c r="D67" s="152"/>
      <c r="E67" s="152"/>
      <c r="F67" s="152"/>
    </row>
    <row r="68" spans="1:6" ht="18.75" hidden="1">
      <c r="A68" s="147" t="s">
        <v>376</v>
      </c>
      <c r="B68" s="153">
        <f>+(50*0.25)/100</f>
        <v>0.125</v>
      </c>
      <c r="C68" s="152"/>
      <c r="D68" s="152"/>
      <c r="E68" s="152"/>
      <c r="F68" s="152"/>
    </row>
    <row r="69" spans="1:6" ht="18.75" hidden="1">
      <c r="A69" s="147" t="s">
        <v>377</v>
      </c>
      <c r="B69" s="153">
        <f>+(59*0.25)/100</f>
        <v>0.14749999999999999</v>
      </c>
      <c r="C69" s="152"/>
      <c r="D69" s="152"/>
      <c r="E69" s="152"/>
      <c r="F69" s="152"/>
    </row>
    <row r="70" spans="1:6" ht="18.75" hidden="1">
      <c r="A70" s="147" t="s">
        <v>378</v>
      </c>
      <c r="B70" s="153">
        <f>+(68*0.25)/100</f>
        <v>0.17</v>
      </c>
      <c r="C70" s="152"/>
      <c r="D70" s="152"/>
      <c r="E70" s="152"/>
      <c r="F70" s="152"/>
    </row>
    <row r="71" spans="1:6" ht="18.75" hidden="1">
      <c r="A71" s="147" t="s">
        <v>379</v>
      </c>
      <c r="B71" s="153">
        <f>+(77*0.25)/100</f>
        <v>0.1925</v>
      </c>
      <c r="C71" s="152"/>
      <c r="D71" s="152"/>
      <c r="E71" s="152"/>
      <c r="F71" s="152"/>
    </row>
    <row r="72" spans="1:6" ht="18.75" hidden="1">
      <c r="A72" s="147" t="s">
        <v>380</v>
      </c>
      <c r="B72" s="153">
        <f>+(86*0.25)/100</f>
        <v>0.215</v>
      </c>
      <c r="C72" s="152"/>
      <c r="D72" s="152"/>
      <c r="E72" s="152"/>
      <c r="F72" s="152"/>
    </row>
    <row r="73" spans="1:6" ht="18.75" hidden="1">
      <c r="A73" s="147" t="s">
        <v>381</v>
      </c>
      <c r="B73" s="153">
        <f>+(95*0.25)/100</f>
        <v>0.23749999999999999</v>
      </c>
      <c r="C73" s="152"/>
      <c r="D73" s="152"/>
      <c r="E73" s="152"/>
      <c r="F73" s="152"/>
    </row>
    <row r="74" spans="1:6" hidden="1">
      <c r="A74" s="147" t="s">
        <v>382</v>
      </c>
      <c r="B74" s="153">
        <f>+(100*0.25)/100</f>
        <v>0.25</v>
      </c>
    </row>
    <row r="76" spans="1:6">
      <c r="A76" s="146" t="s">
        <v>383</v>
      </c>
    </row>
    <row r="77" spans="1:6">
      <c r="A77" s="147">
        <v>2021</v>
      </c>
      <c r="B77" s="147">
        <v>7</v>
      </c>
      <c r="C77" s="450" t="s">
        <v>384</v>
      </c>
      <c r="D77" s="148">
        <v>0.45</v>
      </c>
      <c r="E77" s="147" t="s">
        <v>385</v>
      </c>
    </row>
    <row r="78" spans="1:6">
      <c r="A78" s="147">
        <v>2022</v>
      </c>
      <c r="B78" s="147">
        <v>7</v>
      </c>
      <c r="C78" s="147" t="s">
        <v>386</v>
      </c>
      <c r="D78" s="148">
        <v>0.25</v>
      </c>
      <c r="E78" s="147" t="s">
        <v>387</v>
      </c>
    </row>
    <row r="79" spans="1:6">
      <c r="A79" s="147">
        <v>2023</v>
      </c>
      <c r="B79" s="147">
        <v>5</v>
      </c>
      <c r="C79" s="147" t="s">
        <v>386</v>
      </c>
      <c r="D79" s="148">
        <v>0.25</v>
      </c>
      <c r="E79" s="147" t="s">
        <v>387</v>
      </c>
    </row>
    <row r="80" spans="1:6">
      <c r="A80" s="147">
        <v>2024</v>
      </c>
      <c r="B80" s="147">
        <v>0</v>
      </c>
      <c r="C80" s="147" t="s">
        <v>386</v>
      </c>
      <c r="D80" s="148">
        <v>0.05</v>
      </c>
      <c r="E80" s="147" t="s">
        <v>388</v>
      </c>
    </row>
    <row r="81" spans="1:4">
      <c r="B81" s="147" t="s">
        <v>389</v>
      </c>
      <c r="C81" s="147">
        <f>0.45/7</f>
        <v>6.4285714285714293E-2</v>
      </c>
      <c r="D81" s="147" t="s">
        <v>390</v>
      </c>
    </row>
    <row r="82" spans="1:4">
      <c r="C82" s="147">
        <f>+C81*7</f>
        <v>0.45000000000000007</v>
      </c>
      <c r="D82" s="147" t="s">
        <v>391</v>
      </c>
    </row>
    <row r="84" spans="1:4">
      <c r="B84" s="450">
        <v>0.25</v>
      </c>
      <c r="C84" s="185">
        <f>+B84/12</f>
        <v>2.0833333333333332E-2</v>
      </c>
      <c r="D84" s="450" t="s">
        <v>331</v>
      </c>
    </row>
    <row r="85" spans="1:4">
      <c r="A85" s="450" t="s">
        <v>360</v>
      </c>
      <c r="C85" s="149">
        <f>+C84+C84</f>
        <v>4.1666666666666664E-2</v>
      </c>
      <c r="D85" s="450" t="s">
        <v>332</v>
      </c>
    </row>
    <row r="86" spans="1:4">
      <c r="C86" s="149">
        <f>+C85+C85</f>
        <v>8.3333333333333329E-2</v>
      </c>
      <c r="D86" s="450" t="s">
        <v>333</v>
      </c>
    </row>
    <row r="87" spans="1:4" hidden="1">
      <c r="C87" s="149"/>
      <c r="D87" s="450" t="s">
        <v>334</v>
      </c>
    </row>
    <row r="88" spans="1:4" hidden="1">
      <c r="C88" s="149"/>
      <c r="D88" s="450" t="s">
        <v>335</v>
      </c>
    </row>
    <row r="89" spans="1:4" hidden="1">
      <c r="C89" s="149"/>
      <c r="D89" s="450" t="s">
        <v>336</v>
      </c>
    </row>
    <row r="90" spans="1:4" hidden="1">
      <c r="C90" s="149"/>
      <c r="D90" s="450" t="s">
        <v>337</v>
      </c>
    </row>
    <row r="91" spans="1:4" hidden="1">
      <c r="C91" s="149"/>
      <c r="D91" s="450" t="s">
        <v>338</v>
      </c>
    </row>
    <row r="92" spans="1:4" hidden="1">
      <c r="C92" s="149"/>
      <c r="D92" s="450" t="s">
        <v>339</v>
      </c>
    </row>
    <row r="93" spans="1:4" hidden="1">
      <c r="C93" s="149"/>
      <c r="D93" s="450" t="s">
        <v>340</v>
      </c>
    </row>
    <row r="94" spans="1:4" hidden="1">
      <c r="C94" s="149"/>
      <c r="D94" s="450" t="s">
        <v>341</v>
      </c>
    </row>
    <row r="95" spans="1:4" hidden="1">
      <c r="C95" s="149"/>
      <c r="D95" s="450" t="s">
        <v>342</v>
      </c>
    </row>
    <row r="97" spans="1:16">
      <c r="A97" s="450" t="s">
        <v>343</v>
      </c>
      <c r="C97" s="451" t="s">
        <v>392</v>
      </c>
      <c r="D97" s="451"/>
      <c r="E97" s="451"/>
      <c r="F97" s="451"/>
      <c r="G97" s="451"/>
      <c r="H97" s="451"/>
      <c r="I97" s="451"/>
      <c r="J97" s="451"/>
      <c r="K97" s="451"/>
      <c r="L97" s="451"/>
    </row>
    <row r="98" spans="1:16" ht="14.65" customHeight="1">
      <c r="A98" s="450" t="s">
        <v>345</v>
      </c>
      <c r="C98" s="451" t="s">
        <v>393</v>
      </c>
      <c r="D98" s="394"/>
      <c r="E98" s="394"/>
      <c r="F98" s="394"/>
      <c r="G98" s="394"/>
      <c r="H98" s="394"/>
      <c r="I98" s="394"/>
      <c r="J98" s="394"/>
      <c r="K98" s="394"/>
      <c r="L98" s="394"/>
    </row>
    <row r="99" spans="1:16">
      <c r="A99" s="450" t="s">
        <v>347</v>
      </c>
      <c r="C99" s="725" t="s">
        <v>394</v>
      </c>
      <c r="D99" s="725"/>
      <c r="E99" s="725"/>
      <c r="F99" s="725"/>
      <c r="G99" s="725"/>
      <c r="H99" s="725"/>
      <c r="I99" s="725"/>
      <c r="J99" s="725"/>
      <c r="K99" s="725"/>
      <c r="L99" s="725"/>
      <c r="M99" s="725"/>
      <c r="N99" s="725"/>
      <c r="O99" s="725"/>
      <c r="P99" s="725"/>
    </row>
    <row r="100" spans="1:16" hidden="1">
      <c r="A100" s="450" t="s">
        <v>349</v>
      </c>
    </row>
    <row r="101" spans="1:16" hidden="1">
      <c r="A101" s="450" t="s">
        <v>351</v>
      </c>
    </row>
    <row r="102" spans="1:16" hidden="1">
      <c r="A102" s="450" t="s">
        <v>352</v>
      </c>
    </row>
    <row r="103" spans="1:16" hidden="1">
      <c r="A103" s="450" t="s">
        <v>353</v>
      </c>
    </row>
    <row r="104" spans="1:16" hidden="1">
      <c r="A104" s="450" t="s">
        <v>354</v>
      </c>
    </row>
    <row r="105" spans="1:16" hidden="1">
      <c r="A105" s="450" t="s">
        <v>355</v>
      </c>
    </row>
    <row r="106" spans="1:16" hidden="1">
      <c r="A106" s="450" t="s">
        <v>356</v>
      </c>
    </row>
    <row r="107" spans="1:16" hidden="1">
      <c r="A107" s="450" t="s">
        <v>357</v>
      </c>
    </row>
    <row r="108" spans="1:16" hidden="1">
      <c r="A108" s="450" t="s">
        <v>358</v>
      </c>
    </row>
    <row r="109" spans="1:16">
      <c r="A109" s="450"/>
    </row>
    <row r="110" spans="1:16">
      <c r="C110" s="147">
        <f>+LEN(C98)</f>
        <v>274</v>
      </c>
    </row>
    <row r="111" spans="1:16">
      <c r="A111" s="147" t="s">
        <v>395</v>
      </c>
      <c r="C111" s="149">
        <f>SUM(C84:C95)</f>
        <v>0.14583333333333331</v>
      </c>
    </row>
    <row r="115" spans="1:1">
      <c r="A115" s="147" t="s">
        <v>396</v>
      </c>
    </row>
  </sheetData>
  <mergeCells count="2">
    <mergeCell ref="C60:E60"/>
    <mergeCell ref="C99:P99"/>
  </mergeCells>
  <phoneticPr fontId="30" type="noConversion"/>
  <dataValidations count="1">
    <dataValidation type="custom" allowBlank="1" showInputMessage="1" showErrorMessage="1" prompt=" - " sqref="C45 C99" xr:uid="{9B8D2330-9E27-4AFF-9B4A-783A21136EB9}">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95B8-1BFD-4ADD-B630-B8436BA54572}">
  <sheetPr>
    <tabColor rgb="FFC0C0C0"/>
  </sheetPr>
  <dimension ref="A1:B8"/>
  <sheetViews>
    <sheetView workbookViewId="0">
      <selection activeCell="K18" sqref="K18"/>
    </sheetView>
  </sheetViews>
  <sheetFormatPr baseColWidth="10" defaultRowHeight="15"/>
  <cols>
    <col min="2" max="2" width="18" bestFit="1" customWidth="1"/>
  </cols>
  <sheetData>
    <row r="1" spans="1:2">
      <c r="A1" s="465" t="s">
        <v>743</v>
      </c>
      <c r="B1">
        <f>+'Metas 1'!AC23</f>
        <v>303208006</v>
      </c>
    </row>
    <row r="2" spans="1:2">
      <c r="A2" s="465" t="s">
        <v>744</v>
      </c>
      <c r="B2">
        <f>+'Metas 2'!AC23</f>
        <v>216814482</v>
      </c>
    </row>
    <row r="3" spans="1:2">
      <c r="A3" s="465" t="s">
        <v>745</v>
      </c>
      <c r="B3">
        <f>+'Metas 3'!AC23</f>
        <v>2192831211</v>
      </c>
    </row>
    <row r="4" spans="1:2">
      <c r="A4" s="465" t="s">
        <v>746</v>
      </c>
      <c r="B4">
        <f>+'Metas 4 (Contrato relevos)'!AC23</f>
        <v>2238093431</v>
      </c>
    </row>
    <row r="5" spans="1:2">
      <c r="A5" s="465" t="s">
        <v>747</v>
      </c>
      <c r="B5">
        <f>+'Metas 5'!AC23</f>
        <v>356992106</v>
      </c>
    </row>
    <row r="6" spans="1:2">
      <c r="A6" s="465" t="s">
        <v>748</v>
      </c>
      <c r="B6">
        <f>+'Metas 6 (ONU Mujeres)'!AC23</f>
        <v>419361786</v>
      </c>
    </row>
    <row r="7" spans="1:2">
      <c r="A7" s="465" t="s">
        <v>749</v>
      </c>
      <c r="B7">
        <f>+'Metas 7 (Unidades Moviles)'!AC23</f>
        <v>1118388858</v>
      </c>
    </row>
    <row r="8" spans="1:2">
      <c r="B8" s="466">
        <f>SUM(B1:B7)</f>
        <v>6845689880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6AF0-2C93-46C5-99DB-AAB6B3AADA8B}">
  <sheetPr>
    <tabColor theme="9" tint="-0.249977111117893"/>
  </sheetPr>
  <dimension ref="A1:BZ100"/>
  <sheetViews>
    <sheetView view="pageBreakPreview" topLeftCell="A67" zoomScale="90" zoomScaleNormal="70" zoomScaleSheetLayoutView="90" workbookViewId="0">
      <selection activeCell="AU83" sqref="AU83"/>
    </sheetView>
  </sheetViews>
  <sheetFormatPr baseColWidth="10" defaultColWidth="14.42578125" defaultRowHeight="15" customHeight="1"/>
  <cols>
    <col min="1" max="1" width="19.42578125" style="186" customWidth="1"/>
    <col min="2" max="25" width="11" style="186" hidden="1" customWidth="1"/>
    <col min="26" max="27" width="12.28515625" style="186" hidden="1" customWidth="1"/>
    <col min="28" max="31" width="8.28515625" style="186" hidden="1" customWidth="1"/>
    <col min="32" max="32" width="9.42578125" style="186" hidden="1" customWidth="1"/>
    <col min="33" max="33" width="8.28515625" style="186" hidden="1" customWidth="1"/>
    <col min="34" max="38" width="7.7109375" style="186" hidden="1" customWidth="1"/>
    <col min="39" max="39" width="11.42578125" style="186" hidden="1" customWidth="1"/>
    <col min="40" max="40" width="2.42578125" style="186" hidden="1" customWidth="1"/>
    <col min="41" max="50" width="11.42578125" style="186" customWidth="1"/>
    <col min="51" max="63" width="11.42578125" style="186" hidden="1" customWidth="1"/>
    <col min="64" max="64" width="6.7109375" style="186" hidden="1" customWidth="1"/>
    <col min="65" max="65" width="14.42578125" style="186" customWidth="1"/>
    <col min="66" max="66" width="11.42578125" style="186" customWidth="1"/>
    <col min="67" max="78" width="8.7109375" style="186" customWidth="1"/>
    <col min="79" max="16384" width="14.42578125" style="186"/>
  </cols>
  <sheetData>
    <row r="1" spans="1:78" ht="15.75" customHeight="1">
      <c r="A1" s="476" t="s">
        <v>0</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477"/>
      <c r="BJ1" s="477"/>
      <c r="BK1" s="477"/>
      <c r="BL1" s="477"/>
      <c r="BM1" s="477"/>
      <c r="BN1" s="477"/>
      <c r="BO1" s="477"/>
      <c r="BP1" s="477"/>
      <c r="BQ1" s="477"/>
      <c r="BR1" s="477"/>
      <c r="BS1" s="477"/>
      <c r="BT1" s="477"/>
      <c r="BU1" s="477"/>
      <c r="BV1" s="477"/>
      <c r="BW1" s="478"/>
      <c r="BX1" s="860" t="s">
        <v>1</v>
      </c>
      <c r="BY1" s="477"/>
      <c r="BZ1" s="478"/>
    </row>
    <row r="2" spans="1:78" ht="15.75" customHeight="1">
      <c r="A2" s="476" t="s">
        <v>2</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c r="BJ2" s="477"/>
      <c r="BK2" s="477"/>
      <c r="BL2" s="477"/>
      <c r="BM2" s="477"/>
      <c r="BN2" s="477"/>
      <c r="BO2" s="477"/>
      <c r="BP2" s="477"/>
      <c r="BQ2" s="477"/>
      <c r="BR2" s="477"/>
      <c r="BS2" s="477"/>
      <c r="BT2" s="477"/>
      <c r="BU2" s="477"/>
      <c r="BV2" s="477"/>
      <c r="BW2" s="478"/>
      <c r="BX2" s="860" t="s">
        <v>3</v>
      </c>
      <c r="BY2" s="477"/>
      <c r="BZ2" s="478"/>
    </row>
    <row r="3" spans="1:78" ht="25.5" customHeight="1">
      <c r="A3" s="476" t="s">
        <v>397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7"/>
      <c r="BJ3" s="477"/>
      <c r="BK3" s="477"/>
      <c r="BL3" s="477"/>
      <c r="BM3" s="477"/>
      <c r="BN3" s="477"/>
      <c r="BO3" s="477"/>
      <c r="BP3" s="477"/>
      <c r="BQ3" s="477"/>
      <c r="BR3" s="477"/>
      <c r="BS3" s="477"/>
      <c r="BT3" s="477"/>
      <c r="BU3" s="477"/>
      <c r="BV3" s="477"/>
      <c r="BW3" s="478"/>
      <c r="BX3" s="860" t="s">
        <v>5</v>
      </c>
      <c r="BY3" s="477"/>
      <c r="BZ3" s="478"/>
    </row>
    <row r="4" spans="1:78" ht="15.75" customHeight="1">
      <c r="A4" s="476" t="s">
        <v>398</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7"/>
      <c r="BL4" s="477"/>
      <c r="BM4" s="477"/>
      <c r="BN4" s="477"/>
      <c r="BO4" s="477"/>
      <c r="BP4" s="477"/>
      <c r="BQ4" s="477"/>
      <c r="BR4" s="477"/>
      <c r="BS4" s="477"/>
      <c r="BT4" s="477"/>
      <c r="BU4" s="477"/>
      <c r="BV4" s="477"/>
      <c r="BW4" s="478"/>
      <c r="BX4" s="861" t="s">
        <v>399</v>
      </c>
      <c r="BY4" s="481"/>
      <c r="BZ4" s="482"/>
    </row>
    <row r="5" spans="1:78" ht="25.5" customHeight="1">
      <c r="A5" s="862" t="s">
        <v>400</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3"/>
      <c r="AN5" s="208"/>
      <c r="AO5" s="863" t="s">
        <v>401</v>
      </c>
      <c r="AP5" s="864"/>
      <c r="AQ5" s="864"/>
      <c r="AR5" s="864"/>
      <c r="AS5" s="864"/>
      <c r="AT5" s="864"/>
      <c r="AU5" s="864"/>
      <c r="AV5" s="864"/>
      <c r="AW5" s="864"/>
      <c r="AX5" s="864"/>
      <c r="AY5" s="864"/>
      <c r="AZ5" s="864"/>
      <c r="BA5" s="864"/>
      <c r="BB5" s="864"/>
      <c r="BC5" s="864"/>
      <c r="BD5" s="864"/>
      <c r="BE5" s="864"/>
      <c r="BF5" s="864"/>
      <c r="BG5" s="864"/>
      <c r="BH5" s="864"/>
      <c r="BI5" s="864"/>
      <c r="BJ5" s="864"/>
      <c r="BK5" s="864"/>
      <c r="BL5" s="864"/>
      <c r="BM5" s="864"/>
      <c r="BN5" s="864"/>
      <c r="BO5" s="864"/>
      <c r="BP5" s="864"/>
      <c r="BQ5" s="864"/>
      <c r="BR5" s="864"/>
      <c r="BS5" s="864"/>
      <c r="BT5" s="864"/>
      <c r="BU5" s="864"/>
      <c r="BV5" s="864"/>
      <c r="BW5" s="864"/>
      <c r="BX5" s="864"/>
      <c r="BY5" s="864"/>
      <c r="BZ5" s="864"/>
    </row>
    <row r="6" spans="1:78" ht="27.75" customHeight="1">
      <c r="A6" s="359" t="s">
        <v>402</v>
      </c>
      <c r="B6" s="502" t="s">
        <v>739</v>
      </c>
      <c r="C6" s="865"/>
      <c r="D6" s="865"/>
      <c r="E6" s="865"/>
      <c r="F6" s="865"/>
      <c r="G6" s="865"/>
      <c r="H6" s="865"/>
      <c r="I6" s="865"/>
      <c r="J6" s="865"/>
      <c r="K6" s="865"/>
      <c r="L6" s="865"/>
      <c r="M6" s="865"/>
      <c r="N6" s="865"/>
      <c r="O6" s="865"/>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865"/>
      <c r="AQ6" s="865"/>
      <c r="AR6" s="865"/>
      <c r="AS6" s="865"/>
      <c r="AT6" s="865"/>
      <c r="AU6" s="865"/>
      <c r="AV6" s="865"/>
      <c r="AW6" s="865"/>
      <c r="AX6" s="865"/>
      <c r="AY6" s="865"/>
      <c r="AZ6" s="865"/>
      <c r="BA6" s="865"/>
      <c r="BB6" s="865"/>
      <c r="BC6" s="865"/>
      <c r="BD6" s="865"/>
      <c r="BE6" s="865"/>
      <c r="BF6" s="865"/>
      <c r="BG6" s="865"/>
      <c r="BH6" s="865"/>
      <c r="BI6" s="865"/>
      <c r="BJ6" s="865"/>
      <c r="BK6" s="865"/>
      <c r="BL6" s="865"/>
      <c r="BM6" s="865"/>
      <c r="BN6" s="865"/>
      <c r="BO6" s="865"/>
      <c r="BP6" s="865"/>
      <c r="BQ6" s="865"/>
      <c r="BR6" s="865"/>
      <c r="BS6" s="865"/>
      <c r="BT6" s="865"/>
      <c r="BU6" s="865"/>
      <c r="BV6" s="865"/>
      <c r="BW6" s="865"/>
      <c r="BX6" s="865"/>
      <c r="BY6" s="865"/>
      <c r="BZ6" s="866"/>
    </row>
    <row r="7" spans="1:78" ht="28.5" customHeight="1">
      <c r="A7" s="360" t="s">
        <v>404</v>
      </c>
      <c r="B7" s="867" t="str">
        <f>+'[3]Indicadores PA'!J18</f>
        <v>Número de mujeres formadas en cuidados, en el marco de la estrategia cuidado a cuidadoras</v>
      </c>
      <c r="C7" s="865"/>
      <c r="D7" s="865"/>
      <c r="E7" s="865"/>
      <c r="F7" s="865"/>
      <c r="G7" s="865"/>
      <c r="H7" s="865"/>
      <c r="I7" s="865"/>
      <c r="J7" s="865"/>
      <c r="K7" s="865"/>
      <c r="L7" s="865"/>
      <c r="M7" s="865"/>
      <c r="N7" s="865"/>
      <c r="O7" s="865"/>
      <c r="P7" s="865"/>
      <c r="Q7" s="865"/>
      <c r="R7" s="865"/>
      <c r="S7" s="865"/>
      <c r="T7" s="865"/>
      <c r="U7" s="865"/>
      <c r="V7" s="865"/>
      <c r="W7" s="865"/>
      <c r="X7" s="865"/>
      <c r="Y7" s="865"/>
      <c r="Z7" s="865"/>
      <c r="AA7" s="865"/>
      <c r="AB7" s="865"/>
      <c r="AC7" s="865"/>
      <c r="AD7" s="865"/>
      <c r="AE7" s="865"/>
      <c r="AF7" s="865"/>
      <c r="AG7" s="865"/>
      <c r="AH7" s="865"/>
      <c r="AI7" s="865"/>
      <c r="AJ7" s="865"/>
      <c r="AK7" s="865"/>
      <c r="AL7" s="865"/>
      <c r="AM7" s="865"/>
      <c r="AN7" s="865"/>
      <c r="AO7" s="865"/>
      <c r="AP7" s="865"/>
      <c r="AQ7" s="865"/>
      <c r="AR7" s="865"/>
      <c r="AS7" s="865"/>
      <c r="AT7" s="865"/>
      <c r="AU7" s="865"/>
      <c r="AV7" s="865"/>
      <c r="AW7" s="865"/>
      <c r="AX7" s="865"/>
      <c r="AY7" s="865"/>
      <c r="AZ7" s="865"/>
      <c r="BA7" s="865"/>
      <c r="BB7" s="865"/>
      <c r="BC7" s="865"/>
      <c r="BD7" s="865"/>
      <c r="BE7" s="865"/>
      <c r="BF7" s="865"/>
      <c r="BG7" s="865"/>
      <c r="BH7" s="865"/>
      <c r="BI7" s="865"/>
      <c r="BJ7" s="865"/>
      <c r="BK7" s="865"/>
      <c r="BL7" s="865"/>
      <c r="BM7" s="865"/>
      <c r="BN7" s="865"/>
      <c r="BO7" s="865"/>
      <c r="BP7" s="865"/>
      <c r="BQ7" s="865"/>
      <c r="BR7" s="865"/>
      <c r="BS7" s="865"/>
      <c r="BT7" s="865"/>
      <c r="BU7" s="865"/>
      <c r="BV7" s="865"/>
      <c r="BW7" s="865"/>
      <c r="BX7" s="865"/>
      <c r="BY7" s="865"/>
      <c r="BZ7" s="866"/>
    </row>
    <row r="8" spans="1:78" ht="6" customHeight="1">
      <c r="A8" s="361"/>
      <c r="B8" s="361"/>
      <c r="C8" s="361"/>
      <c r="D8" s="361"/>
      <c r="E8" s="361"/>
      <c r="F8" s="361"/>
      <c r="G8" s="361"/>
      <c r="H8" s="361"/>
      <c r="I8" s="361"/>
      <c r="J8" s="361"/>
      <c r="K8" s="361"/>
      <c r="L8" s="361"/>
      <c r="M8" s="361"/>
      <c r="N8" s="361"/>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208"/>
      <c r="AO8" s="362"/>
      <c r="AP8" s="362"/>
      <c r="AQ8" s="362"/>
      <c r="AR8" s="362"/>
      <c r="AS8" s="362"/>
      <c r="AT8" s="362"/>
      <c r="AU8" s="362"/>
      <c r="AV8" s="362"/>
      <c r="AW8" s="362"/>
      <c r="AX8" s="362"/>
      <c r="AY8" s="362"/>
      <c r="AZ8" s="362"/>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row>
    <row r="9" spans="1:78" ht="30" customHeight="1">
      <c r="A9" s="490" t="s">
        <v>405</v>
      </c>
      <c r="B9" s="504" t="s">
        <v>44</v>
      </c>
      <c r="C9" s="478"/>
      <c r="D9" s="504" t="s">
        <v>45</v>
      </c>
      <c r="E9" s="478"/>
      <c r="F9" s="504" t="s">
        <v>46</v>
      </c>
      <c r="G9" s="478"/>
      <c r="H9" s="504" t="s">
        <v>47</v>
      </c>
      <c r="I9" s="478"/>
      <c r="J9" s="504" t="s">
        <v>48</v>
      </c>
      <c r="K9" s="478"/>
      <c r="L9" s="504" t="s">
        <v>49</v>
      </c>
      <c r="M9" s="478"/>
      <c r="N9" s="504" t="s">
        <v>50</v>
      </c>
      <c r="O9" s="478"/>
      <c r="P9" s="504" t="s">
        <v>51</v>
      </c>
      <c r="Q9" s="478"/>
      <c r="R9" s="504" t="s">
        <v>52</v>
      </c>
      <c r="S9" s="478"/>
      <c r="T9" s="504" t="s">
        <v>53</v>
      </c>
      <c r="U9" s="478"/>
      <c r="V9" s="504" t="s">
        <v>54</v>
      </c>
      <c r="W9" s="478"/>
      <c r="X9" s="504" t="s">
        <v>55</v>
      </c>
      <c r="Y9" s="478"/>
      <c r="Z9" s="504" t="s">
        <v>406</v>
      </c>
      <c r="AA9" s="478"/>
      <c r="AB9" s="504" t="s">
        <v>407</v>
      </c>
      <c r="AC9" s="477"/>
      <c r="AD9" s="477"/>
      <c r="AE9" s="477"/>
      <c r="AF9" s="477"/>
      <c r="AG9" s="478"/>
      <c r="AH9" s="504" t="s">
        <v>408</v>
      </c>
      <c r="AI9" s="477"/>
      <c r="AJ9" s="477"/>
      <c r="AK9" s="477"/>
      <c r="AL9" s="477"/>
      <c r="AM9" s="478"/>
      <c r="AN9" s="208"/>
      <c r="AO9" s="504" t="s">
        <v>44</v>
      </c>
      <c r="AP9" s="478"/>
      <c r="AQ9" s="504" t="s">
        <v>45</v>
      </c>
      <c r="AR9" s="478"/>
      <c r="AS9" s="504" t="s">
        <v>46</v>
      </c>
      <c r="AT9" s="478"/>
      <c r="AU9" s="504" t="s">
        <v>47</v>
      </c>
      <c r="AV9" s="478"/>
      <c r="AW9" s="504" t="s">
        <v>48</v>
      </c>
      <c r="AX9" s="478"/>
      <c r="AY9" s="504" t="s">
        <v>49</v>
      </c>
      <c r="AZ9" s="478"/>
      <c r="BA9" s="504" t="s">
        <v>50</v>
      </c>
      <c r="BB9" s="478"/>
      <c r="BC9" s="504" t="s">
        <v>51</v>
      </c>
      <c r="BD9" s="478"/>
      <c r="BE9" s="504" t="s">
        <v>52</v>
      </c>
      <c r="BF9" s="478"/>
      <c r="BG9" s="504" t="s">
        <v>53</v>
      </c>
      <c r="BH9" s="478"/>
      <c r="BI9" s="504" t="s">
        <v>54</v>
      </c>
      <c r="BJ9" s="478"/>
      <c r="BK9" s="504" t="s">
        <v>55</v>
      </c>
      <c r="BL9" s="478"/>
      <c r="BM9" s="504" t="s">
        <v>406</v>
      </c>
      <c r="BN9" s="478"/>
      <c r="BO9" s="504" t="s">
        <v>407</v>
      </c>
      <c r="BP9" s="477"/>
      <c r="BQ9" s="477"/>
      <c r="BR9" s="477"/>
      <c r="BS9" s="477"/>
      <c r="BT9" s="478"/>
      <c r="BU9" s="504" t="s">
        <v>408</v>
      </c>
      <c r="BV9" s="477"/>
      <c r="BW9" s="477"/>
      <c r="BX9" s="477"/>
      <c r="BY9" s="477"/>
      <c r="BZ9" s="478"/>
    </row>
    <row r="10" spans="1:78" ht="36" customHeight="1">
      <c r="A10" s="492"/>
      <c r="B10" s="343" t="s">
        <v>409</v>
      </c>
      <c r="C10" s="343" t="s">
        <v>410</v>
      </c>
      <c r="D10" s="343" t="s">
        <v>409</v>
      </c>
      <c r="E10" s="343" t="s">
        <v>410</v>
      </c>
      <c r="F10" s="343" t="s">
        <v>409</v>
      </c>
      <c r="G10" s="343" t="s">
        <v>410</v>
      </c>
      <c r="H10" s="343" t="s">
        <v>409</v>
      </c>
      <c r="I10" s="343" t="s">
        <v>410</v>
      </c>
      <c r="J10" s="343" t="s">
        <v>409</v>
      </c>
      <c r="K10" s="343" t="s">
        <v>410</v>
      </c>
      <c r="L10" s="343" t="s">
        <v>409</v>
      </c>
      <c r="M10" s="343" t="s">
        <v>410</v>
      </c>
      <c r="N10" s="343" t="s">
        <v>409</v>
      </c>
      <c r="O10" s="343" t="s">
        <v>410</v>
      </c>
      <c r="P10" s="343" t="s">
        <v>409</v>
      </c>
      <c r="Q10" s="343" t="s">
        <v>410</v>
      </c>
      <c r="R10" s="343" t="s">
        <v>409</v>
      </c>
      <c r="S10" s="343" t="s">
        <v>410</v>
      </c>
      <c r="T10" s="343" t="s">
        <v>409</v>
      </c>
      <c r="U10" s="343" t="s">
        <v>410</v>
      </c>
      <c r="V10" s="343" t="s">
        <v>409</v>
      </c>
      <c r="W10" s="343" t="s">
        <v>410</v>
      </c>
      <c r="X10" s="343" t="s">
        <v>409</v>
      </c>
      <c r="Y10" s="343" t="s">
        <v>410</v>
      </c>
      <c r="Z10" s="343" t="s">
        <v>409</v>
      </c>
      <c r="AA10" s="343" t="s">
        <v>410</v>
      </c>
      <c r="AB10" s="363" t="s">
        <v>411</v>
      </c>
      <c r="AC10" s="363" t="s">
        <v>412</v>
      </c>
      <c r="AD10" s="363" t="s">
        <v>413</v>
      </c>
      <c r="AE10" s="363" t="s">
        <v>414</v>
      </c>
      <c r="AF10" s="364" t="s">
        <v>415</v>
      </c>
      <c r="AG10" s="363" t="s">
        <v>416</v>
      </c>
      <c r="AH10" s="343" t="s">
        <v>417</v>
      </c>
      <c r="AI10" s="365" t="s">
        <v>418</v>
      </c>
      <c r="AJ10" s="343" t="s">
        <v>419</v>
      </c>
      <c r="AK10" s="343" t="s">
        <v>420</v>
      </c>
      <c r="AL10" s="343" t="s">
        <v>421</v>
      </c>
      <c r="AM10" s="343" t="s">
        <v>422</v>
      </c>
      <c r="AN10" s="208"/>
      <c r="AO10" s="343" t="s">
        <v>409</v>
      </c>
      <c r="AP10" s="343" t="s">
        <v>410</v>
      </c>
      <c r="AQ10" s="343" t="s">
        <v>409</v>
      </c>
      <c r="AR10" s="343" t="s">
        <v>410</v>
      </c>
      <c r="AS10" s="343" t="s">
        <v>409</v>
      </c>
      <c r="AT10" s="343" t="s">
        <v>410</v>
      </c>
      <c r="AU10" s="343" t="s">
        <v>409</v>
      </c>
      <c r="AV10" s="343" t="s">
        <v>410</v>
      </c>
      <c r="AW10" s="343" t="s">
        <v>409</v>
      </c>
      <c r="AX10" s="343" t="s">
        <v>410</v>
      </c>
      <c r="AY10" s="343" t="s">
        <v>409</v>
      </c>
      <c r="AZ10" s="343" t="s">
        <v>410</v>
      </c>
      <c r="BA10" s="343" t="s">
        <v>409</v>
      </c>
      <c r="BB10" s="343" t="s">
        <v>410</v>
      </c>
      <c r="BC10" s="343" t="s">
        <v>409</v>
      </c>
      <c r="BD10" s="343" t="s">
        <v>410</v>
      </c>
      <c r="BE10" s="343" t="s">
        <v>409</v>
      </c>
      <c r="BF10" s="343" t="s">
        <v>410</v>
      </c>
      <c r="BG10" s="343" t="s">
        <v>409</v>
      </c>
      <c r="BH10" s="343" t="s">
        <v>410</v>
      </c>
      <c r="BI10" s="343" t="s">
        <v>409</v>
      </c>
      <c r="BJ10" s="343" t="s">
        <v>410</v>
      </c>
      <c r="BK10" s="343" t="s">
        <v>409</v>
      </c>
      <c r="BL10" s="343" t="s">
        <v>410</v>
      </c>
      <c r="BM10" s="343" t="s">
        <v>409</v>
      </c>
      <c r="BN10" s="343" t="s">
        <v>410</v>
      </c>
      <c r="BO10" s="363" t="s">
        <v>411</v>
      </c>
      <c r="BP10" s="363" t="s">
        <v>412</v>
      </c>
      <c r="BQ10" s="363" t="s">
        <v>413</v>
      </c>
      <c r="BR10" s="363" t="s">
        <v>414</v>
      </c>
      <c r="BS10" s="364" t="s">
        <v>415</v>
      </c>
      <c r="BT10" s="363" t="s">
        <v>416</v>
      </c>
      <c r="BU10" s="366" t="s">
        <v>417</v>
      </c>
      <c r="BV10" s="367" t="s">
        <v>418</v>
      </c>
      <c r="BW10" s="366" t="s">
        <v>419</v>
      </c>
      <c r="BX10" s="366" t="s">
        <v>420</v>
      </c>
      <c r="BY10" s="366" t="s">
        <v>421</v>
      </c>
      <c r="BZ10" s="366" t="s">
        <v>422</v>
      </c>
    </row>
    <row r="11" spans="1:78" ht="13.5" customHeight="1">
      <c r="A11" s="368" t="s">
        <v>423</v>
      </c>
      <c r="B11" s="368"/>
      <c r="C11" s="368"/>
      <c r="D11" s="368"/>
      <c r="E11" s="368"/>
      <c r="F11" s="368"/>
      <c r="G11" s="368"/>
      <c r="H11" s="368"/>
      <c r="I11" s="368"/>
      <c r="J11" s="368"/>
      <c r="K11" s="368"/>
      <c r="L11" s="368"/>
      <c r="M11" s="368"/>
      <c r="N11" s="368"/>
      <c r="O11" s="369"/>
      <c r="P11" s="369"/>
      <c r="Q11" s="369"/>
      <c r="R11" s="369"/>
      <c r="S11" s="369"/>
      <c r="T11" s="369"/>
      <c r="U11" s="369"/>
      <c r="V11" s="369"/>
      <c r="W11" s="369"/>
      <c r="X11" s="369"/>
      <c r="Y11" s="369"/>
      <c r="Z11" s="370">
        <f t="shared" ref="Z11:AA26" si="0">B11+D11+F11+H11+J11+L11+N11+P11+R11+T11+V11+X11</f>
        <v>0</v>
      </c>
      <c r="AA11" s="371">
        <f t="shared" si="0"/>
        <v>0</v>
      </c>
      <c r="AB11" s="372"/>
      <c r="AC11" s="372"/>
      <c r="AD11" s="372"/>
      <c r="AE11" s="372"/>
      <c r="AF11" s="372"/>
      <c r="AG11" s="373"/>
      <c r="AH11" s="373"/>
      <c r="AI11" s="373"/>
      <c r="AJ11" s="373"/>
      <c r="AK11" s="373"/>
      <c r="AL11" s="373"/>
      <c r="AM11" s="374"/>
      <c r="AN11" s="208"/>
      <c r="AO11" s="368"/>
      <c r="AP11" s="368"/>
      <c r="AQ11" s="375"/>
      <c r="AR11" s="368"/>
      <c r="AS11" s="368"/>
      <c r="AT11" s="368"/>
      <c r="AU11" s="368"/>
      <c r="AV11" s="368"/>
      <c r="AW11" s="368"/>
      <c r="AX11" s="368"/>
      <c r="AY11" s="368"/>
      <c r="AZ11" s="368"/>
      <c r="BA11" s="368"/>
      <c r="BB11" s="369"/>
      <c r="BC11" s="369"/>
      <c r="BD11" s="369"/>
      <c r="BE11" s="369"/>
      <c r="BF11" s="369"/>
      <c r="BG11" s="369"/>
      <c r="BH11" s="369"/>
      <c r="BI11" s="369"/>
      <c r="BJ11" s="369"/>
      <c r="BK11" s="369"/>
      <c r="BL11" s="369"/>
      <c r="BM11" s="370">
        <f t="shared" ref="BM11:BN26" si="1">AO11+AQ11+AS11+AU11+AW11+AY11+BA11+BC11+BE11+BG11+BI11+BK11</f>
        <v>0</v>
      </c>
      <c r="BN11" s="371">
        <f t="shared" si="1"/>
        <v>0</v>
      </c>
      <c r="BO11" s="373"/>
      <c r="BP11" s="373"/>
      <c r="BQ11" s="373"/>
      <c r="BR11" s="373"/>
      <c r="BS11" s="373"/>
      <c r="BT11" s="373"/>
      <c r="BU11" s="373"/>
      <c r="BV11" s="373"/>
      <c r="BW11" s="373"/>
      <c r="BX11" s="373"/>
      <c r="BY11" s="373"/>
      <c r="BZ11" s="374"/>
    </row>
    <row r="12" spans="1:78" ht="13.5" customHeight="1">
      <c r="A12" s="368" t="s">
        <v>424</v>
      </c>
      <c r="B12" s="368"/>
      <c r="C12" s="368"/>
      <c r="D12" s="368"/>
      <c r="E12" s="368"/>
      <c r="F12" s="368"/>
      <c r="G12" s="368"/>
      <c r="H12" s="368"/>
      <c r="I12" s="368"/>
      <c r="J12" s="368"/>
      <c r="K12" s="368"/>
      <c r="L12" s="368"/>
      <c r="M12" s="368"/>
      <c r="N12" s="368"/>
      <c r="O12" s="369"/>
      <c r="P12" s="369"/>
      <c r="Q12" s="369"/>
      <c r="R12" s="369"/>
      <c r="S12" s="369"/>
      <c r="T12" s="369"/>
      <c r="U12" s="369"/>
      <c r="V12" s="369"/>
      <c r="W12" s="369"/>
      <c r="X12" s="369"/>
      <c r="Y12" s="369"/>
      <c r="Z12" s="370">
        <f t="shared" si="0"/>
        <v>0</v>
      </c>
      <c r="AA12" s="371">
        <f t="shared" si="0"/>
        <v>0</v>
      </c>
      <c r="AB12" s="372"/>
      <c r="AC12" s="372"/>
      <c r="AD12" s="372"/>
      <c r="AE12" s="372"/>
      <c r="AF12" s="372"/>
      <c r="AG12" s="373"/>
      <c r="AH12" s="373"/>
      <c r="AI12" s="373"/>
      <c r="AJ12" s="373"/>
      <c r="AK12" s="373"/>
      <c r="AL12" s="373"/>
      <c r="AM12" s="373"/>
      <c r="AN12" s="208"/>
      <c r="AO12" s="368"/>
      <c r="AP12" s="368"/>
      <c r="AQ12" s="368">
        <v>21</v>
      </c>
      <c r="AR12" s="368"/>
      <c r="AS12" s="368">
        <v>17</v>
      </c>
      <c r="AT12" s="368"/>
      <c r="AU12" s="368">
        <v>33</v>
      </c>
      <c r="AV12" s="368"/>
      <c r="AW12" s="368">
        <v>24</v>
      </c>
      <c r="AX12" s="368"/>
      <c r="AY12" s="368"/>
      <c r="AZ12" s="368"/>
      <c r="BA12" s="368"/>
      <c r="BB12" s="369"/>
      <c r="BC12" s="369"/>
      <c r="BD12" s="369"/>
      <c r="BE12" s="369"/>
      <c r="BF12" s="369"/>
      <c r="BG12" s="369"/>
      <c r="BH12" s="369"/>
      <c r="BI12" s="369"/>
      <c r="BJ12" s="369"/>
      <c r="BK12" s="369"/>
      <c r="BL12" s="369"/>
      <c r="BM12" s="370">
        <f t="shared" si="1"/>
        <v>95</v>
      </c>
      <c r="BN12" s="371">
        <f t="shared" si="1"/>
        <v>0</v>
      </c>
      <c r="BO12" s="373"/>
      <c r="BP12" s="373"/>
      <c r="BQ12" s="373"/>
      <c r="BR12" s="373"/>
      <c r="BS12" s="373"/>
      <c r="BT12" s="373"/>
      <c r="BU12" s="373"/>
      <c r="BV12" s="373"/>
      <c r="BW12" s="373"/>
      <c r="BX12" s="373"/>
      <c r="BY12" s="373"/>
      <c r="BZ12" s="373"/>
    </row>
    <row r="13" spans="1:78" ht="13.5" customHeight="1">
      <c r="A13" s="368" t="s">
        <v>425</v>
      </c>
      <c r="B13" s="368"/>
      <c r="C13" s="368"/>
      <c r="D13" s="368"/>
      <c r="E13" s="368"/>
      <c r="F13" s="368"/>
      <c r="G13" s="368"/>
      <c r="H13" s="368"/>
      <c r="I13" s="368"/>
      <c r="J13" s="368"/>
      <c r="K13" s="368"/>
      <c r="L13" s="368"/>
      <c r="M13" s="368"/>
      <c r="N13" s="368"/>
      <c r="O13" s="369"/>
      <c r="P13" s="369"/>
      <c r="Q13" s="369"/>
      <c r="R13" s="369"/>
      <c r="S13" s="369"/>
      <c r="T13" s="369"/>
      <c r="U13" s="369"/>
      <c r="V13" s="369"/>
      <c r="W13" s="369"/>
      <c r="X13" s="369"/>
      <c r="Y13" s="369"/>
      <c r="Z13" s="370">
        <f t="shared" si="0"/>
        <v>0</v>
      </c>
      <c r="AA13" s="371">
        <f t="shared" si="0"/>
        <v>0</v>
      </c>
      <c r="AB13" s="372"/>
      <c r="AC13" s="372"/>
      <c r="AD13" s="372"/>
      <c r="AE13" s="372"/>
      <c r="AF13" s="372"/>
      <c r="AG13" s="373"/>
      <c r="AH13" s="373"/>
      <c r="AI13" s="373"/>
      <c r="AJ13" s="373"/>
      <c r="AK13" s="373"/>
      <c r="AL13" s="373"/>
      <c r="AM13" s="373"/>
      <c r="AN13" s="208"/>
      <c r="AO13" s="368"/>
      <c r="AP13" s="368"/>
      <c r="AQ13" s="375"/>
      <c r="AR13" s="368"/>
      <c r="AS13" s="368">
        <v>33</v>
      </c>
      <c r="AT13" s="368"/>
      <c r="AU13" s="368">
        <v>17</v>
      </c>
      <c r="AV13" s="368"/>
      <c r="AW13" s="368">
        <v>33</v>
      </c>
      <c r="AX13" s="368"/>
      <c r="AY13" s="368"/>
      <c r="AZ13" s="368"/>
      <c r="BA13" s="368"/>
      <c r="BB13" s="369"/>
      <c r="BC13" s="369"/>
      <c r="BD13" s="369"/>
      <c r="BE13" s="369"/>
      <c r="BF13" s="369"/>
      <c r="BG13" s="369"/>
      <c r="BH13" s="369"/>
      <c r="BI13" s="369"/>
      <c r="BJ13" s="369"/>
      <c r="BK13" s="369"/>
      <c r="BL13" s="369"/>
      <c r="BM13" s="370">
        <f t="shared" si="1"/>
        <v>83</v>
      </c>
      <c r="BN13" s="371">
        <f t="shared" si="1"/>
        <v>0</v>
      </c>
      <c r="BO13" s="373"/>
      <c r="BP13" s="373"/>
      <c r="BQ13" s="373"/>
      <c r="BR13" s="373"/>
      <c r="BS13" s="373"/>
      <c r="BT13" s="373"/>
      <c r="BU13" s="373"/>
      <c r="BV13" s="373"/>
      <c r="BW13" s="373"/>
      <c r="BX13" s="373"/>
      <c r="BY13" s="373"/>
      <c r="BZ13" s="373"/>
    </row>
    <row r="14" spans="1:78" ht="13.5" customHeight="1">
      <c r="A14" s="368" t="s">
        <v>426</v>
      </c>
      <c r="B14" s="368"/>
      <c r="C14" s="368"/>
      <c r="D14" s="368"/>
      <c r="E14" s="368"/>
      <c r="F14" s="368"/>
      <c r="G14" s="368"/>
      <c r="H14" s="368"/>
      <c r="I14" s="368"/>
      <c r="J14" s="368"/>
      <c r="K14" s="368"/>
      <c r="L14" s="368"/>
      <c r="M14" s="368"/>
      <c r="N14" s="368"/>
      <c r="O14" s="369"/>
      <c r="P14" s="369"/>
      <c r="Q14" s="369"/>
      <c r="R14" s="369"/>
      <c r="S14" s="369"/>
      <c r="T14" s="369"/>
      <c r="U14" s="369"/>
      <c r="V14" s="369"/>
      <c r="W14" s="369"/>
      <c r="X14" s="369"/>
      <c r="Y14" s="369"/>
      <c r="Z14" s="370">
        <f t="shared" si="0"/>
        <v>0</v>
      </c>
      <c r="AA14" s="371">
        <f t="shared" si="0"/>
        <v>0</v>
      </c>
      <c r="AB14" s="372"/>
      <c r="AC14" s="372"/>
      <c r="AD14" s="372"/>
      <c r="AE14" s="372"/>
      <c r="AF14" s="372"/>
      <c r="AG14" s="373"/>
      <c r="AH14" s="373"/>
      <c r="AI14" s="373"/>
      <c r="AJ14" s="373"/>
      <c r="AK14" s="373"/>
      <c r="AL14" s="373"/>
      <c r="AM14" s="373"/>
      <c r="AN14" s="208"/>
      <c r="AO14" s="368"/>
      <c r="AP14" s="368"/>
      <c r="AQ14" s="368">
        <v>14</v>
      </c>
      <c r="AR14" s="368"/>
      <c r="AS14" s="368">
        <v>17</v>
      </c>
      <c r="AT14" s="368"/>
      <c r="AU14" s="368">
        <v>16</v>
      </c>
      <c r="AV14" s="368"/>
      <c r="AW14" s="368">
        <v>11</v>
      </c>
      <c r="AX14" s="368"/>
      <c r="AY14" s="368"/>
      <c r="AZ14" s="368"/>
      <c r="BA14" s="368"/>
      <c r="BB14" s="369"/>
      <c r="BC14" s="369"/>
      <c r="BD14" s="369"/>
      <c r="BE14" s="369"/>
      <c r="BF14" s="369"/>
      <c r="BG14" s="369"/>
      <c r="BH14" s="369"/>
      <c r="BI14" s="369"/>
      <c r="BJ14" s="369"/>
      <c r="BK14" s="369"/>
      <c r="BL14" s="369"/>
      <c r="BM14" s="370">
        <f t="shared" si="1"/>
        <v>58</v>
      </c>
      <c r="BN14" s="371">
        <f t="shared" si="1"/>
        <v>0</v>
      </c>
      <c r="BO14" s="373"/>
      <c r="BP14" s="373"/>
      <c r="BQ14" s="373"/>
      <c r="BR14" s="373"/>
      <c r="BS14" s="373"/>
      <c r="BT14" s="373"/>
      <c r="BU14" s="373"/>
      <c r="BV14" s="373"/>
      <c r="BW14" s="373"/>
      <c r="BX14" s="373"/>
      <c r="BY14" s="373"/>
      <c r="BZ14" s="373"/>
    </row>
    <row r="15" spans="1:78" ht="13.5" customHeight="1">
      <c r="A15" s="368" t="s">
        <v>427</v>
      </c>
      <c r="B15" s="368"/>
      <c r="C15" s="368"/>
      <c r="D15" s="368"/>
      <c r="E15" s="368"/>
      <c r="F15" s="368"/>
      <c r="G15" s="368"/>
      <c r="H15" s="368"/>
      <c r="I15" s="368"/>
      <c r="J15" s="368"/>
      <c r="K15" s="368"/>
      <c r="L15" s="368"/>
      <c r="M15" s="368"/>
      <c r="N15" s="368"/>
      <c r="O15" s="369"/>
      <c r="P15" s="369"/>
      <c r="Q15" s="369"/>
      <c r="R15" s="369"/>
      <c r="S15" s="369"/>
      <c r="T15" s="369"/>
      <c r="U15" s="369"/>
      <c r="V15" s="369"/>
      <c r="W15" s="369"/>
      <c r="X15" s="369"/>
      <c r="Y15" s="369"/>
      <c r="Z15" s="370">
        <f t="shared" si="0"/>
        <v>0</v>
      </c>
      <c r="AA15" s="371">
        <f t="shared" si="0"/>
        <v>0</v>
      </c>
      <c r="AB15" s="372"/>
      <c r="AC15" s="372"/>
      <c r="AD15" s="372"/>
      <c r="AE15" s="372"/>
      <c r="AF15" s="372"/>
      <c r="AG15" s="373"/>
      <c r="AH15" s="373"/>
      <c r="AI15" s="373"/>
      <c r="AJ15" s="373"/>
      <c r="AK15" s="373"/>
      <c r="AL15" s="373"/>
      <c r="AM15" s="373"/>
      <c r="AN15" s="208"/>
      <c r="AO15" s="368"/>
      <c r="AP15" s="368"/>
      <c r="AQ15" s="368">
        <v>3</v>
      </c>
      <c r="AR15" s="368"/>
      <c r="AS15" s="368">
        <v>13</v>
      </c>
      <c r="AT15" s="368"/>
      <c r="AU15" s="368">
        <v>20</v>
      </c>
      <c r="AV15" s="368"/>
      <c r="AW15" s="368">
        <v>62</v>
      </c>
      <c r="AX15" s="368"/>
      <c r="AY15" s="368"/>
      <c r="AZ15" s="368"/>
      <c r="BA15" s="368"/>
      <c r="BB15" s="369"/>
      <c r="BC15" s="369"/>
      <c r="BD15" s="369"/>
      <c r="BE15" s="369"/>
      <c r="BF15" s="369"/>
      <c r="BG15" s="369"/>
      <c r="BH15" s="369"/>
      <c r="BI15" s="369"/>
      <c r="BJ15" s="369"/>
      <c r="BK15" s="369"/>
      <c r="BL15" s="369"/>
      <c r="BM15" s="370">
        <f t="shared" si="1"/>
        <v>98</v>
      </c>
      <c r="BN15" s="371">
        <f t="shared" si="1"/>
        <v>0</v>
      </c>
      <c r="BO15" s="373"/>
      <c r="BP15" s="373"/>
      <c r="BQ15" s="373"/>
      <c r="BR15" s="373"/>
      <c r="BS15" s="373"/>
      <c r="BT15" s="373"/>
      <c r="BU15" s="373"/>
      <c r="BV15" s="373"/>
      <c r="BW15" s="373"/>
      <c r="BX15" s="373"/>
      <c r="BY15" s="373"/>
      <c r="BZ15" s="373"/>
    </row>
    <row r="16" spans="1:78" ht="13.5" customHeight="1">
      <c r="A16" s="368" t="s">
        <v>428</v>
      </c>
      <c r="B16" s="368"/>
      <c r="C16" s="368"/>
      <c r="D16" s="368"/>
      <c r="E16" s="368"/>
      <c r="F16" s="368"/>
      <c r="G16" s="368"/>
      <c r="H16" s="368"/>
      <c r="I16" s="368"/>
      <c r="J16" s="368"/>
      <c r="K16" s="368"/>
      <c r="L16" s="368"/>
      <c r="M16" s="368"/>
      <c r="N16" s="368"/>
      <c r="O16" s="369"/>
      <c r="P16" s="369"/>
      <c r="Q16" s="369"/>
      <c r="R16" s="369"/>
      <c r="S16" s="369"/>
      <c r="T16" s="369"/>
      <c r="U16" s="369"/>
      <c r="V16" s="369"/>
      <c r="W16" s="369"/>
      <c r="X16" s="369"/>
      <c r="Y16" s="369"/>
      <c r="Z16" s="370">
        <f t="shared" si="0"/>
        <v>0</v>
      </c>
      <c r="AA16" s="371">
        <f t="shared" si="0"/>
        <v>0</v>
      </c>
      <c r="AB16" s="372"/>
      <c r="AC16" s="372"/>
      <c r="AD16" s="372"/>
      <c r="AE16" s="372"/>
      <c r="AF16" s="372"/>
      <c r="AG16" s="373"/>
      <c r="AH16" s="373"/>
      <c r="AI16" s="373"/>
      <c r="AJ16" s="373"/>
      <c r="AK16" s="373"/>
      <c r="AL16" s="373"/>
      <c r="AM16" s="373"/>
      <c r="AN16" s="208"/>
      <c r="AO16" s="368"/>
      <c r="AP16" s="368"/>
      <c r="AQ16" s="368">
        <v>17</v>
      </c>
      <c r="AR16" s="368"/>
      <c r="AS16" s="368">
        <v>27</v>
      </c>
      <c r="AT16" s="368"/>
      <c r="AU16" s="368">
        <v>27</v>
      </c>
      <c r="AV16" s="368"/>
      <c r="AW16" s="368">
        <v>35</v>
      </c>
      <c r="AX16" s="368"/>
      <c r="AY16" s="368"/>
      <c r="AZ16" s="368"/>
      <c r="BA16" s="368"/>
      <c r="BB16" s="369"/>
      <c r="BC16" s="369"/>
      <c r="BD16" s="369"/>
      <c r="BE16" s="369"/>
      <c r="BF16" s="369"/>
      <c r="BG16" s="369"/>
      <c r="BH16" s="369"/>
      <c r="BI16" s="369"/>
      <c r="BJ16" s="369"/>
      <c r="BK16" s="369"/>
      <c r="BL16" s="369"/>
      <c r="BM16" s="370">
        <f t="shared" si="1"/>
        <v>106</v>
      </c>
      <c r="BN16" s="371">
        <f t="shared" si="1"/>
        <v>0</v>
      </c>
      <c r="BO16" s="373"/>
      <c r="BP16" s="373"/>
      <c r="BQ16" s="373"/>
      <c r="BR16" s="373"/>
      <c r="BS16" s="373"/>
      <c r="BT16" s="373"/>
      <c r="BU16" s="373"/>
      <c r="BV16" s="373"/>
      <c r="BW16" s="373"/>
      <c r="BX16" s="373"/>
      <c r="BY16" s="373"/>
      <c r="BZ16" s="373"/>
    </row>
    <row r="17" spans="1:78" ht="13.5" customHeight="1">
      <c r="A17" s="368" t="s">
        <v>429</v>
      </c>
      <c r="B17" s="368"/>
      <c r="C17" s="368"/>
      <c r="D17" s="368"/>
      <c r="E17" s="368"/>
      <c r="F17" s="368"/>
      <c r="G17" s="368"/>
      <c r="H17" s="368"/>
      <c r="I17" s="368"/>
      <c r="J17" s="368"/>
      <c r="K17" s="368"/>
      <c r="L17" s="368"/>
      <c r="M17" s="368"/>
      <c r="N17" s="368"/>
      <c r="O17" s="369"/>
      <c r="P17" s="369"/>
      <c r="Q17" s="369"/>
      <c r="R17" s="369"/>
      <c r="S17" s="369"/>
      <c r="T17" s="369"/>
      <c r="U17" s="369"/>
      <c r="V17" s="369"/>
      <c r="W17" s="369"/>
      <c r="X17" s="369"/>
      <c r="Y17" s="369"/>
      <c r="Z17" s="370">
        <f t="shared" si="0"/>
        <v>0</v>
      </c>
      <c r="AA17" s="371">
        <f t="shared" si="0"/>
        <v>0</v>
      </c>
      <c r="AB17" s="372"/>
      <c r="AC17" s="372"/>
      <c r="AD17" s="372"/>
      <c r="AE17" s="372"/>
      <c r="AF17" s="372"/>
      <c r="AG17" s="373"/>
      <c r="AH17" s="373"/>
      <c r="AI17" s="373"/>
      <c r="AJ17" s="373"/>
      <c r="AK17" s="373"/>
      <c r="AL17" s="373"/>
      <c r="AM17" s="373"/>
      <c r="AN17" s="208"/>
      <c r="AO17" s="368"/>
      <c r="AP17" s="368"/>
      <c r="AQ17" s="375"/>
      <c r="AR17" s="368"/>
      <c r="AS17" s="368">
        <v>22</v>
      </c>
      <c r="AT17" s="368"/>
      <c r="AU17" s="368">
        <v>67</v>
      </c>
      <c r="AV17" s="368"/>
      <c r="AW17" s="368">
        <v>41</v>
      </c>
      <c r="AX17" s="368"/>
      <c r="AY17" s="368"/>
      <c r="AZ17" s="368"/>
      <c r="BA17" s="368"/>
      <c r="BB17" s="369"/>
      <c r="BC17" s="369"/>
      <c r="BD17" s="369"/>
      <c r="BE17" s="369"/>
      <c r="BF17" s="369"/>
      <c r="BG17" s="369"/>
      <c r="BH17" s="369"/>
      <c r="BI17" s="369"/>
      <c r="BJ17" s="369"/>
      <c r="BK17" s="369"/>
      <c r="BL17" s="369"/>
      <c r="BM17" s="370">
        <f t="shared" si="1"/>
        <v>130</v>
      </c>
      <c r="BN17" s="371">
        <f t="shared" si="1"/>
        <v>0</v>
      </c>
      <c r="BO17" s="373"/>
      <c r="BP17" s="373"/>
      <c r="BQ17" s="373"/>
      <c r="BR17" s="373"/>
      <c r="BS17" s="373"/>
      <c r="BT17" s="373"/>
      <c r="BU17" s="373"/>
      <c r="BV17" s="373"/>
      <c r="BW17" s="373"/>
      <c r="BX17" s="373"/>
      <c r="BY17" s="373"/>
      <c r="BZ17" s="373"/>
    </row>
    <row r="18" spans="1:78" ht="13.5" customHeight="1">
      <c r="A18" s="368" t="s">
        <v>430</v>
      </c>
      <c r="B18" s="368"/>
      <c r="C18" s="368"/>
      <c r="D18" s="368"/>
      <c r="E18" s="368"/>
      <c r="F18" s="368"/>
      <c r="G18" s="368"/>
      <c r="H18" s="368"/>
      <c r="I18" s="368"/>
      <c r="J18" s="368"/>
      <c r="K18" s="368"/>
      <c r="L18" s="368"/>
      <c r="M18" s="368"/>
      <c r="N18" s="368"/>
      <c r="O18" s="369"/>
      <c r="P18" s="369"/>
      <c r="Q18" s="369"/>
      <c r="R18" s="369"/>
      <c r="S18" s="369"/>
      <c r="T18" s="369"/>
      <c r="U18" s="369"/>
      <c r="V18" s="369"/>
      <c r="W18" s="369"/>
      <c r="X18" s="369"/>
      <c r="Y18" s="369"/>
      <c r="Z18" s="370">
        <f t="shared" si="0"/>
        <v>0</v>
      </c>
      <c r="AA18" s="371">
        <f t="shared" si="0"/>
        <v>0</v>
      </c>
      <c r="AB18" s="372"/>
      <c r="AC18" s="372"/>
      <c r="AD18" s="372"/>
      <c r="AE18" s="372"/>
      <c r="AF18" s="372"/>
      <c r="AG18" s="373"/>
      <c r="AH18" s="373"/>
      <c r="AI18" s="373"/>
      <c r="AJ18" s="373"/>
      <c r="AK18" s="373"/>
      <c r="AL18" s="373"/>
      <c r="AM18" s="373"/>
      <c r="AN18" s="208"/>
      <c r="AO18" s="368"/>
      <c r="AP18" s="368"/>
      <c r="AQ18" s="368">
        <v>40</v>
      </c>
      <c r="AR18" s="368"/>
      <c r="AS18" s="368">
        <v>22</v>
      </c>
      <c r="AT18" s="368"/>
      <c r="AU18" s="368">
        <v>36</v>
      </c>
      <c r="AV18" s="368"/>
      <c r="AW18" s="368">
        <v>35</v>
      </c>
      <c r="AX18" s="368"/>
      <c r="AY18" s="368"/>
      <c r="AZ18" s="368"/>
      <c r="BA18" s="368"/>
      <c r="BB18" s="369"/>
      <c r="BC18" s="369"/>
      <c r="BD18" s="369"/>
      <c r="BE18" s="369"/>
      <c r="BF18" s="369"/>
      <c r="BG18" s="369"/>
      <c r="BH18" s="369"/>
      <c r="BI18" s="369"/>
      <c r="BJ18" s="369"/>
      <c r="BK18" s="369"/>
      <c r="BL18" s="369"/>
      <c r="BM18" s="370">
        <f t="shared" si="1"/>
        <v>133</v>
      </c>
      <c r="BN18" s="371">
        <f t="shared" si="1"/>
        <v>0</v>
      </c>
      <c r="BO18" s="373"/>
      <c r="BP18" s="373"/>
      <c r="BQ18" s="373"/>
      <c r="BR18" s="373"/>
      <c r="BS18" s="373"/>
      <c r="BT18" s="373"/>
      <c r="BU18" s="373"/>
      <c r="BV18" s="373"/>
      <c r="BW18" s="373"/>
      <c r="BX18" s="373"/>
      <c r="BY18" s="373"/>
      <c r="BZ18" s="373"/>
    </row>
    <row r="19" spans="1:78" ht="13.5" customHeight="1">
      <c r="A19" s="368" t="s">
        <v>431</v>
      </c>
      <c r="B19" s="368"/>
      <c r="C19" s="368"/>
      <c r="D19" s="368"/>
      <c r="E19" s="368"/>
      <c r="F19" s="368"/>
      <c r="G19" s="368"/>
      <c r="H19" s="368"/>
      <c r="I19" s="368"/>
      <c r="J19" s="368"/>
      <c r="K19" s="368"/>
      <c r="L19" s="368"/>
      <c r="M19" s="368"/>
      <c r="N19" s="368"/>
      <c r="O19" s="369"/>
      <c r="P19" s="369"/>
      <c r="Q19" s="369"/>
      <c r="R19" s="369"/>
      <c r="S19" s="369"/>
      <c r="T19" s="369"/>
      <c r="U19" s="369"/>
      <c r="V19" s="369"/>
      <c r="W19" s="369"/>
      <c r="X19" s="369"/>
      <c r="Y19" s="369"/>
      <c r="Z19" s="370">
        <f t="shared" si="0"/>
        <v>0</v>
      </c>
      <c r="AA19" s="371">
        <f t="shared" si="0"/>
        <v>0</v>
      </c>
      <c r="AB19" s="372"/>
      <c r="AC19" s="372"/>
      <c r="AD19" s="372"/>
      <c r="AE19" s="372"/>
      <c r="AF19" s="372"/>
      <c r="AG19" s="373"/>
      <c r="AH19" s="373"/>
      <c r="AI19" s="373"/>
      <c r="AJ19" s="373"/>
      <c r="AK19" s="373"/>
      <c r="AL19" s="373"/>
      <c r="AM19" s="373"/>
      <c r="AN19" s="208"/>
      <c r="AO19" s="368"/>
      <c r="AP19" s="368"/>
      <c r="AQ19" s="368">
        <v>50</v>
      </c>
      <c r="AR19" s="368"/>
      <c r="AS19" s="368">
        <v>24</v>
      </c>
      <c r="AT19" s="368"/>
      <c r="AU19" s="368">
        <v>19</v>
      </c>
      <c r="AV19" s="368"/>
      <c r="AW19" s="368">
        <v>41</v>
      </c>
      <c r="AX19" s="368"/>
      <c r="AY19" s="368"/>
      <c r="AZ19" s="368"/>
      <c r="BA19" s="368"/>
      <c r="BB19" s="369"/>
      <c r="BC19" s="369"/>
      <c r="BD19" s="369"/>
      <c r="BE19" s="369"/>
      <c r="BF19" s="369"/>
      <c r="BG19" s="369"/>
      <c r="BH19" s="369"/>
      <c r="BI19" s="369"/>
      <c r="BJ19" s="369"/>
      <c r="BK19" s="369"/>
      <c r="BL19" s="369"/>
      <c r="BM19" s="370">
        <f t="shared" si="1"/>
        <v>134</v>
      </c>
      <c r="BN19" s="371">
        <f t="shared" si="1"/>
        <v>0</v>
      </c>
      <c r="BO19" s="373"/>
      <c r="BP19" s="373"/>
      <c r="BQ19" s="373"/>
      <c r="BR19" s="373"/>
      <c r="BS19" s="373"/>
      <c r="BT19" s="373"/>
      <c r="BU19" s="373"/>
      <c r="BV19" s="373"/>
      <c r="BW19" s="373"/>
      <c r="BX19" s="373"/>
      <c r="BY19" s="373"/>
      <c r="BZ19" s="373"/>
    </row>
    <row r="20" spans="1:78" ht="13.5" customHeight="1">
      <c r="A20" s="368" t="s">
        <v>432</v>
      </c>
      <c r="B20" s="368"/>
      <c r="C20" s="368"/>
      <c r="D20" s="368"/>
      <c r="E20" s="368"/>
      <c r="F20" s="368"/>
      <c r="G20" s="368"/>
      <c r="H20" s="368"/>
      <c r="I20" s="368"/>
      <c r="J20" s="368"/>
      <c r="K20" s="368"/>
      <c r="L20" s="368"/>
      <c r="M20" s="368"/>
      <c r="N20" s="368"/>
      <c r="O20" s="369"/>
      <c r="P20" s="369"/>
      <c r="Q20" s="369"/>
      <c r="R20" s="369"/>
      <c r="S20" s="369"/>
      <c r="T20" s="369"/>
      <c r="U20" s="369"/>
      <c r="V20" s="369"/>
      <c r="W20" s="369"/>
      <c r="X20" s="369"/>
      <c r="Y20" s="369"/>
      <c r="Z20" s="370">
        <f t="shared" si="0"/>
        <v>0</v>
      </c>
      <c r="AA20" s="371">
        <f t="shared" si="0"/>
        <v>0</v>
      </c>
      <c r="AB20" s="372"/>
      <c r="AC20" s="372"/>
      <c r="AD20" s="372"/>
      <c r="AE20" s="372"/>
      <c r="AF20" s="372"/>
      <c r="AG20" s="373"/>
      <c r="AH20" s="373"/>
      <c r="AI20" s="373"/>
      <c r="AJ20" s="373"/>
      <c r="AK20" s="373"/>
      <c r="AL20" s="373"/>
      <c r="AM20" s="373"/>
      <c r="AN20" s="208"/>
      <c r="AO20" s="368"/>
      <c r="AP20" s="368"/>
      <c r="AQ20" s="375"/>
      <c r="AR20" s="368"/>
      <c r="AS20" s="368"/>
      <c r="AT20" s="368"/>
      <c r="AU20" s="368">
        <v>20</v>
      </c>
      <c r="AV20" s="368"/>
      <c r="AW20" s="368">
        <v>22</v>
      </c>
      <c r="AX20" s="368"/>
      <c r="AY20" s="368"/>
      <c r="AZ20" s="368"/>
      <c r="BA20" s="368"/>
      <c r="BB20" s="369"/>
      <c r="BC20" s="369"/>
      <c r="BD20" s="369"/>
      <c r="BE20" s="369"/>
      <c r="BF20" s="369"/>
      <c r="BG20" s="369"/>
      <c r="BH20" s="369"/>
      <c r="BI20" s="369"/>
      <c r="BJ20" s="369"/>
      <c r="BK20" s="369"/>
      <c r="BL20" s="369"/>
      <c r="BM20" s="370">
        <f t="shared" si="1"/>
        <v>42</v>
      </c>
      <c r="BN20" s="371">
        <f t="shared" si="1"/>
        <v>0</v>
      </c>
      <c r="BO20" s="373"/>
      <c r="BP20" s="373"/>
      <c r="BQ20" s="373"/>
      <c r="BR20" s="373"/>
      <c r="BS20" s="373"/>
      <c r="BT20" s="373"/>
      <c r="BU20" s="373"/>
      <c r="BV20" s="373"/>
      <c r="BW20" s="373"/>
      <c r="BX20" s="373"/>
      <c r="BY20" s="373"/>
      <c r="BZ20" s="373"/>
    </row>
    <row r="21" spans="1:78" ht="13.5" customHeight="1">
      <c r="A21" s="368" t="s">
        <v>433</v>
      </c>
      <c r="B21" s="368"/>
      <c r="C21" s="368"/>
      <c r="D21" s="368"/>
      <c r="E21" s="368"/>
      <c r="F21" s="368"/>
      <c r="G21" s="368"/>
      <c r="H21" s="368"/>
      <c r="I21" s="368"/>
      <c r="J21" s="368"/>
      <c r="K21" s="368"/>
      <c r="L21" s="368"/>
      <c r="M21" s="368"/>
      <c r="N21" s="368"/>
      <c r="O21" s="369"/>
      <c r="P21" s="369"/>
      <c r="Q21" s="369"/>
      <c r="R21" s="369"/>
      <c r="S21" s="369"/>
      <c r="T21" s="369"/>
      <c r="U21" s="369"/>
      <c r="V21" s="369"/>
      <c r="W21" s="369"/>
      <c r="X21" s="369"/>
      <c r="Y21" s="369"/>
      <c r="Z21" s="370">
        <f t="shared" si="0"/>
        <v>0</v>
      </c>
      <c r="AA21" s="371">
        <f t="shared" si="0"/>
        <v>0</v>
      </c>
      <c r="AB21" s="372"/>
      <c r="AC21" s="372"/>
      <c r="AD21" s="372"/>
      <c r="AE21" s="372"/>
      <c r="AF21" s="372"/>
      <c r="AG21" s="373"/>
      <c r="AH21" s="373"/>
      <c r="AI21" s="373"/>
      <c r="AJ21" s="373"/>
      <c r="AK21" s="373"/>
      <c r="AL21" s="373"/>
      <c r="AM21" s="373"/>
      <c r="AN21" s="208"/>
      <c r="AO21" s="368"/>
      <c r="AP21" s="368"/>
      <c r="AQ21" s="368">
        <v>27</v>
      </c>
      <c r="AR21" s="368"/>
      <c r="AS21" s="368">
        <v>20</v>
      </c>
      <c r="AT21" s="368"/>
      <c r="AU21" s="368">
        <v>13</v>
      </c>
      <c r="AV21" s="368"/>
      <c r="AW21" s="368"/>
      <c r="AX21" s="368"/>
      <c r="AY21" s="368"/>
      <c r="AZ21" s="368"/>
      <c r="BA21" s="368"/>
      <c r="BB21" s="369"/>
      <c r="BC21" s="369"/>
      <c r="BD21" s="369"/>
      <c r="BE21" s="369"/>
      <c r="BF21" s="369"/>
      <c r="BG21" s="369"/>
      <c r="BH21" s="369"/>
      <c r="BI21" s="369"/>
      <c r="BJ21" s="369"/>
      <c r="BK21" s="369"/>
      <c r="BL21" s="369"/>
      <c r="BM21" s="370">
        <f t="shared" si="1"/>
        <v>60</v>
      </c>
      <c r="BN21" s="371">
        <f t="shared" si="1"/>
        <v>0</v>
      </c>
      <c r="BO21" s="373"/>
      <c r="BP21" s="373"/>
      <c r="BQ21" s="373"/>
      <c r="BR21" s="373"/>
      <c r="BS21" s="373"/>
      <c r="BT21" s="373"/>
      <c r="BU21" s="373"/>
      <c r="BV21" s="373"/>
      <c r="BW21" s="373"/>
      <c r="BX21" s="373"/>
      <c r="BY21" s="373"/>
      <c r="BZ21" s="373"/>
    </row>
    <row r="22" spans="1:78" ht="13.5" customHeight="1">
      <c r="A22" s="368" t="s">
        <v>434</v>
      </c>
      <c r="B22" s="368"/>
      <c r="C22" s="368"/>
      <c r="D22" s="368"/>
      <c r="E22" s="368"/>
      <c r="F22" s="368"/>
      <c r="G22" s="368"/>
      <c r="H22" s="368"/>
      <c r="I22" s="368"/>
      <c r="J22" s="368"/>
      <c r="K22" s="368"/>
      <c r="L22" s="368"/>
      <c r="M22" s="368"/>
      <c r="N22" s="368"/>
      <c r="O22" s="369"/>
      <c r="P22" s="369"/>
      <c r="Q22" s="369"/>
      <c r="R22" s="369"/>
      <c r="S22" s="369"/>
      <c r="T22" s="369"/>
      <c r="U22" s="369"/>
      <c r="V22" s="369"/>
      <c r="W22" s="369"/>
      <c r="X22" s="369"/>
      <c r="Y22" s="369"/>
      <c r="Z22" s="370">
        <f t="shared" si="0"/>
        <v>0</v>
      </c>
      <c r="AA22" s="371">
        <f t="shared" si="0"/>
        <v>0</v>
      </c>
      <c r="AB22" s="372"/>
      <c r="AC22" s="372"/>
      <c r="AD22" s="372"/>
      <c r="AE22" s="372"/>
      <c r="AF22" s="372"/>
      <c r="AG22" s="373"/>
      <c r="AH22" s="373"/>
      <c r="AI22" s="373"/>
      <c r="AJ22" s="373"/>
      <c r="AK22" s="373"/>
      <c r="AL22" s="373"/>
      <c r="AM22" s="373"/>
      <c r="AN22" s="208"/>
      <c r="AO22" s="368"/>
      <c r="AP22" s="368"/>
      <c r="AQ22" s="368">
        <v>14</v>
      </c>
      <c r="AR22" s="368"/>
      <c r="AS22" s="368">
        <v>22</v>
      </c>
      <c r="AT22" s="368"/>
      <c r="AU22" s="368">
        <v>47</v>
      </c>
      <c r="AV22" s="368"/>
      <c r="AW22" s="368">
        <v>12</v>
      </c>
      <c r="AX22" s="368"/>
      <c r="AY22" s="368"/>
      <c r="AZ22" s="368"/>
      <c r="BA22" s="368"/>
      <c r="BB22" s="369"/>
      <c r="BC22" s="369"/>
      <c r="BD22" s="369"/>
      <c r="BE22" s="369"/>
      <c r="BF22" s="369"/>
      <c r="BG22" s="369"/>
      <c r="BH22" s="369"/>
      <c r="BI22" s="369"/>
      <c r="BJ22" s="369"/>
      <c r="BK22" s="369"/>
      <c r="BL22" s="369"/>
      <c r="BM22" s="370">
        <f t="shared" si="1"/>
        <v>95</v>
      </c>
      <c r="BN22" s="371">
        <f t="shared" si="1"/>
        <v>0</v>
      </c>
      <c r="BO22" s="373"/>
      <c r="BP22" s="373"/>
      <c r="BQ22" s="373"/>
      <c r="BR22" s="373"/>
      <c r="BS22" s="373"/>
      <c r="BT22" s="373"/>
      <c r="BU22" s="373"/>
      <c r="BV22" s="373"/>
      <c r="BW22" s="373"/>
      <c r="BX22" s="373"/>
      <c r="BY22" s="373"/>
      <c r="BZ22" s="373"/>
    </row>
    <row r="23" spans="1:78" ht="13.5" customHeight="1">
      <c r="A23" s="368" t="s">
        <v>435</v>
      </c>
      <c r="B23" s="368"/>
      <c r="C23" s="368"/>
      <c r="D23" s="368"/>
      <c r="E23" s="368"/>
      <c r="F23" s="368"/>
      <c r="G23" s="368"/>
      <c r="H23" s="368"/>
      <c r="I23" s="368"/>
      <c r="J23" s="368"/>
      <c r="K23" s="368"/>
      <c r="L23" s="368"/>
      <c r="M23" s="368"/>
      <c r="N23" s="368"/>
      <c r="O23" s="369"/>
      <c r="P23" s="369"/>
      <c r="Q23" s="369"/>
      <c r="R23" s="369"/>
      <c r="S23" s="369"/>
      <c r="T23" s="369"/>
      <c r="U23" s="369"/>
      <c r="V23" s="369"/>
      <c r="W23" s="369"/>
      <c r="X23" s="369"/>
      <c r="Y23" s="369"/>
      <c r="Z23" s="370">
        <f t="shared" si="0"/>
        <v>0</v>
      </c>
      <c r="AA23" s="371">
        <f t="shared" si="0"/>
        <v>0</v>
      </c>
      <c r="AB23" s="372"/>
      <c r="AC23" s="372"/>
      <c r="AD23" s="372"/>
      <c r="AE23" s="372"/>
      <c r="AF23" s="372"/>
      <c r="AG23" s="373"/>
      <c r="AH23" s="373"/>
      <c r="AI23" s="373"/>
      <c r="AJ23" s="373"/>
      <c r="AK23" s="373"/>
      <c r="AL23" s="373"/>
      <c r="AM23" s="373"/>
      <c r="AN23" s="208"/>
      <c r="AO23" s="368"/>
      <c r="AP23" s="368"/>
      <c r="AQ23" s="368">
        <v>26</v>
      </c>
      <c r="AR23" s="368"/>
      <c r="AS23" s="368">
        <v>13</v>
      </c>
      <c r="AT23" s="368"/>
      <c r="AU23" s="368">
        <v>19</v>
      </c>
      <c r="AV23" s="368"/>
      <c r="AW23" s="368">
        <v>40</v>
      </c>
      <c r="AX23" s="368"/>
      <c r="AY23" s="368"/>
      <c r="AZ23" s="368"/>
      <c r="BA23" s="368"/>
      <c r="BB23" s="369"/>
      <c r="BC23" s="369"/>
      <c r="BD23" s="369"/>
      <c r="BE23" s="369"/>
      <c r="BF23" s="369"/>
      <c r="BG23" s="369"/>
      <c r="BH23" s="369"/>
      <c r="BI23" s="369"/>
      <c r="BJ23" s="369"/>
      <c r="BK23" s="369"/>
      <c r="BL23" s="369"/>
      <c r="BM23" s="370">
        <f t="shared" si="1"/>
        <v>98</v>
      </c>
      <c r="BN23" s="371">
        <f t="shared" si="1"/>
        <v>0</v>
      </c>
      <c r="BO23" s="373"/>
      <c r="BP23" s="373"/>
      <c r="BQ23" s="373"/>
      <c r="BR23" s="373"/>
      <c r="BS23" s="373"/>
      <c r="BT23" s="373"/>
      <c r="BU23" s="373"/>
      <c r="BV23" s="373"/>
      <c r="BW23" s="373"/>
      <c r="BX23" s="373"/>
      <c r="BY23" s="373"/>
      <c r="BZ23" s="373"/>
    </row>
    <row r="24" spans="1:78" ht="13.5" customHeight="1">
      <c r="A24" s="368" t="s">
        <v>436</v>
      </c>
      <c r="B24" s="368"/>
      <c r="C24" s="368"/>
      <c r="D24" s="368"/>
      <c r="E24" s="368"/>
      <c r="F24" s="368"/>
      <c r="G24" s="368"/>
      <c r="H24" s="368"/>
      <c r="I24" s="368"/>
      <c r="J24" s="368"/>
      <c r="K24" s="368"/>
      <c r="L24" s="368"/>
      <c r="M24" s="368"/>
      <c r="N24" s="368"/>
      <c r="O24" s="369"/>
      <c r="P24" s="369"/>
      <c r="Q24" s="369"/>
      <c r="R24" s="369"/>
      <c r="S24" s="369"/>
      <c r="T24" s="369"/>
      <c r="U24" s="369"/>
      <c r="V24" s="369"/>
      <c r="W24" s="369"/>
      <c r="X24" s="369"/>
      <c r="Y24" s="369"/>
      <c r="Z24" s="370">
        <f t="shared" si="0"/>
        <v>0</v>
      </c>
      <c r="AA24" s="371">
        <f t="shared" si="0"/>
        <v>0</v>
      </c>
      <c r="AB24" s="372"/>
      <c r="AC24" s="372"/>
      <c r="AD24" s="372"/>
      <c r="AE24" s="372"/>
      <c r="AF24" s="372"/>
      <c r="AG24" s="373"/>
      <c r="AH24" s="373"/>
      <c r="AI24" s="373"/>
      <c r="AJ24" s="373"/>
      <c r="AK24" s="373"/>
      <c r="AL24" s="373"/>
      <c r="AM24" s="373"/>
      <c r="AN24" s="208"/>
      <c r="AO24" s="368"/>
      <c r="AP24" s="368"/>
      <c r="AQ24" s="368">
        <v>21</v>
      </c>
      <c r="AR24" s="368"/>
      <c r="AS24" s="368">
        <v>20</v>
      </c>
      <c r="AT24" s="368"/>
      <c r="AU24" s="368">
        <v>26</v>
      </c>
      <c r="AV24" s="368"/>
      <c r="AW24" s="368">
        <v>22</v>
      </c>
      <c r="AX24" s="368"/>
      <c r="AY24" s="368"/>
      <c r="AZ24" s="368"/>
      <c r="BA24" s="368"/>
      <c r="BB24" s="369"/>
      <c r="BC24" s="369"/>
      <c r="BD24" s="369"/>
      <c r="BE24" s="369"/>
      <c r="BF24" s="369"/>
      <c r="BG24" s="369"/>
      <c r="BH24" s="369"/>
      <c r="BI24" s="369"/>
      <c r="BJ24" s="369"/>
      <c r="BK24" s="369"/>
      <c r="BL24" s="369"/>
      <c r="BM24" s="370">
        <f t="shared" si="1"/>
        <v>89</v>
      </c>
      <c r="BN24" s="371">
        <f t="shared" si="1"/>
        <v>0</v>
      </c>
      <c r="BO24" s="373"/>
      <c r="BP24" s="373"/>
      <c r="BQ24" s="373"/>
      <c r="BR24" s="373"/>
      <c r="BS24" s="373"/>
      <c r="BT24" s="373"/>
      <c r="BU24" s="373"/>
      <c r="BV24" s="373"/>
      <c r="BW24" s="373"/>
      <c r="BX24" s="373"/>
      <c r="BY24" s="373"/>
      <c r="BZ24" s="373"/>
    </row>
    <row r="25" spans="1:78" ht="13.5" customHeight="1">
      <c r="A25" s="368" t="s">
        <v>437</v>
      </c>
      <c r="B25" s="368"/>
      <c r="C25" s="368"/>
      <c r="D25" s="368"/>
      <c r="E25" s="368"/>
      <c r="F25" s="368"/>
      <c r="G25" s="368"/>
      <c r="H25" s="368"/>
      <c r="I25" s="368"/>
      <c r="J25" s="368"/>
      <c r="K25" s="368"/>
      <c r="L25" s="368"/>
      <c r="M25" s="368"/>
      <c r="N25" s="368"/>
      <c r="O25" s="369"/>
      <c r="P25" s="369"/>
      <c r="Q25" s="369"/>
      <c r="R25" s="369"/>
      <c r="S25" s="369"/>
      <c r="T25" s="369"/>
      <c r="U25" s="369"/>
      <c r="V25" s="369"/>
      <c r="W25" s="369"/>
      <c r="X25" s="369"/>
      <c r="Y25" s="369"/>
      <c r="Z25" s="370">
        <f t="shared" si="0"/>
        <v>0</v>
      </c>
      <c r="AA25" s="371">
        <f t="shared" si="0"/>
        <v>0</v>
      </c>
      <c r="AB25" s="372"/>
      <c r="AC25" s="372"/>
      <c r="AD25" s="372"/>
      <c r="AE25" s="372"/>
      <c r="AF25" s="372"/>
      <c r="AG25" s="373"/>
      <c r="AH25" s="373"/>
      <c r="AI25" s="373"/>
      <c r="AJ25" s="373"/>
      <c r="AK25" s="373"/>
      <c r="AL25" s="373"/>
      <c r="AM25" s="373"/>
      <c r="AN25" s="208"/>
      <c r="AO25" s="368"/>
      <c r="AP25" s="368"/>
      <c r="AQ25" s="368">
        <v>20</v>
      </c>
      <c r="AR25" s="368"/>
      <c r="AS25" s="368">
        <v>18</v>
      </c>
      <c r="AT25" s="368"/>
      <c r="AU25" s="368">
        <v>38</v>
      </c>
      <c r="AV25" s="368"/>
      <c r="AW25" s="368">
        <v>37</v>
      </c>
      <c r="AX25" s="368"/>
      <c r="AY25" s="368"/>
      <c r="AZ25" s="368"/>
      <c r="BA25" s="368"/>
      <c r="BB25" s="369"/>
      <c r="BC25" s="369"/>
      <c r="BD25" s="369"/>
      <c r="BE25" s="369"/>
      <c r="BF25" s="369"/>
      <c r="BG25" s="369"/>
      <c r="BH25" s="369"/>
      <c r="BI25" s="369"/>
      <c r="BJ25" s="369"/>
      <c r="BK25" s="369"/>
      <c r="BL25" s="369"/>
      <c r="BM25" s="370">
        <f t="shared" si="1"/>
        <v>113</v>
      </c>
      <c r="BN25" s="371">
        <f t="shared" si="1"/>
        <v>0</v>
      </c>
      <c r="BO25" s="373"/>
      <c r="BP25" s="373"/>
      <c r="BQ25" s="373"/>
      <c r="BR25" s="373"/>
      <c r="BS25" s="373"/>
      <c r="BT25" s="373"/>
      <c r="BU25" s="373"/>
      <c r="BV25" s="373"/>
      <c r="BW25" s="373"/>
      <c r="BX25" s="373"/>
      <c r="BY25" s="373"/>
      <c r="BZ25" s="373"/>
    </row>
    <row r="26" spans="1:78" ht="13.5" customHeight="1">
      <c r="A26" s="368" t="s">
        <v>438</v>
      </c>
      <c r="B26" s="368"/>
      <c r="C26" s="368"/>
      <c r="D26" s="368"/>
      <c r="E26" s="368"/>
      <c r="F26" s="368"/>
      <c r="G26" s="368"/>
      <c r="H26" s="368"/>
      <c r="I26" s="368"/>
      <c r="J26" s="368"/>
      <c r="K26" s="368"/>
      <c r="L26" s="368"/>
      <c r="M26" s="368"/>
      <c r="N26" s="368"/>
      <c r="O26" s="369"/>
      <c r="P26" s="369"/>
      <c r="Q26" s="369"/>
      <c r="R26" s="369"/>
      <c r="S26" s="369"/>
      <c r="T26" s="369"/>
      <c r="U26" s="369"/>
      <c r="V26" s="369"/>
      <c r="W26" s="369"/>
      <c r="X26" s="369"/>
      <c r="Y26" s="369"/>
      <c r="Z26" s="370">
        <f t="shared" si="0"/>
        <v>0</v>
      </c>
      <c r="AA26" s="371">
        <f t="shared" si="0"/>
        <v>0</v>
      </c>
      <c r="AB26" s="372"/>
      <c r="AC26" s="372"/>
      <c r="AD26" s="372"/>
      <c r="AE26" s="372"/>
      <c r="AF26" s="372"/>
      <c r="AG26" s="373"/>
      <c r="AH26" s="373"/>
      <c r="AI26" s="373"/>
      <c r="AJ26" s="373"/>
      <c r="AK26" s="373"/>
      <c r="AL26" s="373"/>
      <c r="AM26" s="373"/>
      <c r="AN26" s="208"/>
      <c r="AO26" s="368"/>
      <c r="AP26" s="368"/>
      <c r="AQ26" s="375"/>
      <c r="AR26" s="368"/>
      <c r="AS26" s="368">
        <v>76</v>
      </c>
      <c r="AT26" s="368"/>
      <c r="AU26" s="368">
        <v>44</v>
      </c>
      <c r="AV26" s="368"/>
      <c r="AW26" s="368">
        <v>40</v>
      </c>
      <c r="AX26" s="368"/>
      <c r="AY26" s="368"/>
      <c r="AZ26" s="368"/>
      <c r="BA26" s="368"/>
      <c r="BB26" s="369"/>
      <c r="BC26" s="369"/>
      <c r="BD26" s="369"/>
      <c r="BE26" s="369"/>
      <c r="BF26" s="369"/>
      <c r="BG26" s="369"/>
      <c r="BH26" s="369"/>
      <c r="BI26" s="369"/>
      <c r="BJ26" s="369"/>
      <c r="BK26" s="369"/>
      <c r="BL26" s="369"/>
      <c r="BM26" s="370">
        <f t="shared" si="1"/>
        <v>160</v>
      </c>
      <c r="BN26" s="371">
        <f t="shared" si="1"/>
        <v>0</v>
      </c>
      <c r="BO26" s="373"/>
      <c r="BP26" s="373"/>
      <c r="BQ26" s="373"/>
      <c r="BR26" s="373"/>
      <c r="BS26" s="373"/>
      <c r="BT26" s="373"/>
      <c r="BU26" s="373"/>
      <c r="BV26" s="373"/>
      <c r="BW26" s="373"/>
      <c r="BX26" s="373"/>
      <c r="BY26" s="373"/>
      <c r="BZ26" s="373"/>
    </row>
    <row r="27" spans="1:78" ht="13.5" customHeight="1">
      <c r="A27" s="368" t="s">
        <v>439</v>
      </c>
      <c r="B27" s="368"/>
      <c r="C27" s="368"/>
      <c r="D27" s="368"/>
      <c r="E27" s="368"/>
      <c r="F27" s="368"/>
      <c r="G27" s="368"/>
      <c r="H27" s="368"/>
      <c r="I27" s="368"/>
      <c r="J27" s="368"/>
      <c r="K27" s="368"/>
      <c r="L27" s="368"/>
      <c r="M27" s="368"/>
      <c r="N27" s="368"/>
      <c r="O27" s="369"/>
      <c r="P27" s="369"/>
      <c r="Q27" s="369"/>
      <c r="R27" s="369"/>
      <c r="S27" s="369"/>
      <c r="T27" s="369"/>
      <c r="U27" s="369"/>
      <c r="V27" s="369"/>
      <c r="W27" s="369"/>
      <c r="X27" s="369"/>
      <c r="Y27" s="369"/>
      <c r="Z27" s="370">
        <f t="shared" ref="Z27:AA31" si="2">B27+D27+F27+H27+J27+L27+N27+P27+R27+T27+V27+X27</f>
        <v>0</v>
      </c>
      <c r="AA27" s="371">
        <f t="shared" si="2"/>
        <v>0</v>
      </c>
      <c r="AB27" s="372"/>
      <c r="AC27" s="372"/>
      <c r="AD27" s="372"/>
      <c r="AE27" s="372"/>
      <c r="AF27" s="372"/>
      <c r="AG27" s="373"/>
      <c r="AH27" s="373"/>
      <c r="AI27" s="373"/>
      <c r="AJ27" s="373"/>
      <c r="AK27" s="373"/>
      <c r="AL27" s="373"/>
      <c r="AM27" s="373"/>
      <c r="AN27" s="208"/>
      <c r="AO27" s="368"/>
      <c r="AP27" s="368"/>
      <c r="AQ27" s="375"/>
      <c r="AR27" s="368"/>
      <c r="AS27" s="368">
        <v>21</v>
      </c>
      <c r="AT27" s="368"/>
      <c r="AU27" s="368">
        <v>49</v>
      </c>
      <c r="AV27" s="368"/>
      <c r="AW27" s="368">
        <v>27</v>
      </c>
      <c r="AX27" s="368"/>
      <c r="AY27" s="368"/>
      <c r="AZ27" s="368"/>
      <c r="BA27" s="368"/>
      <c r="BB27" s="369"/>
      <c r="BC27" s="369"/>
      <c r="BD27" s="369"/>
      <c r="BE27" s="369"/>
      <c r="BF27" s="369"/>
      <c r="BG27" s="369"/>
      <c r="BH27" s="369"/>
      <c r="BI27" s="369"/>
      <c r="BJ27" s="369"/>
      <c r="BK27" s="369"/>
      <c r="BL27" s="369"/>
      <c r="BM27" s="370">
        <f t="shared" ref="BM27:BN31" si="3">AO27+AQ27+AS27+AU27+AW27+AY27+BA27+BC27+BE27+BG27+BI27+BK27</f>
        <v>97</v>
      </c>
      <c r="BN27" s="371">
        <f t="shared" si="3"/>
        <v>0</v>
      </c>
      <c r="BO27" s="373"/>
      <c r="BP27" s="373"/>
      <c r="BQ27" s="373"/>
      <c r="BR27" s="373"/>
      <c r="BS27" s="373"/>
      <c r="BT27" s="373"/>
      <c r="BU27" s="373"/>
      <c r="BV27" s="373"/>
      <c r="BW27" s="373"/>
      <c r="BX27" s="373"/>
      <c r="BY27" s="373"/>
      <c r="BZ27" s="373"/>
    </row>
    <row r="28" spans="1:78" ht="13.5" customHeight="1">
      <c r="A28" s="368" t="s">
        <v>440</v>
      </c>
      <c r="B28" s="368"/>
      <c r="C28" s="368"/>
      <c r="D28" s="368"/>
      <c r="E28" s="368"/>
      <c r="F28" s="368"/>
      <c r="G28" s="368"/>
      <c r="H28" s="368"/>
      <c r="I28" s="368"/>
      <c r="J28" s="368"/>
      <c r="K28" s="368"/>
      <c r="L28" s="368"/>
      <c r="M28" s="368"/>
      <c r="N28" s="368"/>
      <c r="O28" s="369"/>
      <c r="P28" s="369"/>
      <c r="Q28" s="369"/>
      <c r="R28" s="369"/>
      <c r="S28" s="369"/>
      <c r="T28" s="369"/>
      <c r="U28" s="369"/>
      <c r="V28" s="369"/>
      <c r="W28" s="369"/>
      <c r="X28" s="369"/>
      <c r="Y28" s="369"/>
      <c r="Z28" s="370">
        <f t="shared" si="2"/>
        <v>0</v>
      </c>
      <c r="AA28" s="371">
        <f t="shared" si="2"/>
        <v>0</v>
      </c>
      <c r="AB28" s="372"/>
      <c r="AC28" s="372"/>
      <c r="AD28" s="372"/>
      <c r="AE28" s="372"/>
      <c r="AF28" s="372"/>
      <c r="AG28" s="373"/>
      <c r="AH28" s="373"/>
      <c r="AI28" s="373"/>
      <c r="AJ28" s="373"/>
      <c r="AK28" s="373"/>
      <c r="AL28" s="373"/>
      <c r="AM28" s="373"/>
      <c r="AN28" s="208"/>
      <c r="AO28" s="368"/>
      <c r="AP28" s="368"/>
      <c r="AQ28" s="375"/>
      <c r="AR28" s="368"/>
      <c r="AS28" s="368"/>
      <c r="AT28" s="368"/>
      <c r="AU28" s="368">
        <v>14</v>
      </c>
      <c r="AV28" s="368"/>
      <c r="AW28" s="368">
        <v>17</v>
      </c>
      <c r="AX28" s="368"/>
      <c r="AY28" s="368"/>
      <c r="AZ28" s="368"/>
      <c r="BA28" s="368"/>
      <c r="BB28" s="369"/>
      <c r="BC28" s="369"/>
      <c r="BD28" s="369"/>
      <c r="BE28" s="369"/>
      <c r="BF28" s="369"/>
      <c r="BG28" s="369"/>
      <c r="BH28" s="369"/>
      <c r="BI28" s="369"/>
      <c r="BJ28" s="369"/>
      <c r="BK28" s="369"/>
      <c r="BL28" s="369"/>
      <c r="BM28" s="370">
        <f t="shared" si="3"/>
        <v>31</v>
      </c>
      <c r="BN28" s="371">
        <f t="shared" si="3"/>
        <v>0</v>
      </c>
      <c r="BO28" s="373"/>
      <c r="BP28" s="373"/>
      <c r="BQ28" s="373"/>
      <c r="BR28" s="373"/>
      <c r="BS28" s="373"/>
      <c r="BT28" s="373"/>
      <c r="BU28" s="373"/>
      <c r="BV28" s="373"/>
      <c r="BW28" s="373"/>
      <c r="BX28" s="373"/>
      <c r="BY28" s="373"/>
      <c r="BZ28" s="373"/>
    </row>
    <row r="29" spans="1:78" ht="13.5" customHeight="1">
      <c r="A29" s="368" t="s">
        <v>441</v>
      </c>
      <c r="B29" s="368"/>
      <c r="C29" s="368"/>
      <c r="D29" s="368"/>
      <c r="E29" s="368"/>
      <c r="F29" s="368"/>
      <c r="G29" s="368"/>
      <c r="H29" s="368"/>
      <c r="I29" s="368"/>
      <c r="J29" s="368"/>
      <c r="K29" s="368"/>
      <c r="L29" s="368"/>
      <c r="M29" s="368"/>
      <c r="N29" s="368"/>
      <c r="O29" s="369"/>
      <c r="P29" s="369"/>
      <c r="Q29" s="369"/>
      <c r="R29" s="369"/>
      <c r="S29" s="369"/>
      <c r="T29" s="369"/>
      <c r="U29" s="369"/>
      <c r="V29" s="369"/>
      <c r="W29" s="369"/>
      <c r="X29" s="369"/>
      <c r="Y29" s="369"/>
      <c r="Z29" s="370">
        <f t="shared" si="2"/>
        <v>0</v>
      </c>
      <c r="AA29" s="371">
        <f t="shared" si="2"/>
        <v>0</v>
      </c>
      <c r="AB29" s="372"/>
      <c r="AC29" s="372"/>
      <c r="AD29" s="372"/>
      <c r="AE29" s="372"/>
      <c r="AF29" s="372"/>
      <c r="AG29" s="373"/>
      <c r="AH29" s="373"/>
      <c r="AI29" s="373"/>
      <c r="AJ29" s="373"/>
      <c r="AK29" s="373"/>
      <c r="AL29" s="373"/>
      <c r="AM29" s="373"/>
      <c r="AN29" s="208"/>
      <c r="AO29" s="368"/>
      <c r="AP29" s="368"/>
      <c r="AQ29" s="368">
        <v>1</v>
      </c>
      <c r="AR29" s="368"/>
      <c r="AS29" s="368">
        <v>7</v>
      </c>
      <c r="AT29" s="368"/>
      <c r="AU29" s="368">
        <v>15</v>
      </c>
      <c r="AV29" s="368"/>
      <c r="AW29" s="368">
        <v>19</v>
      </c>
      <c r="AX29" s="368"/>
      <c r="AY29" s="368"/>
      <c r="AZ29" s="368"/>
      <c r="BA29" s="368"/>
      <c r="BB29" s="369"/>
      <c r="BC29" s="369"/>
      <c r="BD29" s="369"/>
      <c r="BE29" s="369"/>
      <c r="BF29" s="369"/>
      <c r="BG29" s="369"/>
      <c r="BH29" s="369"/>
      <c r="BI29" s="369"/>
      <c r="BJ29" s="369"/>
      <c r="BK29" s="369"/>
      <c r="BL29" s="369"/>
      <c r="BM29" s="370">
        <f t="shared" si="3"/>
        <v>42</v>
      </c>
      <c r="BN29" s="371">
        <f t="shared" si="3"/>
        <v>0</v>
      </c>
      <c r="BO29" s="373"/>
      <c r="BP29" s="373"/>
      <c r="BQ29" s="373"/>
      <c r="BR29" s="373"/>
      <c r="BS29" s="373"/>
      <c r="BT29" s="373"/>
      <c r="BU29" s="373"/>
      <c r="BV29" s="373"/>
      <c r="BW29" s="373"/>
      <c r="BX29" s="373"/>
      <c r="BY29" s="373"/>
      <c r="BZ29" s="373"/>
    </row>
    <row r="30" spans="1:78" ht="13.5" customHeight="1">
      <c r="A30" s="368" t="s">
        <v>442</v>
      </c>
      <c r="B30" s="368"/>
      <c r="C30" s="368"/>
      <c r="D30" s="368"/>
      <c r="E30" s="368"/>
      <c r="F30" s="368"/>
      <c r="G30" s="368"/>
      <c r="H30" s="368"/>
      <c r="I30" s="368"/>
      <c r="J30" s="368"/>
      <c r="K30" s="368"/>
      <c r="L30" s="368"/>
      <c r="M30" s="368"/>
      <c r="N30" s="368"/>
      <c r="O30" s="369"/>
      <c r="P30" s="369"/>
      <c r="Q30" s="369"/>
      <c r="R30" s="369"/>
      <c r="S30" s="369"/>
      <c r="T30" s="369"/>
      <c r="U30" s="369"/>
      <c r="V30" s="369"/>
      <c r="W30" s="369"/>
      <c r="X30" s="369"/>
      <c r="Y30" s="369"/>
      <c r="Z30" s="370">
        <f t="shared" si="2"/>
        <v>0</v>
      </c>
      <c r="AA30" s="371">
        <f t="shared" si="2"/>
        <v>0</v>
      </c>
      <c r="AB30" s="372"/>
      <c r="AC30" s="372"/>
      <c r="AD30" s="372"/>
      <c r="AE30" s="372"/>
      <c r="AF30" s="372"/>
      <c r="AG30" s="373"/>
      <c r="AH30" s="373"/>
      <c r="AI30" s="373"/>
      <c r="AJ30" s="373"/>
      <c r="AK30" s="373"/>
      <c r="AL30" s="373"/>
      <c r="AM30" s="373"/>
      <c r="AN30" s="208"/>
      <c r="AO30" s="368"/>
      <c r="AP30" s="368"/>
      <c r="AQ30" s="368">
        <v>70</v>
      </c>
      <c r="AR30" s="368"/>
      <c r="AS30" s="368">
        <v>69</v>
      </c>
      <c r="AT30" s="368"/>
      <c r="AU30" s="368">
        <v>104</v>
      </c>
      <c r="AV30" s="368"/>
      <c r="AW30" s="368">
        <v>119</v>
      </c>
      <c r="AX30" s="368"/>
      <c r="AY30" s="368"/>
      <c r="AZ30" s="368"/>
      <c r="BA30" s="368"/>
      <c r="BB30" s="369"/>
      <c r="BC30" s="369"/>
      <c r="BD30" s="369"/>
      <c r="BE30" s="369"/>
      <c r="BF30" s="369"/>
      <c r="BG30" s="369"/>
      <c r="BH30" s="369"/>
      <c r="BI30" s="369"/>
      <c r="BJ30" s="369"/>
      <c r="BK30" s="369"/>
      <c r="BL30" s="369"/>
      <c r="BM30" s="370">
        <f t="shared" si="3"/>
        <v>362</v>
      </c>
      <c r="BN30" s="371">
        <f t="shared" si="3"/>
        <v>0</v>
      </c>
      <c r="BO30" s="373"/>
      <c r="BP30" s="373"/>
      <c r="BQ30" s="373"/>
      <c r="BR30" s="373"/>
      <c r="BS30" s="373"/>
      <c r="BT30" s="373"/>
      <c r="BU30" s="373"/>
      <c r="BV30" s="373"/>
      <c r="BW30" s="373"/>
      <c r="BX30" s="373"/>
      <c r="BY30" s="373"/>
      <c r="BZ30" s="373"/>
    </row>
    <row r="31" spans="1:78" ht="13.5" customHeight="1">
      <c r="A31" s="368" t="s">
        <v>443</v>
      </c>
      <c r="B31" s="368"/>
      <c r="C31" s="368"/>
      <c r="D31" s="368"/>
      <c r="E31" s="368"/>
      <c r="F31" s="368"/>
      <c r="G31" s="368"/>
      <c r="H31" s="368"/>
      <c r="I31" s="368"/>
      <c r="J31" s="368"/>
      <c r="K31" s="368"/>
      <c r="L31" s="368"/>
      <c r="M31" s="368"/>
      <c r="N31" s="368"/>
      <c r="O31" s="369"/>
      <c r="P31" s="369"/>
      <c r="Q31" s="369"/>
      <c r="R31" s="369"/>
      <c r="S31" s="369"/>
      <c r="T31" s="369"/>
      <c r="U31" s="369"/>
      <c r="V31" s="369"/>
      <c r="W31" s="369"/>
      <c r="X31" s="369"/>
      <c r="Y31" s="369"/>
      <c r="Z31" s="370">
        <f t="shared" si="2"/>
        <v>0</v>
      </c>
      <c r="AA31" s="371">
        <f t="shared" si="2"/>
        <v>0</v>
      </c>
      <c r="AB31" s="372"/>
      <c r="AC31" s="372"/>
      <c r="AD31" s="372"/>
      <c r="AE31" s="372"/>
      <c r="AF31" s="372"/>
      <c r="AG31" s="373"/>
      <c r="AH31" s="373"/>
      <c r="AI31" s="373"/>
      <c r="AJ31" s="373"/>
      <c r="AK31" s="373"/>
      <c r="AL31" s="373"/>
      <c r="AM31" s="373"/>
      <c r="AN31" s="208"/>
      <c r="AO31" s="368"/>
      <c r="AP31" s="368"/>
      <c r="AQ31" s="375"/>
      <c r="AR31" s="368"/>
      <c r="AS31" s="368"/>
      <c r="AT31" s="368"/>
      <c r="AU31" s="368"/>
      <c r="AV31" s="368"/>
      <c r="AW31" s="368"/>
      <c r="AX31" s="368"/>
      <c r="AY31" s="368"/>
      <c r="AZ31" s="368"/>
      <c r="BA31" s="368"/>
      <c r="BB31" s="369"/>
      <c r="BC31" s="369"/>
      <c r="BD31" s="369"/>
      <c r="BE31" s="369"/>
      <c r="BF31" s="369"/>
      <c r="BG31" s="369"/>
      <c r="BH31" s="369"/>
      <c r="BI31" s="369"/>
      <c r="BJ31" s="369"/>
      <c r="BK31" s="369"/>
      <c r="BL31" s="369"/>
      <c r="BM31" s="370">
        <f t="shared" si="3"/>
        <v>0</v>
      </c>
      <c r="BN31" s="371">
        <f t="shared" si="3"/>
        <v>0</v>
      </c>
      <c r="BO31" s="373"/>
      <c r="BP31" s="373"/>
      <c r="BQ31" s="373"/>
      <c r="BR31" s="373"/>
      <c r="BS31" s="373"/>
      <c r="BT31" s="373"/>
      <c r="BU31" s="373"/>
      <c r="BV31" s="373"/>
      <c r="BW31" s="373"/>
      <c r="BX31" s="373"/>
      <c r="BY31" s="373"/>
      <c r="BZ31" s="373"/>
    </row>
    <row r="32" spans="1:78" ht="13.5" customHeight="1">
      <c r="A32" s="376" t="s">
        <v>444</v>
      </c>
      <c r="B32" s="377">
        <f t="shared" ref="B32:AM32" si="4">SUM(B11:B31)</f>
        <v>0</v>
      </c>
      <c r="C32" s="377">
        <f t="shared" si="4"/>
        <v>0</v>
      </c>
      <c r="D32" s="377">
        <f t="shared" si="4"/>
        <v>0</v>
      </c>
      <c r="E32" s="377">
        <f t="shared" si="4"/>
        <v>0</v>
      </c>
      <c r="F32" s="377">
        <f t="shared" si="4"/>
        <v>0</v>
      </c>
      <c r="G32" s="377">
        <f t="shared" si="4"/>
        <v>0</v>
      </c>
      <c r="H32" s="377">
        <f t="shared" si="4"/>
        <v>0</v>
      </c>
      <c r="I32" s="377">
        <f t="shared" si="4"/>
        <v>0</v>
      </c>
      <c r="J32" s="377">
        <f t="shared" si="4"/>
        <v>0</v>
      </c>
      <c r="K32" s="377">
        <f t="shared" si="4"/>
        <v>0</v>
      </c>
      <c r="L32" s="377">
        <f t="shared" si="4"/>
        <v>0</v>
      </c>
      <c r="M32" s="377">
        <f t="shared" si="4"/>
        <v>0</v>
      </c>
      <c r="N32" s="377">
        <f t="shared" si="4"/>
        <v>0</v>
      </c>
      <c r="O32" s="377">
        <f t="shared" si="4"/>
        <v>0</v>
      </c>
      <c r="P32" s="377">
        <f t="shared" si="4"/>
        <v>0</v>
      </c>
      <c r="Q32" s="377">
        <f t="shared" si="4"/>
        <v>0</v>
      </c>
      <c r="R32" s="377">
        <f t="shared" si="4"/>
        <v>0</v>
      </c>
      <c r="S32" s="377">
        <f t="shared" si="4"/>
        <v>0</v>
      </c>
      <c r="T32" s="377">
        <f t="shared" si="4"/>
        <v>0</v>
      </c>
      <c r="U32" s="377">
        <f t="shared" si="4"/>
        <v>0</v>
      </c>
      <c r="V32" s="377">
        <f t="shared" si="4"/>
        <v>0</v>
      </c>
      <c r="W32" s="377">
        <f t="shared" si="4"/>
        <v>0</v>
      </c>
      <c r="X32" s="377">
        <f t="shared" si="4"/>
        <v>0</v>
      </c>
      <c r="Y32" s="377">
        <f t="shared" si="4"/>
        <v>0</v>
      </c>
      <c r="Z32" s="377">
        <f t="shared" si="4"/>
        <v>0</v>
      </c>
      <c r="AA32" s="371">
        <f t="shared" si="4"/>
        <v>0</v>
      </c>
      <c r="AB32" s="371">
        <f t="shared" si="4"/>
        <v>0</v>
      </c>
      <c r="AC32" s="371">
        <f t="shared" si="4"/>
        <v>0</v>
      </c>
      <c r="AD32" s="371">
        <f t="shared" si="4"/>
        <v>0</v>
      </c>
      <c r="AE32" s="371">
        <f t="shared" si="4"/>
        <v>0</v>
      </c>
      <c r="AF32" s="371">
        <f t="shared" si="4"/>
        <v>0</v>
      </c>
      <c r="AG32" s="377">
        <f t="shared" si="4"/>
        <v>0</v>
      </c>
      <c r="AH32" s="377">
        <f t="shared" si="4"/>
        <v>0</v>
      </c>
      <c r="AI32" s="377">
        <f t="shared" si="4"/>
        <v>0</v>
      </c>
      <c r="AJ32" s="377">
        <f t="shared" si="4"/>
        <v>0</v>
      </c>
      <c r="AK32" s="377">
        <f t="shared" si="4"/>
        <v>0</v>
      </c>
      <c r="AL32" s="377">
        <f t="shared" si="4"/>
        <v>0</v>
      </c>
      <c r="AM32" s="377">
        <f t="shared" si="4"/>
        <v>0</v>
      </c>
      <c r="AN32" s="208"/>
      <c r="AO32" s="377">
        <f t="shared" ref="AO32:BZ32" si="5">SUM(AO11:AO31)</f>
        <v>0</v>
      </c>
      <c r="AP32" s="377">
        <f t="shared" si="5"/>
        <v>0</v>
      </c>
      <c r="AQ32" s="378">
        <f t="shared" si="5"/>
        <v>324</v>
      </c>
      <c r="AR32" s="377">
        <f t="shared" si="5"/>
        <v>0</v>
      </c>
      <c r="AS32" s="377">
        <f t="shared" si="5"/>
        <v>441</v>
      </c>
      <c r="AT32" s="377">
        <f t="shared" si="5"/>
        <v>0</v>
      </c>
      <c r="AU32" s="377">
        <f t="shared" si="5"/>
        <v>624</v>
      </c>
      <c r="AV32" s="377">
        <f t="shared" si="5"/>
        <v>0</v>
      </c>
      <c r="AW32" s="377">
        <f t="shared" si="5"/>
        <v>637</v>
      </c>
      <c r="AX32" s="377">
        <f t="shared" si="5"/>
        <v>0</v>
      </c>
      <c r="AY32" s="377">
        <f t="shared" si="5"/>
        <v>0</v>
      </c>
      <c r="AZ32" s="377">
        <f t="shared" si="5"/>
        <v>0</v>
      </c>
      <c r="BA32" s="377">
        <f t="shared" si="5"/>
        <v>0</v>
      </c>
      <c r="BB32" s="377">
        <f t="shared" si="5"/>
        <v>0</v>
      </c>
      <c r="BC32" s="377">
        <f t="shared" si="5"/>
        <v>0</v>
      </c>
      <c r="BD32" s="377">
        <f t="shared" si="5"/>
        <v>0</v>
      </c>
      <c r="BE32" s="377">
        <f t="shared" si="5"/>
        <v>0</v>
      </c>
      <c r="BF32" s="377">
        <f t="shared" si="5"/>
        <v>0</v>
      </c>
      <c r="BG32" s="377">
        <f t="shared" si="5"/>
        <v>0</v>
      </c>
      <c r="BH32" s="377">
        <f t="shared" si="5"/>
        <v>0</v>
      </c>
      <c r="BI32" s="377">
        <f t="shared" si="5"/>
        <v>0</v>
      </c>
      <c r="BJ32" s="377">
        <f t="shared" si="5"/>
        <v>0</v>
      </c>
      <c r="BK32" s="377">
        <f t="shared" si="5"/>
        <v>0</v>
      </c>
      <c r="BL32" s="377">
        <f t="shared" si="5"/>
        <v>0</v>
      </c>
      <c r="BM32" s="379">
        <f t="shared" si="5"/>
        <v>2026</v>
      </c>
      <c r="BN32" s="371">
        <f t="shared" si="5"/>
        <v>0</v>
      </c>
      <c r="BO32" s="377">
        <f t="shared" si="5"/>
        <v>0</v>
      </c>
      <c r="BP32" s="377">
        <f t="shared" si="5"/>
        <v>0</v>
      </c>
      <c r="BQ32" s="377">
        <f t="shared" si="5"/>
        <v>0</v>
      </c>
      <c r="BR32" s="377">
        <f t="shared" si="5"/>
        <v>0</v>
      </c>
      <c r="BS32" s="377">
        <f t="shared" si="5"/>
        <v>0</v>
      </c>
      <c r="BT32" s="377">
        <f t="shared" si="5"/>
        <v>0</v>
      </c>
      <c r="BU32" s="377">
        <f t="shared" si="5"/>
        <v>0</v>
      </c>
      <c r="BV32" s="377">
        <f t="shared" si="5"/>
        <v>0</v>
      </c>
      <c r="BW32" s="377">
        <f t="shared" si="5"/>
        <v>0</v>
      </c>
      <c r="BX32" s="377">
        <f t="shared" si="5"/>
        <v>0</v>
      </c>
      <c r="BY32" s="377">
        <f t="shared" si="5"/>
        <v>0</v>
      </c>
      <c r="BZ32" s="377">
        <f t="shared" si="5"/>
        <v>0</v>
      </c>
    </row>
    <row r="33" spans="1:78" ht="13.5" customHeight="1">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row>
    <row r="34" spans="1:78" ht="27.6" customHeight="1">
      <c r="A34" s="359" t="s">
        <v>402</v>
      </c>
      <c r="B34" s="502" t="s">
        <v>403</v>
      </c>
      <c r="C34" s="865"/>
      <c r="D34" s="865"/>
      <c r="E34" s="865"/>
      <c r="F34" s="865"/>
      <c r="G34" s="865"/>
      <c r="H34" s="865"/>
      <c r="I34" s="865"/>
      <c r="J34" s="865"/>
      <c r="K34" s="865"/>
      <c r="L34" s="865"/>
      <c r="M34" s="865"/>
      <c r="N34" s="865"/>
      <c r="O34" s="865"/>
      <c r="P34" s="865"/>
      <c r="Q34" s="865"/>
      <c r="R34" s="865"/>
      <c r="S34" s="865"/>
      <c r="T34" s="865"/>
      <c r="U34" s="865"/>
      <c r="V34" s="865"/>
      <c r="W34" s="865"/>
      <c r="X34" s="865"/>
      <c r="Y34" s="865"/>
      <c r="Z34" s="865"/>
      <c r="AA34" s="865"/>
      <c r="AB34" s="865"/>
      <c r="AC34" s="865"/>
      <c r="AD34" s="865"/>
      <c r="AE34" s="865"/>
      <c r="AF34" s="865"/>
      <c r="AG34" s="865"/>
      <c r="AH34" s="865"/>
      <c r="AI34" s="865"/>
      <c r="AJ34" s="865"/>
      <c r="AK34" s="865"/>
      <c r="AL34" s="865"/>
      <c r="AM34" s="865"/>
      <c r="AN34" s="865"/>
      <c r="AO34" s="865"/>
      <c r="AP34" s="865"/>
      <c r="AQ34" s="865"/>
      <c r="AR34" s="865"/>
      <c r="AS34" s="865"/>
      <c r="AT34" s="865"/>
      <c r="AU34" s="865"/>
      <c r="AV34" s="865"/>
      <c r="AW34" s="865"/>
      <c r="AX34" s="865"/>
      <c r="AY34" s="865"/>
      <c r="AZ34" s="865"/>
      <c r="BA34" s="865"/>
      <c r="BB34" s="865"/>
      <c r="BC34" s="865"/>
      <c r="BD34" s="865"/>
      <c r="BE34" s="865"/>
      <c r="BF34" s="865"/>
      <c r="BG34" s="865"/>
      <c r="BH34" s="865"/>
      <c r="BI34" s="865"/>
      <c r="BJ34" s="865"/>
      <c r="BK34" s="865"/>
      <c r="BL34" s="865"/>
      <c r="BM34" s="865"/>
      <c r="BN34" s="865"/>
      <c r="BO34" s="865"/>
      <c r="BP34" s="865"/>
      <c r="BQ34" s="865"/>
      <c r="BR34" s="865"/>
      <c r="BS34" s="865"/>
      <c r="BT34" s="865"/>
      <c r="BU34" s="865"/>
      <c r="BV34" s="865"/>
      <c r="BW34" s="865"/>
      <c r="BX34" s="865"/>
      <c r="BY34" s="865"/>
      <c r="BZ34" s="866"/>
    </row>
    <row r="35" spans="1:78" ht="28.5" customHeight="1">
      <c r="A35" s="360" t="s">
        <v>404</v>
      </c>
      <c r="B35" s="867" t="str">
        <f>+'[3]Indicadores PA'!J19</f>
        <v>Número de atenciones de relevo de cuidado en casa, en el marco de la estrategia cuidado a cuidadoras</v>
      </c>
      <c r="C35" s="865"/>
      <c r="D35" s="865"/>
      <c r="E35" s="865"/>
      <c r="F35" s="865"/>
      <c r="G35" s="865"/>
      <c r="H35" s="865"/>
      <c r="I35" s="865"/>
      <c r="J35" s="865"/>
      <c r="K35" s="865"/>
      <c r="L35" s="865"/>
      <c r="M35" s="865"/>
      <c r="N35" s="865"/>
      <c r="O35" s="865"/>
      <c r="P35" s="865"/>
      <c r="Q35" s="865"/>
      <c r="R35" s="865"/>
      <c r="S35" s="865"/>
      <c r="T35" s="865"/>
      <c r="U35" s="865"/>
      <c r="V35" s="865"/>
      <c r="W35" s="865"/>
      <c r="X35" s="865"/>
      <c r="Y35" s="865"/>
      <c r="Z35" s="865"/>
      <c r="AA35" s="865"/>
      <c r="AB35" s="865"/>
      <c r="AC35" s="865"/>
      <c r="AD35" s="865"/>
      <c r="AE35" s="865"/>
      <c r="AF35" s="865"/>
      <c r="AG35" s="865"/>
      <c r="AH35" s="865"/>
      <c r="AI35" s="865"/>
      <c r="AJ35" s="865"/>
      <c r="AK35" s="865"/>
      <c r="AL35" s="865"/>
      <c r="AM35" s="865"/>
      <c r="AN35" s="865"/>
      <c r="AO35" s="865"/>
      <c r="AP35" s="865"/>
      <c r="AQ35" s="865"/>
      <c r="AR35" s="865"/>
      <c r="AS35" s="865"/>
      <c r="AT35" s="865"/>
      <c r="AU35" s="865"/>
      <c r="AV35" s="865"/>
      <c r="AW35" s="865"/>
      <c r="AX35" s="865"/>
      <c r="AY35" s="865"/>
      <c r="AZ35" s="865"/>
      <c r="BA35" s="865"/>
      <c r="BB35" s="865"/>
      <c r="BC35" s="865"/>
      <c r="BD35" s="865"/>
      <c r="BE35" s="865"/>
      <c r="BF35" s="865"/>
      <c r="BG35" s="865"/>
      <c r="BH35" s="865"/>
      <c r="BI35" s="865"/>
      <c r="BJ35" s="865"/>
      <c r="BK35" s="865"/>
      <c r="BL35" s="865"/>
      <c r="BM35" s="865"/>
      <c r="BN35" s="865"/>
      <c r="BO35" s="865"/>
      <c r="BP35" s="865"/>
      <c r="BQ35" s="865"/>
      <c r="BR35" s="865"/>
      <c r="BS35" s="865"/>
      <c r="BT35" s="865"/>
      <c r="BU35" s="865"/>
      <c r="BV35" s="865"/>
      <c r="BW35" s="865"/>
      <c r="BX35" s="865"/>
      <c r="BY35" s="865"/>
      <c r="BZ35" s="866"/>
    </row>
    <row r="36" spans="1:78" ht="6" customHeight="1">
      <c r="A36" s="361"/>
      <c r="B36" s="361"/>
      <c r="C36" s="361"/>
      <c r="D36" s="361"/>
      <c r="E36" s="361"/>
      <c r="F36" s="361"/>
      <c r="G36" s="361"/>
      <c r="H36" s="361"/>
      <c r="I36" s="361"/>
      <c r="J36" s="361"/>
      <c r="K36" s="361"/>
      <c r="L36" s="361"/>
      <c r="M36" s="361"/>
      <c r="N36" s="361"/>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208"/>
      <c r="AO36" s="362"/>
      <c r="AP36" s="362"/>
      <c r="AQ36" s="362"/>
      <c r="AR36" s="362"/>
      <c r="AS36" s="362"/>
      <c r="AT36" s="362"/>
      <c r="AU36" s="362"/>
      <c r="AV36" s="362"/>
      <c r="AW36" s="362"/>
      <c r="AX36" s="362"/>
      <c r="AY36" s="362"/>
      <c r="AZ36" s="362"/>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row>
    <row r="37" spans="1:78" ht="30" customHeight="1">
      <c r="A37" s="490" t="s">
        <v>405</v>
      </c>
      <c r="B37" s="504" t="s">
        <v>44</v>
      </c>
      <c r="C37" s="478"/>
      <c r="D37" s="504" t="s">
        <v>45</v>
      </c>
      <c r="E37" s="478"/>
      <c r="F37" s="504" t="s">
        <v>46</v>
      </c>
      <c r="G37" s="478"/>
      <c r="H37" s="504" t="s">
        <v>47</v>
      </c>
      <c r="I37" s="478"/>
      <c r="J37" s="504" t="s">
        <v>48</v>
      </c>
      <c r="K37" s="478"/>
      <c r="L37" s="504" t="s">
        <v>49</v>
      </c>
      <c r="M37" s="478"/>
      <c r="N37" s="504" t="s">
        <v>50</v>
      </c>
      <c r="O37" s="478"/>
      <c r="P37" s="504" t="s">
        <v>51</v>
      </c>
      <c r="Q37" s="478"/>
      <c r="R37" s="504" t="s">
        <v>52</v>
      </c>
      <c r="S37" s="478"/>
      <c r="T37" s="504" t="s">
        <v>53</v>
      </c>
      <c r="U37" s="478"/>
      <c r="V37" s="504" t="s">
        <v>54</v>
      </c>
      <c r="W37" s="478"/>
      <c r="X37" s="504" t="s">
        <v>55</v>
      </c>
      <c r="Y37" s="478"/>
      <c r="Z37" s="504" t="s">
        <v>406</v>
      </c>
      <c r="AA37" s="478"/>
      <c r="AB37" s="504" t="s">
        <v>407</v>
      </c>
      <c r="AC37" s="477"/>
      <c r="AD37" s="477"/>
      <c r="AE37" s="477"/>
      <c r="AF37" s="477"/>
      <c r="AG37" s="478"/>
      <c r="AH37" s="504" t="s">
        <v>408</v>
      </c>
      <c r="AI37" s="477"/>
      <c r="AJ37" s="477"/>
      <c r="AK37" s="477"/>
      <c r="AL37" s="477"/>
      <c r="AM37" s="478"/>
      <c r="AN37" s="208"/>
      <c r="AO37" s="504" t="s">
        <v>44</v>
      </c>
      <c r="AP37" s="478"/>
      <c r="AQ37" s="504" t="s">
        <v>45</v>
      </c>
      <c r="AR37" s="478"/>
      <c r="AS37" s="504" t="s">
        <v>46</v>
      </c>
      <c r="AT37" s="478"/>
      <c r="AU37" s="504" t="s">
        <v>47</v>
      </c>
      <c r="AV37" s="478"/>
      <c r="AW37" s="504" t="s">
        <v>48</v>
      </c>
      <c r="AX37" s="478"/>
      <c r="AY37" s="504" t="s">
        <v>49</v>
      </c>
      <c r="AZ37" s="478"/>
      <c r="BA37" s="504" t="s">
        <v>50</v>
      </c>
      <c r="BB37" s="478"/>
      <c r="BC37" s="504" t="s">
        <v>51</v>
      </c>
      <c r="BD37" s="478"/>
      <c r="BE37" s="504" t="s">
        <v>52</v>
      </c>
      <c r="BF37" s="478"/>
      <c r="BG37" s="504" t="s">
        <v>53</v>
      </c>
      <c r="BH37" s="478"/>
      <c r="BI37" s="504" t="s">
        <v>54</v>
      </c>
      <c r="BJ37" s="478"/>
      <c r="BK37" s="504" t="s">
        <v>55</v>
      </c>
      <c r="BL37" s="478"/>
      <c r="BM37" s="504" t="s">
        <v>406</v>
      </c>
      <c r="BN37" s="478"/>
      <c r="BO37" s="504" t="s">
        <v>407</v>
      </c>
      <c r="BP37" s="477"/>
      <c r="BQ37" s="477"/>
      <c r="BR37" s="477"/>
      <c r="BS37" s="477"/>
      <c r="BT37" s="478"/>
      <c r="BU37" s="504" t="s">
        <v>408</v>
      </c>
      <c r="BV37" s="477"/>
      <c r="BW37" s="477"/>
      <c r="BX37" s="477"/>
      <c r="BY37" s="477"/>
      <c r="BZ37" s="478"/>
    </row>
    <row r="38" spans="1:78" ht="51.75" customHeight="1">
      <c r="A38" s="492"/>
      <c r="B38" s="343" t="s">
        <v>409</v>
      </c>
      <c r="C38" s="343" t="s">
        <v>410</v>
      </c>
      <c r="D38" s="343" t="s">
        <v>409</v>
      </c>
      <c r="E38" s="343" t="s">
        <v>410</v>
      </c>
      <c r="F38" s="343" t="s">
        <v>409</v>
      </c>
      <c r="G38" s="343" t="s">
        <v>410</v>
      </c>
      <c r="H38" s="343" t="s">
        <v>409</v>
      </c>
      <c r="I38" s="343" t="s">
        <v>410</v>
      </c>
      <c r="J38" s="343" t="s">
        <v>409</v>
      </c>
      <c r="K38" s="343" t="s">
        <v>410</v>
      </c>
      <c r="L38" s="343" t="s">
        <v>409</v>
      </c>
      <c r="M38" s="343" t="s">
        <v>410</v>
      </c>
      <c r="N38" s="343" t="s">
        <v>409</v>
      </c>
      <c r="O38" s="343" t="s">
        <v>410</v>
      </c>
      <c r="P38" s="343" t="s">
        <v>409</v>
      </c>
      <c r="Q38" s="343" t="s">
        <v>410</v>
      </c>
      <c r="R38" s="343" t="s">
        <v>409</v>
      </c>
      <c r="S38" s="343" t="s">
        <v>410</v>
      </c>
      <c r="T38" s="343" t="s">
        <v>409</v>
      </c>
      <c r="U38" s="343" t="s">
        <v>410</v>
      </c>
      <c r="V38" s="343" t="s">
        <v>409</v>
      </c>
      <c r="W38" s="343" t="s">
        <v>410</v>
      </c>
      <c r="X38" s="343" t="s">
        <v>409</v>
      </c>
      <c r="Y38" s="343" t="s">
        <v>410</v>
      </c>
      <c r="Z38" s="343" t="s">
        <v>409</v>
      </c>
      <c r="AA38" s="343" t="s">
        <v>410</v>
      </c>
      <c r="AB38" s="363" t="s">
        <v>411</v>
      </c>
      <c r="AC38" s="363" t="s">
        <v>412</v>
      </c>
      <c r="AD38" s="363" t="s">
        <v>413</v>
      </c>
      <c r="AE38" s="363" t="s">
        <v>414</v>
      </c>
      <c r="AF38" s="364" t="s">
        <v>415</v>
      </c>
      <c r="AG38" s="363" t="s">
        <v>416</v>
      </c>
      <c r="AH38" s="343" t="s">
        <v>417</v>
      </c>
      <c r="AI38" s="365" t="s">
        <v>418</v>
      </c>
      <c r="AJ38" s="343" t="s">
        <v>419</v>
      </c>
      <c r="AK38" s="343" t="s">
        <v>420</v>
      </c>
      <c r="AL38" s="343" t="s">
        <v>421</v>
      </c>
      <c r="AM38" s="343" t="s">
        <v>422</v>
      </c>
      <c r="AN38" s="208"/>
      <c r="AO38" s="343" t="s">
        <v>409</v>
      </c>
      <c r="AP38" s="343" t="s">
        <v>410</v>
      </c>
      <c r="AQ38" s="343" t="s">
        <v>409</v>
      </c>
      <c r="AR38" s="343" t="s">
        <v>410</v>
      </c>
      <c r="AS38" s="343" t="s">
        <v>409</v>
      </c>
      <c r="AT38" s="343" t="s">
        <v>410</v>
      </c>
      <c r="AU38" s="343" t="s">
        <v>409</v>
      </c>
      <c r="AV38" s="343" t="s">
        <v>410</v>
      </c>
      <c r="AW38" s="343" t="s">
        <v>409</v>
      </c>
      <c r="AX38" s="343" t="s">
        <v>410</v>
      </c>
      <c r="AY38" s="343" t="s">
        <v>409</v>
      </c>
      <c r="AZ38" s="343" t="s">
        <v>410</v>
      </c>
      <c r="BA38" s="343" t="s">
        <v>409</v>
      </c>
      <c r="BB38" s="343" t="s">
        <v>410</v>
      </c>
      <c r="BC38" s="343" t="s">
        <v>409</v>
      </c>
      <c r="BD38" s="343" t="s">
        <v>410</v>
      </c>
      <c r="BE38" s="343" t="s">
        <v>409</v>
      </c>
      <c r="BF38" s="343" t="s">
        <v>410</v>
      </c>
      <c r="BG38" s="343" t="s">
        <v>409</v>
      </c>
      <c r="BH38" s="343" t="s">
        <v>410</v>
      </c>
      <c r="BI38" s="343" t="s">
        <v>409</v>
      </c>
      <c r="BJ38" s="343" t="s">
        <v>410</v>
      </c>
      <c r="BK38" s="343" t="s">
        <v>409</v>
      </c>
      <c r="BL38" s="343" t="s">
        <v>410</v>
      </c>
      <c r="BM38" s="343" t="s">
        <v>409</v>
      </c>
      <c r="BN38" s="343" t="s">
        <v>410</v>
      </c>
      <c r="BO38" s="363" t="s">
        <v>411</v>
      </c>
      <c r="BP38" s="363" t="s">
        <v>412</v>
      </c>
      <c r="BQ38" s="363" t="s">
        <v>413</v>
      </c>
      <c r="BR38" s="363" t="s">
        <v>414</v>
      </c>
      <c r="BS38" s="364" t="s">
        <v>415</v>
      </c>
      <c r="BT38" s="363" t="s">
        <v>416</v>
      </c>
      <c r="BU38" s="343" t="s">
        <v>417</v>
      </c>
      <c r="BV38" s="365" t="s">
        <v>418</v>
      </c>
      <c r="BW38" s="343" t="s">
        <v>419</v>
      </c>
      <c r="BX38" s="343" t="s">
        <v>420</v>
      </c>
      <c r="BY38" s="343" t="s">
        <v>421</v>
      </c>
      <c r="BZ38" s="343" t="s">
        <v>422</v>
      </c>
    </row>
    <row r="39" spans="1:78" ht="13.5" customHeight="1">
      <c r="A39" s="368" t="s">
        <v>423</v>
      </c>
      <c r="B39" s="368"/>
      <c r="C39" s="368"/>
      <c r="D39" s="368"/>
      <c r="E39" s="368"/>
      <c r="F39" s="368"/>
      <c r="G39" s="368"/>
      <c r="H39" s="368"/>
      <c r="I39" s="368"/>
      <c r="J39" s="368"/>
      <c r="K39" s="368"/>
      <c r="L39" s="368"/>
      <c r="M39" s="368"/>
      <c r="N39" s="368"/>
      <c r="O39" s="369"/>
      <c r="P39" s="369"/>
      <c r="Q39" s="369"/>
      <c r="R39" s="369"/>
      <c r="S39" s="369"/>
      <c r="T39" s="369"/>
      <c r="U39" s="369"/>
      <c r="V39" s="369"/>
      <c r="W39" s="369"/>
      <c r="X39" s="369"/>
      <c r="Y39" s="369"/>
      <c r="Z39" s="370">
        <f t="shared" ref="Z39:AA54" si="6">B39+D39+F39+H39+J39+L39+N39+P39+R39+T39+V39+X39</f>
        <v>0</v>
      </c>
      <c r="AA39" s="371">
        <f t="shared" si="6"/>
        <v>0</v>
      </c>
      <c r="AB39" s="373"/>
      <c r="AC39" s="373"/>
      <c r="AD39" s="373"/>
      <c r="AE39" s="373"/>
      <c r="AF39" s="373"/>
      <c r="AG39" s="373"/>
      <c r="AH39" s="373"/>
      <c r="AI39" s="373"/>
      <c r="AJ39" s="373"/>
      <c r="AK39" s="373"/>
      <c r="AL39" s="373"/>
      <c r="AM39" s="374"/>
      <c r="AN39" s="208"/>
      <c r="AO39" s="368"/>
      <c r="AP39" s="368"/>
      <c r="AQ39" s="375">
        <v>3</v>
      </c>
      <c r="AR39" s="368"/>
      <c r="AS39" s="368">
        <v>6</v>
      </c>
      <c r="AT39" s="368"/>
      <c r="AU39" s="368">
        <v>1</v>
      </c>
      <c r="AV39" s="368"/>
      <c r="AW39" s="368">
        <v>7</v>
      </c>
      <c r="AX39" s="368"/>
      <c r="AY39" s="368"/>
      <c r="AZ39" s="368"/>
      <c r="BA39" s="368"/>
      <c r="BB39" s="369"/>
      <c r="BC39" s="369"/>
      <c r="BD39" s="369"/>
      <c r="BE39" s="369"/>
      <c r="BF39" s="369"/>
      <c r="BG39" s="369"/>
      <c r="BH39" s="369"/>
      <c r="BI39" s="369"/>
      <c r="BJ39" s="369"/>
      <c r="BK39" s="369"/>
      <c r="BL39" s="369"/>
      <c r="BM39" s="370">
        <f t="shared" ref="BM39:BN54" si="7">AO39+AQ39+AS39+AU39+AW39+AY39+BA39+BC39+BE39+BG39+BI39+BK39</f>
        <v>17</v>
      </c>
      <c r="BN39" s="371">
        <f t="shared" si="7"/>
        <v>0</v>
      </c>
      <c r="BO39" s="372"/>
      <c r="BP39" s="372"/>
      <c r="BQ39" s="372"/>
      <c r="BR39" s="372"/>
      <c r="BS39" s="373"/>
      <c r="BT39" s="373"/>
      <c r="BU39" s="373"/>
      <c r="BV39" s="373"/>
      <c r="BW39" s="373"/>
      <c r="BX39" s="373"/>
      <c r="BY39" s="373"/>
      <c r="BZ39" s="374"/>
    </row>
    <row r="40" spans="1:78" ht="13.5" customHeight="1">
      <c r="A40" s="368" t="s">
        <v>424</v>
      </c>
      <c r="B40" s="368"/>
      <c r="C40" s="368"/>
      <c r="D40" s="368"/>
      <c r="E40" s="368"/>
      <c r="F40" s="368"/>
      <c r="G40" s="368"/>
      <c r="H40" s="368"/>
      <c r="I40" s="368"/>
      <c r="J40" s="368"/>
      <c r="K40" s="368"/>
      <c r="L40" s="368"/>
      <c r="M40" s="368"/>
      <c r="N40" s="368"/>
      <c r="O40" s="369"/>
      <c r="P40" s="369"/>
      <c r="Q40" s="369"/>
      <c r="R40" s="369"/>
      <c r="S40" s="369"/>
      <c r="T40" s="369"/>
      <c r="U40" s="369"/>
      <c r="V40" s="369"/>
      <c r="W40" s="369"/>
      <c r="X40" s="369"/>
      <c r="Y40" s="369"/>
      <c r="Z40" s="370">
        <f t="shared" si="6"/>
        <v>0</v>
      </c>
      <c r="AA40" s="371">
        <f t="shared" si="6"/>
        <v>0</v>
      </c>
      <c r="AB40" s="373"/>
      <c r="AC40" s="373"/>
      <c r="AD40" s="373"/>
      <c r="AE40" s="373"/>
      <c r="AF40" s="373"/>
      <c r="AG40" s="373"/>
      <c r="AH40" s="373"/>
      <c r="AI40" s="373"/>
      <c r="AJ40" s="373"/>
      <c r="AK40" s="373"/>
      <c r="AL40" s="373"/>
      <c r="AM40" s="373"/>
      <c r="AN40" s="208"/>
      <c r="AO40" s="368"/>
      <c r="AP40" s="368"/>
      <c r="AQ40" s="368">
        <v>39</v>
      </c>
      <c r="AR40" s="368"/>
      <c r="AS40" s="368">
        <v>22</v>
      </c>
      <c r="AT40" s="368"/>
      <c r="AU40" s="368">
        <v>4</v>
      </c>
      <c r="AV40" s="368"/>
      <c r="AW40" s="368">
        <v>34</v>
      </c>
      <c r="AX40" s="368"/>
      <c r="AY40" s="368"/>
      <c r="AZ40" s="368"/>
      <c r="BA40" s="368"/>
      <c r="BB40" s="369"/>
      <c r="BC40" s="369"/>
      <c r="BD40" s="369"/>
      <c r="BE40" s="369"/>
      <c r="BF40" s="369"/>
      <c r="BG40" s="369"/>
      <c r="BH40" s="369"/>
      <c r="BI40" s="369"/>
      <c r="BJ40" s="369"/>
      <c r="BK40" s="369"/>
      <c r="BL40" s="369"/>
      <c r="BM40" s="370">
        <f t="shared" si="7"/>
        <v>99</v>
      </c>
      <c r="BN40" s="371">
        <f t="shared" si="7"/>
        <v>0</v>
      </c>
      <c r="BO40" s="372"/>
      <c r="BP40" s="372"/>
      <c r="BQ40" s="372"/>
      <c r="BR40" s="372"/>
      <c r="BS40" s="373"/>
      <c r="BT40" s="373"/>
      <c r="BU40" s="373"/>
      <c r="BV40" s="373"/>
      <c r="BW40" s="373"/>
      <c r="BX40" s="373"/>
      <c r="BY40" s="373"/>
      <c r="BZ40" s="373"/>
    </row>
    <row r="41" spans="1:78" ht="13.5" customHeight="1">
      <c r="A41" s="368" t="s">
        <v>425</v>
      </c>
      <c r="B41" s="368"/>
      <c r="C41" s="368"/>
      <c r="D41" s="368"/>
      <c r="E41" s="368"/>
      <c r="F41" s="368"/>
      <c r="G41" s="368"/>
      <c r="H41" s="368"/>
      <c r="I41" s="368"/>
      <c r="J41" s="368"/>
      <c r="K41" s="368"/>
      <c r="L41" s="368"/>
      <c r="M41" s="368"/>
      <c r="N41" s="368"/>
      <c r="O41" s="369"/>
      <c r="P41" s="369"/>
      <c r="Q41" s="369"/>
      <c r="R41" s="369"/>
      <c r="S41" s="369"/>
      <c r="T41" s="369"/>
      <c r="U41" s="369"/>
      <c r="V41" s="369"/>
      <c r="W41" s="369"/>
      <c r="X41" s="369"/>
      <c r="Y41" s="369"/>
      <c r="Z41" s="370">
        <f t="shared" si="6"/>
        <v>0</v>
      </c>
      <c r="AA41" s="371">
        <f t="shared" si="6"/>
        <v>0</v>
      </c>
      <c r="AB41" s="373"/>
      <c r="AC41" s="373"/>
      <c r="AD41" s="373"/>
      <c r="AE41" s="373"/>
      <c r="AF41" s="373"/>
      <c r="AG41" s="373"/>
      <c r="AH41" s="373"/>
      <c r="AI41" s="373"/>
      <c r="AJ41" s="373"/>
      <c r="AK41" s="373"/>
      <c r="AL41" s="373"/>
      <c r="AM41" s="373"/>
      <c r="AN41" s="208"/>
      <c r="AO41" s="368"/>
      <c r="AP41" s="368"/>
      <c r="AQ41" s="375">
        <v>9</v>
      </c>
      <c r="AR41" s="368"/>
      <c r="AS41" s="368">
        <v>2</v>
      </c>
      <c r="AT41" s="368"/>
      <c r="AU41" s="368">
        <v>1</v>
      </c>
      <c r="AV41" s="368"/>
      <c r="AW41" s="368"/>
      <c r="AX41" s="368"/>
      <c r="AY41" s="368"/>
      <c r="AZ41" s="368"/>
      <c r="BA41" s="368"/>
      <c r="BB41" s="369"/>
      <c r="BC41" s="369"/>
      <c r="BD41" s="369"/>
      <c r="BE41" s="369"/>
      <c r="BF41" s="369"/>
      <c r="BG41" s="369"/>
      <c r="BH41" s="369"/>
      <c r="BI41" s="369"/>
      <c r="BJ41" s="369"/>
      <c r="BK41" s="369"/>
      <c r="BL41" s="369"/>
      <c r="BM41" s="370">
        <f t="shared" si="7"/>
        <v>12</v>
      </c>
      <c r="BN41" s="371">
        <f t="shared" si="7"/>
        <v>0</v>
      </c>
      <c r="BO41" s="372"/>
      <c r="BP41" s="372"/>
      <c r="BQ41" s="372"/>
      <c r="BR41" s="372"/>
      <c r="BS41" s="373"/>
      <c r="BT41" s="373"/>
      <c r="BU41" s="373"/>
      <c r="BV41" s="373"/>
      <c r="BW41" s="373"/>
      <c r="BX41" s="373"/>
      <c r="BY41" s="373"/>
      <c r="BZ41" s="373"/>
    </row>
    <row r="42" spans="1:78" ht="13.5" customHeight="1">
      <c r="A42" s="368" t="s">
        <v>426</v>
      </c>
      <c r="B42" s="368"/>
      <c r="C42" s="368"/>
      <c r="D42" s="368"/>
      <c r="E42" s="368"/>
      <c r="F42" s="368"/>
      <c r="G42" s="368"/>
      <c r="H42" s="368"/>
      <c r="I42" s="368"/>
      <c r="J42" s="368"/>
      <c r="K42" s="368"/>
      <c r="L42" s="368"/>
      <c r="M42" s="368"/>
      <c r="N42" s="368"/>
      <c r="O42" s="369"/>
      <c r="P42" s="369"/>
      <c r="Q42" s="369"/>
      <c r="R42" s="369"/>
      <c r="S42" s="369"/>
      <c r="T42" s="369"/>
      <c r="U42" s="369"/>
      <c r="V42" s="369"/>
      <c r="W42" s="369"/>
      <c r="X42" s="369"/>
      <c r="Y42" s="369"/>
      <c r="Z42" s="370">
        <f t="shared" si="6"/>
        <v>0</v>
      </c>
      <c r="AA42" s="371">
        <f t="shared" si="6"/>
        <v>0</v>
      </c>
      <c r="AB42" s="373"/>
      <c r="AC42" s="373"/>
      <c r="AD42" s="373"/>
      <c r="AE42" s="373"/>
      <c r="AF42" s="373"/>
      <c r="AG42" s="373"/>
      <c r="AH42" s="373"/>
      <c r="AI42" s="373"/>
      <c r="AJ42" s="373"/>
      <c r="AK42" s="373"/>
      <c r="AL42" s="373"/>
      <c r="AM42" s="373"/>
      <c r="AN42" s="208"/>
      <c r="AO42" s="368"/>
      <c r="AP42" s="368"/>
      <c r="AQ42" s="368">
        <v>16</v>
      </c>
      <c r="AR42" s="368"/>
      <c r="AS42" s="380"/>
      <c r="AT42" s="368"/>
      <c r="AU42" s="368">
        <v>5</v>
      </c>
      <c r="AV42" s="368"/>
      <c r="AW42" s="368">
        <v>7</v>
      </c>
      <c r="AX42" s="368"/>
      <c r="AY42" s="368"/>
      <c r="AZ42" s="368"/>
      <c r="BA42" s="368"/>
      <c r="BB42" s="369"/>
      <c r="BC42" s="369"/>
      <c r="BD42" s="369"/>
      <c r="BE42" s="369"/>
      <c r="BF42" s="369"/>
      <c r="BG42" s="369"/>
      <c r="BH42" s="369"/>
      <c r="BI42" s="369"/>
      <c r="BJ42" s="369"/>
      <c r="BK42" s="369"/>
      <c r="BL42" s="369"/>
      <c r="BM42" s="370">
        <f t="shared" si="7"/>
        <v>28</v>
      </c>
      <c r="BN42" s="371">
        <f t="shared" si="7"/>
        <v>0</v>
      </c>
      <c r="BO42" s="372"/>
      <c r="BP42" s="372"/>
      <c r="BQ42" s="372"/>
      <c r="BR42" s="372"/>
      <c r="BS42" s="373"/>
      <c r="BT42" s="373"/>
      <c r="BU42" s="373"/>
      <c r="BV42" s="373"/>
      <c r="BW42" s="373"/>
      <c r="BX42" s="373"/>
      <c r="BY42" s="373"/>
      <c r="BZ42" s="373"/>
    </row>
    <row r="43" spans="1:78" ht="13.5" customHeight="1">
      <c r="A43" s="368" t="s">
        <v>427</v>
      </c>
      <c r="B43" s="368"/>
      <c r="C43" s="368"/>
      <c r="D43" s="368"/>
      <c r="E43" s="368"/>
      <c r="F43" s="368"/>
      <c r="G43" s="368"/>
      <c r="H43" s="368"/>
      <c r="I43" s="368"/>
      <c r="J43" s="368"/>
      <c r="K43" s="368"/>
      <c r="L43" s="368"/>
      <c r="M43" s="368"/>
      <c r="N43" s="368"/>
      <c r="O43" s="369"/>
      <c r="P43" s="369"/>
      <c r="Q43" s="369"/>
      <c r="R43" s="369"/>
      <c r="S43" s="369"/>
      <c r="T43" s="369"/>
      <c r="U43" s="369"/>
      <c r="V43" s="369"/>
      <c r="W43" s="369"/>
      <c r="X43" s="369"/>
      <c r="Y43" s="369"/>
      <c r="Z43" s="370">
        <f t="shared" si="6"/>
        <v>0</v>
      </c>
      <c r="AA43" s="371">
        <f t="shared" si="6"/>
        <v>0</v>
      </c>
      <c r="AB43" s="373"/>
      <c r="AC43" s="373"/>
      <c r="AD43" s="373"/>
      <c r="AE43" s="373"/>
      <c r="AF43" s="373"/>
      <c r="AG43" s="373"/>
      <c r="AH43" s="373"/>
      <c r="AI43" s="373"/>
      <c r="AJ43" s="373"/>
      <c r="AK43" s="373"/>
      <c r="AL43" s="373"/>
      <c r="AM43" s="373"/>
      <c r="AN43" s="208"/>
      <c r="AO43" s="368"/>
      <c r="AP43" s="368"/>
      <c r="AQ43" s="368">
        <v>101</v>
      </c>
      <c r="AR43" s="368"/>
      <c r="AS43" s="368">
        <v>44</v>
      </c>
      <c r="AT43" s="368"/>
      <c r="AU43" s="368">
        <v>38</v>
      </c>
      <c r="AV43" s="368"/>
      <c r="AW43" s="368">
        <v>65</v>
      </c>
      <c r="AX43" s="368"/>
      <c r="AY43" s="368"/>
      <c r="AZ43" s="368"/>
      <c r="BA43" s="368"/>
      <c r="BB43" s="369"/>
      <c r="BC43" s="369"/>
      <c r="BD43" s="369"/>
      <c r="BE43" s="369"/>
      <c r="BF43" s="369"/>
      <c r="BG43" s="369"/>
      <c r="BH43" s="369"/>
      <c r="BI43" s="369"/>
      <c r="BJ43" s="369"/>
      <c r="BK43" s="369"/>
      <c r="BL43" s="369"/>
      <c r="BM43" s="370">
        <f t="shared" si="7"/>
        <v>248</v>
      </c>
      <c r="BN43" s="371">
        <f t="shared" si="7"/>
        <v>0</v>
      </c>
      <c r="BO43" s="372"/>
      <c r="BP43" s="372"/>
      <c r="BQ43" s="372"/>
      <c r="BR43" s="372"/>
      <c r="BS43" s="373"/>
      <c r="BT43" s="373"/>
      <c r="BU43" s="373"/>
      <c r="BV43" s="373"/>
      <c r="BW43" s="373"/>
      <c r="BX43" s="373"/>
      <c r="BY43" s="373"/>
      <c r="BZ43" s="373"/>
    </row>
    <row r="44" spans="1:78" ht="13.5" customHeight="1">
      <c r="A44" s="368" t="s">
        <v>428</v>
      </c>
      <c r="B44" s="368"/>
      <c r="C44" s="368"/>
      <c r="D44" s="368"/>
      <c r="E44" s="368"/>
      <c r="F44" s="368"/>
      <c r="G44" s="368"/>
      <c r="H44" s="368"/>
      <c r="I44" s="368"/>
      <c r="J44" s="368"/>
      <c r="K44" s="368"/>
      <c r="L44" s="368"/>
      <c r="M44" s="368"/>
      <c r="N44" s="368"/>
      <c r="O44" s="369"/>
      <c r="P44" s="369"/>
      <c r="Q44" s="369"/>
      <c r="R44" s="369"/>
      <c r="S44" s="369"/>
      <c r="T44" s="369"/>
      <c r="U44" s="369"/>
      <c r="V44" s="369"/>
      <c r="W44" s="369"/>
      <c r="X44" s="369"/>
      <c r="Y44" s="369"/>
      <c r="Z44" s="370">
        <f t="shared" si="6"/>
        <v>0</v>
      </c>
      <c r="AA44" s="371">
        <f t="shared" si="6"/>
        <v>0</v>
      </c>
      <c r="AB44" s="373"/>
      <c r="AC44" s="373"/>
      <c r="AD44" s="373"/>
      <c r="AE44" s="373"/>
      <c r="AF44" s="373"/>
      <c r="AG44" s="373"/>
      <c r="AH44" s="373"/>
      <c r="AI44" s="373"/>
      <c r="AJ44" s="373"/>
      <c r="AK44" s="373"/>
      <c r="AL44" s="373"/>
      <c r="AM44" s="373"/>
      <c r="AN44" s="208"/>
      <c r="AO44" s="368"/>
      <c r="AP44" s="368"/>
      <c r="AQ44" s="368">
        <v>73</v>
      </c>
      <c r="AR44" s="368"/>
      <c r="AS44" s="368">
        <v>34</v>
      </c>
      <c r="AT44" s="368"/>
      <c r="AU44" s="368">
        <v>43</v>
      </c>
      <c r="AV44" s="368"/>
      <c r="AW44" s="368">
        <v>91</v>
      </c>
      <c r="AX44" s="368"/>
      <c r="AY44" s="368"/>
      <c r="AZ44" s="368"/>
      <c r="BA44" s="368"/>
      <c r="BB44" s="369"/>
      <c r="BC44" s="369"/>
      <c r="BD44" s="369"/>
      <c r="BE44" s="369"/>
      <c r="BF44" s="369"/>
      <c r="BG44" s="369"/>
      <c r="BH44" s="369"/>
      <c r="BI44" s="369"/>
      <c r="BJ44" s="369"/>
      <c r="BK44" s="369"/>
      <c r="BL44" s="369"/>
      <c r="BM44" s="370">
        <f t="shared" si="7"/>
        <v>241</v>
      </c>
      <c r="BN44" s="371">
        <f t="shared" si="7"/>
        <v>0</v>
      </c>
      <c r="BO44" s="372"/>
      <c r="BP44" s="372"/>
      <c r="BQ44" s="372"/>
      <c r="BR44" s="372"/>
      <c r="BS44" s="373"/>
      <c r="BT44" s="373"/>
      <c r="BU44" s="373"/>
      <c r="BV44" s="373"/>
      <c r="BW44" s="373"/>
      <c r="BX44" s="373"/>
      <c r="BY44" s="373"/>
      <c r="BZ44" s="373"/>
    </row>
    <row r="45" spans="1:78" ht="13.5" customHeight="1">
      <c r="A45" s="368" t="s">
        <v>429</v>
      </c>
      <c r="B45" s="368"/>
      <c r="C45" s="368"/>
      <c r="D45" s="368"/>
      <c r="E45" s="368"/>
      <c r="F45" s="368"/>
      <c r="G45" s="368"/>
      <c r="H45" s="368"/>
      <c r="I45" s="368"/>
      <c r="J45" s="368"/>
      <c r="K45" s="368"/>
      <c r="L45" s="368"/>
      <c r="M45" s="368"/>
      <c r="N45" s="368"/>
      <c r="O45" s="369"/>
      <c r="P45" s="369"/>
      <c r="Q45" s="369"/>
      <c r="R45" s="369"/>
      <c r="S45" s="369"/>
      <c r="T45" s="369"/>
      <c r="U45" s="369"/>
      <c r="V45" s="369"/>
      <c r="W45" s="369"/>
      <c r="X45" s="369"/>
      <c r="Y45" s="369"/>
      <c r="Z45" s="370">
        <f t="shared" si="6"/>
        <v>0</v>
      </c>
      <c r="AA45" s="371">
        <f t="shared" si="6"/>
        <v>0</v>
      </c>
      <c r="AB45" s="373"/>
      <c r="AC45" s="373"/>
      <c r="AD45" s="373"/>
      <c r="AE45" s="373"/>
      <c r="AF45" s="373"/>
      <c r="AG45" s="373"/>
      <c r="AH45" s="373"/>
      <c r="AI45" s="373"/>
      <c r="AJ45" s="373"/>
      <c r="AK45" s="373"/>
      <c r="AL45" s="373"/>
      <c r="AM45" s="373"/>
      <c r="AN45" s="208"/>
      <c r="AO45" s="368"/>
      <c r="AP45" s="368"/>
      <c r="AQ45" s="375">
        <v>10</v>
      </c>
      <c r="AR45" s="368"/>
      <c r="AS45" s="368">
        <v>7</v>
      </c>
      <c r="AT45" s="368"/>
      <c r="AU45" s="368">
        <v>1</v>
      </c>
      <c r="AV45" s="368"/>
      <c r="AW45" s="368">
        <v>13</v>
      </c>
      <c r="AX45" s="368"/>
      <c r="AY45" s="368"/>
      <c r="AZ45" s="368"/>
      <c r="BA45" s="368"/>
      <c r="BB45" s="369"/>
      <c r="BC45" s="369"/>
      <c r="BD45" s="369"/>
      <c r="BE45" s="369"/>
      <c r="BF45" s="369"/>
      <c r="BG45" s="369"/>
      <c r="BH45" s="369"/>
      <c r="BI45" s="369"/>
      <c r="BJ45" s="369"/>
      <c r="BK45" s="369"/>
      <c r="BL45" s="369"/>
      <c r="BM45" s="370">
        <f t="shared" si="7"/>
        <v>31</v>
      </c>
      <c r="BN45" s="371">
        <f t="shared" si="7"/>
        <v>0</v>
      </c>
      <c r="BO45" s="372"/>
      <c r="BP45" s="372"/>
      <c r="BQ45" s="372"/>
      <c r="BR45" s="372"/>
      <c r="BS45" s="373"/>
      <c r="BT45" s="373"/>
      <c r="BU45" s="373"/>
      <c r="BV45" s="373"/>
      <c r="BW45" s="373"/>
      <c r="BX45" s="373"/>
      <c r="BY45" s="373"/>
      <c r="BZ45" s="373"/>
    </row>
    <row r="46" spans="1:78" ht="13.5" customHeight="1">
      <c r="A46" s="368" t="s">
        <v>430</v>
      </c>
      <c r="B46" s="368"/>
      <c r="C46" s="368"/>
      <c r="D46" s="368"/>
      <c r="E46" s="368"/>
      <c r="F46" s="368"/>
      <c r="G46" s="368"/>
      <c r="H46" s="368"/>
      <c r="I46" s="368"/>
      <c r="J46" s="368"/>
      <c r="K46" s="368"/>
      <c r="L46" s="368"/>
      <c r="M46" s="368"/>
      <c r="N46" s="368"/>
      <c r="O46" s="369"/>
      <c r="P46" s="369"/>
      <c r="Q46" s="369"/>
      <c r="R46" s="369"/>
      <c r="S46" s="369"/>
      <c r="T46" s="369"/>
      <c r="U46" s="369"/>
      <c r="V46" s="369"/>
      <c r="W46" s="369"/>
      <c r="X46" s="369"/>
      <c r="Y46" s="369"/>
      <c r="Z46" s="370">
        <f t="shared" si="6"/>
        <v>0</v>
      </c>
      <c r="AA46" s="371">
        <f t="shared" si="6"/>
        <v>0</v>
      </c>
      <c r="AB46" s="373"/>
      <c r="AC46" s="373"/>
      <c r="AD46" s="373"/>
      <c r="AE46" s="373"/>
      <c r="AF46" s="373"/>
      <c r="AG46" s="373"/>
      <c r="AH46" s="373"/>
      <c r="AI46" s="373"/>
      <c r="AJ46" s="373"/>
      <c r="AK46" s="373"/>
      <c r="AL46" s="373"/>
      <c r="AM46" s="373"/>
      <c r="AN46" s="208"/>
      <c r="AO46" s="368"/>
      <c r="AP46" s="368"/>
      <c r="AQ46" s="368">
        <v>447</v>
      </c>
      <c r="AR46" s="368"/>
      <c r="AS46" s="368">
        <v>142</v>
      </c>
      <c r="AT46" s="368"/>
      <c r="AU46" s="368">
        <v>103</v>
      </c>
      <c r="AV46" s="368"/>
      <c r="AW46" s="368">
        <v>221</v>
      </c>
      <c r="AX46" s="368"/>
      <c r="AY46" s="368"/>
      <c r="AZ46" s="368"/>
      <c r="BA46" s="368"/>
      <c r="BB46" s="369"/>
      <c r="BC46" s="369"/>
      <c r="BD46" s="369"/>
      <c r="BE46" s="369"/>
      <c r="BF46" s="369"/>
      <c r="BG46" s="369"/>
      <c r="BH46" s="369"/>
      <c r="BI46" s="369"/>
      <c r="BJ46" s="369"/>
      <c r="BK46" s="369"/>
      <c r="BL46" s="369"/>
      <c r="BM46" s="370">
        <f t="shared" si="7"/>
        <v>913</v>
      </c>
      <c r="BN46" s="371">
        <f t="shared" si="7"/>
        <v>0</v>
      </c>
      <c r="BO46" s="372"/>
      <c r="BP46" s="372"/>
      <c r="BQ46" s="372"/>
      <c r="BR46" s="372"/>
      <c r="BS46" s="373"/>
      <c r="BT46" s="373"/>
      <c r="BU46" s="373"/>
      <c r="BV46" s="373"/>
      <c r="BW46" s="373"/>
      <c r="BX46" s="373"/>
      <c r="BY46" s="373"/>
      <c r="BZ46" s="373"/>
    </row>
    <row r="47" spans="1:78" ht="13.5" customHeight="1">
      <c r="A47" s="368" t="s">
        <v>431</v>
      </c>
      <c r="B47" s="368"/>
      <c r="C47" s="368"/>
      <c r="D47" s="368"/>
      <c r="E47" s="368"/>
      <c r="F47" s="368"/>
      <c r="G47" s="368"/>
      <c r="H47" s="368"/>
      <c r="I47" s="368"/>
      <c r="J47" s="368"/>
      <c r="K47" s="368"/>
      <c r="L47" s="368"/>
      <c r="M47" s="368"/>
      <c r="N47" s="368"/>
      <c r="O47" s="369"/>
      <c r="P47" s="369"/>
      <c r="Q47" s="369"/>
      <c r="R47" s="369"/>
      <c r="S47" s="369"/>
      <c r="T47" s="369"/>
      <c r="U47" s="369"/>
      <c r="V47" s="369"/>
      <c r="W47" s="369"/>
      <c r="X47" s="369"/>
      <c r="Y47" s="369"/>
      <c r="Z47" s="370">
        <f t="shared" si="6"/>
        <v>0</v>
      </c>
      <c r="AA47" s="371">
        <f t="shared" si="6"/>
        <v>0</v>
      </c>
      <c r="AB47" s="373"/>
      <c r="AC47" s="373"/>
      <c r="AD47" s="373"/>
      <c r="AE47" s="373"/>
      <c r="AF47" s="373"/>
      <c r="AG47" s="373"/>
      <c r="AH47" s="373"/>
      <c r="AI47" s="373"/>
      <c r="AJ47" s="373"/>
      <c r="AK47" s="373"/>
      <c r="AL47" s="373"/>
      <c r="AM47" s="373"/>
      <c r="AN47" s="208"/>
      <c r="AO47" s="368"/>
      <c r="AP47" s="368"/>
      <c r="AQ47" s="368">
        <v>171</v>
      </c>
      <c r="AR47" s="368"/>
      <c r="AS47" s="368">
        <v>143</v>
      </c>
      <c r="AT47" s="368"/>
      <c r="AU47" s="368">
        <v>47</v>
      </c>
      <c r="AV47" s="368"/>
      <c r="AW47" s="368">
        <v>240</v>
      </c>
      <c r="AX47" s="368"/>
      <c r="AY47" s="368"/>
      <c r="AZ47" s="368"/>
      <c r="BA47" s="368"/>
      <c r="BB47" s="369"/>
      <c r="BC47" s="369"/>
      <c r="BD47" s="369"/>
      <c r="BE47" s="369"/>
      <c r="BF47" s="369"/>
      <c r="BG47" s="369"/>
      <c r="BH47" s="369"/>
      <c r="BI47" s="369"/>
      <c r="BJ47" s="369"/>
      <c r="BK47" s="369"/>
      <c r="BL47" s="369"/>
      <c r="BM47" s="370">
        <f t="shared" si="7"/>
        <v>601</v>
      </c>
      <c r="BN47" s="371">
        <f t="shared" si="7"/>
        <v>0</v>
      </c>
      <c r="BO47" s="372"/>
      <c r="BP47" s="372"/>
      <c r="BQ47" s="372"/>
      <c r="BR47" s="372"/>
      <c r="BS47" s="373"/>
      <c r="BT47" s="373"/>
      <c r="BU47" s="373"/>
      <c r="BV47" s="373"/>
      <c r="BW47" s="373"/>
      <c r="BX47" s="373"/>
      <c r="BY47" s="373"/>
      <c r="BZ47" s="373"/>
    </row>
    <row r="48" spans="1:78" ht="13.5" customHeight="1">
      <c r="A48" s="368" t="s">
        <v>432</v>
      </c>
      <c r="B48" s="368"/>
      <c r="C48" s="368"/>
      <c r="D48" s="368"/>
      <c r="E48" s="368"/>
      <c r="F48" s="368"/>
      <c r="G48" s="368"/>
      <c r="H48" s="368"/>
      <c r="I48" s="368"/>
      <c r="J48" s="368"/>
      <c r="K48" s="368"/>
      <c r="L48" s="368"/>
      <c r="M48" s="368"/>
      <c r="N48" s="368"/>
      <c r="O48" s="369"/>
      <c r="P48" s="369"/>
      <c r="Q48" s="369"/>
      <c r="R48" s="369"/>
      <c r="S48" s="369"/>
      <c r="T48" s="369"/>
      <c r="U48" s="369"/>
      <c r="V48" s="369"/>
      <c r="W48" s="369"/>
      <c r="X48" s="369"/>
      <c r="Y48" s="369"/>
      <c r="Z48" s="370">
        <f t="shared" si="6"/>
        <v>0</v>
      </c>
      <c r="AA48" s="371">
        <f t="shared" si="6"/>
        <v>0</v>
      </c>
      <c r="AB48" s="373"/>
      <c r="AC48" s="373"/>
      <c r="AD48" s="373"/>
      <c r="AE48" s="373"/>
      <c r="AF48" s="373"/>
      <c r="AG48" s="373"/>
      <c r="AH48" s="373"/>
      <c r="AI48" s="373"/>
      <c r="AJ48" s="373"/>
      <c r="AK48" s="373"/>
      <c r="AL48" s="373"/>
      <c r="AM48" s="373"/>
      <c r="AN48" s="208"/>
      <c r="AO48" s="368"/>
      <c r="AP48" s="368"/>
      <c r="AQ48" s="375">
        <v>9</v>
      </c>
      <c r="AR48" s="368"/>
      <c r="AS48" s="368">
        <v>10</v>
      </c>
      <c r="AT48" s="368"/>
      <c r="AU48" s="368">
        <v>14</v>
      </c>
      <c r="AV48" s="368"/>
      <c r="AW48" s="368">
        <v>63</v>
      </c>
      <c r="AX48" s="368"/>
      <c r="AY48" s="368"/>
      <c r="AZ48" s="368"/>
      <c r="BA48" s="368"/>
      <c r="BB48" s="369"/>
      <c r="BC48" s="369"/>
      <c r="BD48" s="369"/>
      <c r="BE48" s="369"/>
      <c r="BF48" s="369"/>
      <c r="BG48" s="369"/>
      <c r="BH48" s="369"/>
      <c r="BI48" s="369"/>
      <c r="BJ48" s="369"/>
      <c r="BK48" s="369"/>
      <c r="BL48" s="369"/>
      <c r="BM48" s="370">
        <f t="shared" si="7"/>
        <v>96</v>
      </c>
      <c r="BN48" s="371">
        <f t="shared" si="7"/>
        <v>0</v>
      </c>
      <c r="BO48" s="372"/>
      <c r="BP48" s="372"/>
      <c r="BQ48" s="372"/>
      <c r="BR48" s="372"/>
      <c r="BS48" s="373"/>
      <c r="BT48" s="373"/>
      <c r="BU48" s="373"/>
      <c r="BV48" s="373"/>
      <c r="BW48" s="373"/>
      <c r="BX48" s="373"/>
      <c r="BY48" s="373"/>
      <c r="BZ48" s="373"/>
    </row>
    <row r="49" spans="1:78" ht="13.5" customHeight="1">
      <c r="A49" s="368" t="s">
        <v>433</v>
      </c>
      <c r="B49" s="368"/>
      <c r="C49" s="368"/>
      <c r="D49" s="368"/>
      <c r="E49" s="368"/>
      <c r="F49" s="368"/>
      <c r="G49" s="368"/>
      <c r="H49" s="368"/>
      <c r="I49" s="368"/>
      <c r="J49" s="368"/>
      <c r="K49" s="368"/>
      <c r="L49" s="368"/>
      <c r="M49" s="368"/>
      <c r="N49" s="368"/>
      <c r="O49" s="369"/>
      <c r="P49" s="369"/>
      <c r="Q49" s="369"/>
      <c r="R49" s="369"/>
      <c r="S49" s="369"/>
      <c r="T49" s="369"/>
      <c r="U49" s="369"/>
      <c r="V49" s="369"/>
      <c r="W49" s="369"/>
      <c r="X49" s="369"/>
      <c r="Y49" s="369"/>
      <c r="Z49" s="370">
        <f t="shared" si="6"/>
        <v>0</v>
      </c>
      <c r="AA49" s="371">
        <f t="shared" si="6"/>
        <v>0</v>
      </c>
      <c r="AB49" s="373"/>
      <c r="AC49" s="373"/>
      <c r="AD49" s="373"/>
      <c r="AE49" s="373"/>
      <c r="AF49" s="373"/>
      <c r="AG49" s="373"/>
      <c r="AH49" s="373"/>
      <c r="AI49" s="373"/>
      <c r="AJ49" s="373"/>
      <c r="AK49" s="373"/>
      <c r="AL49" s="373"/>
      <c r="AM49" s="373"/>
      <c r="AN49" s="208"/>
      <c r="AO49" s="368"/>
      <c r="AP49" s="368"/>
      <c r="AQ49" s="368">
        <v>64</v>
      </c>
      <c r="AR49" s="368"/>
      <c r="AS49" s="368">
        <v>25</v>
      </c>
      <c r="AT49" s="368"/>
      <c r="AU49" s="368">
        <v>7</v>
      </c>
      <c r="AV49" s="368"/>
      <c r="AW49" s="368">
        <v>76</v>
      </c>
      <c r="AX49" s="368"/>
      <c r="AY49" s="368"/>
      <c r="AZ49" s="368"/>
      <c r="BA49" s="368"/>
      <c r="BB49" s="369"/>
      <c r="BC49" s="369"/>
      <c r="BD49" s="369"/>
      <c r="BE49" s="369"/>
      <c r="BF49" s="369"/>
      <c r="BG49" s="369"/>
      <c r="BH49" s="369"/>
      <c r="BI49" s="369"/>
      <c r="BJ49" s="369"/>
      <c r="BK49" s="369"/>
      <c r="BL49" s="369"/>
      <c r="BM49" s="370">
        <f t="shared" si="7"/>
        <v>172</v>
      </c>
      <c r="BN49" s="371">
        <f t="shared" si="7"/>
        <v>0</v>
      </c>
      <c r="BO49" s="372"/>
      <c r="BP49" s="372"/>
      <c r="BQ49" s="372"/>
      <c r="BR49" s="372"/>
      <c r="BS49" s="373"/>
      <c r="BT49" s="373"/>
      <c r="BU49" s="373"/>
      <c r="BV49" s="373"/>
      <c r="BW49" s="373"/>
      <c r="BX49" s="373"/>
      <c r="BY49" s="373"/>
      <c r="BZ49" s="373"/>
    </row>
    <row r="50" spans="1:78" ht="13.5" customHeight="1">
      <c r="A50" s="368" t="s">
        <v>434</v>
      </c>
      <c r="B50" s="368"/>
      <c r="C50" s="368"/>
      <c r="D50" s="368"/>
      <c r="E50" s="368"/>
      <c r="F50" s="368"/>
      <c r="G50" s="368"/>
      <c r="H50" s="368"/>
      <c r="I50" s="368"/>
      <c r="J50" s="368"/>
      <c r="K50" s="368"/>
      <c r="L50" s="368"/>
      <c r="M50" s="368"/>
      <c r="N50" s="368"/>
      <c r="O50" s="369"/>
      <c r="P50" s="369"/>
      <c r="Q50" s="369"/>
      <c r="R50" s="369"/>
      <c r="S50" s="369"/>
      <c r="T50" s="369"/>
      <c r="U50" s="369"/>
      <c r="V50" s="369"/>
      <c r="W50" s="369"/>
      <c r="X50" s="369"/>
      <c r="Y50" s="369"/>
      <c r="Z50" s="370">
        <f t="shared" si="6"/>
        <v>0</v>
      </c>
      <c r="AA50" s="371">
        <f t="shared" si="6"/>
        <v>0</v>
      </c>
      <c r="AB50" s="373"/>
      <c r="AC50" s="373"/>
      <c r="AD50" s="373"/>
      <c r="AE50" s="373"/>
      <c r="AF50" s="373"/>
      <c r="AG50" s="373"/>
      <c r="AH50" s="373"/>
      <c r="AI50" s="373"/>
      <c r="AJ50" s="373"/>
      <c r="AK50" s="373"/>
      <c r="AL50" s="373"/>
      <c r="AM50" s="373"/>
      <c r="AN50" s="208"/>
      <c r="AO50" s="368"/>
      <c r="AP50" s="368"/>
      <c r="AQ50" s="368">
        <v>74</v>
      </c>
      <c r="AR50" s="368"/>
      <c r="AS50" s="368">
        <v>50</v>
      </c>
      <c r="AT50" s="368"/>
      <c r="AU50" s="368">
        <v>37</v>
      </c>
      <c r="AV50" s="368"/>
      <c r="AW50" s="368">
        <v>108</v>
      </c>
      <c r="AX50" s="368"/>
      <c r="AY50" s="368"/>
      <c r="AZ50" s="368"/>
      <c r="BA50" s="368"/>
      <c r="BB50" s="369"/>
      <c r="BC50" s="369"/>
      <c r="BD50" s="369"/>
      <c r="BE50" s="369"/>
      <c r="BF50" s="369"/>
      <c r="BG50" s="369"/>
      <c r="BH50" s="369"/>
      <c r="BI50" s="369"/>
      <c r="BJ50" s="369"/>
      <c r="BK50" s="369"/>
      <c r="BL50" s="369"/>
      <c r="BM50" s="370">
        <f t="shared" si="7"/>
        <v>269</v>
      </c>
      <c r="BN50" s="371">
        <f t="shared" si="7"/>
        <v>0</v>
      </c>
      <c r="BO50" s="372"/>
      <c r="BP50" s="372"/>
      <c r="BQ50" s="372"/>
      <c r="BR50" s="372"/>
      <c r="BS50" s="373"/>
      <c r="BT50" s="373"/>
      <c r="BU50" s="373"/>
      <c r="BV50" s="373"/>
      <c r="BW50" s="373"/>
      <c r="BX50" s="373"/>
      <c r="BY50" s="373"/>
      <c r="BZ50" s="373"/>
    </row>
    <row r="51" spans="1:78" ht="13.5" customHeight="1">
      <c r="A51" s="368" t="s">
        <v>435</v>
      </c>
      <c r="B51" s="368"/>
      <c r="C51" s="368"/>
      <c r="D51" s="368"/>
      <c r="E51" s="368"/>
      <c r="F51" s="368"/>
      <c r="G51" s="368"/>
      <c r="H51" s="368"/>
      <c r="I51" s="368"/>
      <c r="J51" s="368"/>
      <c r="K51" s="368"/>
      <c r="L51" s="368"/>
      <c r="M51" s="368"/>
      <c r="N51" s="368"/>
      <c r="O51" s="369"/>
      <c r="P51" s="369"/>
      <c r="Q51" s="369"/>
      <c r="R51" s="369"/>
      <c r="S51" s="369"/>
      <c r="T51" s="369"/>
      <c r="U51" s="369"/>
      <c r="V51" s="369"/>
      <c r="W51" s="369"/>
      <c r="X51" s="369"/>
      <c r="Y51" s="369"/>
      <c r="Z51" s="370">
        <f t="shared" si="6"/>
        <v>0</v>
      </c>
      <c r="AA51" s="371">
        <f t="shared" si="6"/>
        <v>0</v>
      </c>
      <c r="AB51" s="373"/>
      <c r="AC51" s="373"/>
      <c r="AD51" s="373"/>
      <c r="AE51" s="373"/>
      <c r="AF51" s="373"/>
      <c r="AG51" s="373"/>
      <c r="AH51" s="373"/>
      <c r="AI51" s="373"/>
      <c r="AJ51" s="373"/>
      <c r="AK51" s="373"/>
      <c r="AL51" s="373"/>
      <c r="AM51" s="373"/>
      <c r="AN51" s="208"/>
      <c r="AO51" s="368"/>
      <c r="AP51" s="368"/>
      <c r="AQ51" s="368">
        <v>4</v>
      </c>
      <c r="AR51" s="368"/>
      <c r="AS51" s="368">
        <v>4</v>
      </c>
      <c r="AT51" s="368"/>
      <c r="AU51" s="368">
        <v>0</v>
      </c>
      <c r="AV51" s="368"/>
      <c r="AW51" s="368">
        <v>1</v>
      </c>
      <c r="AX51" s="368"/>
      <c r="AY51" s="368"/>
      <c r="AZ51" s="368"/>
      <c r="BA51" s="368"/>
      <c r="BB51" s="369"/>
      <c r="BC51" s="369"/>
      <c r="BD51" s="369"/>
      <c r="BE51" s="369"/>
      <c r="BF51" s="369"/>
      <c r="BG51" s="369"/>
      <c r="BH51" s="369"/>
      <c r="BI51" s="369"/>
      <c r="BJ51" s="369"/>
      <c r="BK51" s="369"/>
      <c r="BL51" s="369"/>
      <c r="BM51" s="370">
        <f t="shared" si="7"/>
        <v>9</v>
      </c>
      <c r="BN51" s="371">
        <f t="shared" si="7"/>
        <v>0</v>
      </c>
      <c r="BO51" s="372"/>
      <c r="BP51" s="372"/>
      <c r="BQ51" s="372"/>
      <c r="BR51" s="372"/>
      <c r="BS51" s="373"/>
      <c r="BT51" s="373"/>
      <c r="BU51" s="373"/>
      <c r="BV51" s="373"/>
      <c r="BW51" s="373"/>
      <c r="BX51" s="373"/>
      <c r="BY51" s="373"/>
      <c r="BZ51" s="373"/>
    </row>
    <row r="52" spans="1:78" ht="13.5" customHeight="1">
      <c r="A52" s="368" t="s">
        <v>436</v>
      </c>
      <c r="B52" s="368"/>
      <c r="C52" s="368"/>
      <c r="D52" s="368"/>
      <c r="E52" s="368"/>
      <c r="F52" s="368"/>
      <c r="G52" s="368"/>
      <c r="H52" s="368"/>
      <c r="I52" s="368"/>
      <c r="J52" s="368"/>
      <c r="K52" s="368"/>
      <c r="L52" s="368"/>
      <c r="M52" s="368"/>
      <c r="N52" s="368"/>
      <c r="O52" s="369"/>
      <c r="P52" s="369"/>
      <c r="Q52" s="369"/>
      <c r="R52" s="369"/>
      <c r="S52" s="369"/>
      <c r="T52" s="369"/>
      <c r="U52" s="369"/>
      <c r="V52" s="369"/>
      <c r="W52" s="369"/>
      <c r="X52" s="369"/>
      <c r="Y52" s="369"/>
      <c r="Z52" s="370">
        <f t="shared" si="6"/>
        <v>0</v>
      </c>
      <c r="AA52" s="371">
        <f t="shared" si="6"/>
        <v>0</v>
      </c>
      <c r="AB52" s="373"/>
      <c r="AC52" s="373"/>
      <c r="AD52" s="373"/>
      <c r="AE52" s="373"/>
      <c r="AF52" s="373"/>
      <c r="AG52" s="373"/>
      <c r="AH52" s="373"/>
      <c r="AI52" s="373"/>
      <c r="AJ52" s="373"/>
      <c r="AK52" s="373"/>
      <c r="AL52" s="373"/>
      <c r="AM52" s="373"/>
      <c r="AN52" s="208"/>
      <c r="AO52" s="368"/>
      <c r="AP52" s="368"/>
      <c r="AQ52" s="375"/>
      <c r="AR52" s="368"/>
      <c r="AS52" s="375"/>
      <c r="AT52" s="368"/>
      <c r="AU52" s="368">
        <v>8</v>
      </c>
      <c r="AV52" s="368"/>
      <c r="AW52" s="368">
        <v>5</v>
      </c>
      <c r="AX52" s="368"/>
      <c r="AY52" s="368"/>
      <c r="AZ52" s="368"/>
      <c r="BA52" s="368"/>
      <c r="BB52" s="369"/>
      <c r="BC52" s="369"/>
      <c r="BD52" s="369"/>
      <c r="BE52" s="369"/>
      <c r="BF52" s="369"/>
      <c r="BG52" s="369"/>
      <c r="BH52" s="369"/>
      <c r="BI52" s="369"/>
      <c r="BJ52" s="369"/>
      <c r="BK52" s="369"/>
      <c r="BL52" s="369"/>
      <c r="BM52" s="370">
        <f t="shared" si="7"/>
        <v>13</v>
      </c>
      <c r="BN52" s="371">
        <f t="shared" si="7"/>
        <v>0</v>
      </c>
      <c r="BO52" s="372"/>
      <c r="BP52" s="372"/>
      <c r="BQ52" s="372"/>
      <c r="BR52" s="372"/>
      <c r="BS52" s="373"/>
      <c r="BT52" s="373"/>
      <c r="BU52" s="373"/>
      <c r="BV52" s="373"/>
      <c r="BW52" s="373"/>
      <c r="BX52" s="373"/>
      <c r="BY52" s="373"/>
      <c r="BZ52" s="373"/>
    </row>
    <row r="53" spans="1:78" ht="13.5" customHeight="1">
      <c r="A53" s="368" t="s">
        <v>437</v>
      </c>
      <c r="B53" s="368"/>
      <c r="C53" s="368"/>
      <c r="D53" s="368"/>
      <c r="E53" s="368"/>
      <c r="F53" s="368"/>
      <c r="G53" s="368"/>
      <c r="H53" s="368"/>
      <c r="I53" s="368"/>
      <c r="J53" s="368"/>
      <c r="K53" s="368"/>
      <c r="L53" s="368"/>
      <c r="M53" s="368"/>
      <c r="N53" s="368"/>
      <c r="O53" s="369"/>
      <c r="P53" s="369"/>
      <c r="Q53" s="369"/>
      <c r="R53" s="369"/>
      <c r="S53" s="369"/>
      <c r="T53" s="369"/>
      <c r="U53" s="369"/>
      <c r="V53" s="369"/>
      <c r="W53" s="369"/>
      <c r="X53" s="369"/>
      <c r="Y53" s="369"/>
      <c r="Z53" s="370">
        <f t="shared" si="6"/>
        <v>0</v>
      </c>
      <c r="AA53" s="371">
        <f t="shared" si="6"/>
        <v>0</v>
      </c>
      <c r="AB53" s="373"/>
      <c r="AC53" s="373"/>
      <c r="AD53" s="373"/>
      <c r="AE53" s="373"/>
      <c r="AF53" s="373"/>
      <c r="AG53" s="373"/>
      <c r="AH53" s="373"/>
      <c r="AI53" s="373"/>
      <c r="AJ53" s="373"/>
      <c r="AK53" s="373"/>
      <c r="AL53" s="373"/>
      <c r="AM53" s="373"/>
      <c r="AN53" s="208"/>
      <c r="AO53" s="368"/>
      <c r="AP53" s="368"/>
      <c r="AQ53" s="368">
        <v>2</v>
      </c>
      <c r="AR53" s="368"/>
      <c r="AS53" s="368">
        <v>4</v>
      </c>
      <c r="AT53" s="368"/>
      <c r="AU53" s="368"/>
      <c r="AV53" s="368"/>
      <c r="AW53" s="368"/>
      <c r="AX53" s="368"/>
      <c r="AY53" s="368"/>
      <c r="AZ53" s="368"/>
      <c r="BA53" s="368"/>
      <c r="BB53" s="369"/>
      <c r="BC53" s="369"/>
      <c r="BD53" s="369"/>
      <c r="BE53" s="369"/>
      <c r="BF53" s="369"/>
      <c r="BG53" s="369"/>
      <c r="BH53" s="369"/>
      <c r="BI53" s="369"/>
      <c r="BJ53" s="369"/>
      <c r="BK53" s="369"/>
      <c r="BL53" s="369"/>
      <c r="BM53" s="370">
        <f t="shared" si="7"/>
        <v>6</v>
      </c>
      <c r="BN53" s="371">
        <f t="shared" si="7"/>
        <v>0</v>
      </c>
      <c r="BO53" s="372"/>
      <c r="BP53" s="372"/>
      <c r="BQ53" s="372"/>
      <c r="BR53" s="372"/>
      <c r="BS53" s="373"/>
      <c r="BT53" s="373"/>
      <c r="BU53" s="373"/>
      <c r="BV53" s="373"/>
      <c r="BW53" s="373"/>
      <c r="BX53" s="373"/>
      <c r="BY53" s="373"/>
      <c r="BZ53" s="373"/>
    </row>
    <row r="54" spans="1:78" ht="13.5" customHeight="1">
      <c r="A54" s="368" t="s">
        <v>438</v>
      </c>
      <c r="B54" s="368"/>
      <c r="C54" s="368"/>
      <c r="D54" s="368"/>
      <c r="E54" s="368"/>
      <c r="F54" s="368"/>
      <c r="G54" s="368"/>
      <c r="H54" s="368"/>
      <c r="I54" s="368"/>
      <c r="J54" s="368"/>
      <c r="K54" s="368"/>
      <c r="L54" s="368"/>
      <c r="M54" s="368"/>
      <c r="N54" s="368"/>
      <c r="O54" s="369"/>
      <c r="P54" s="369"/>
      <c r="Q54" s="369"/>
      <c r="R54" s="369"/>
      <c r="S54" s="369"/>
      <c r="T54" s="369"/>
      <c r="U54" s="369"/>
      <c r="V54" s="369"/>
      <c r="W54" s="369"/>
      <c r="X54" s="369"/>
      <c r="Y54" s="369"/>
      <c r="Z54" s="370">
        <f t="shared" si="6"/>
        <v>0</v>
      </c>
      <c r="AA54" s="371">
        <f t="shared" si="6"/>
        <v>0</v>
      </c>
      <c r="AB54" s="373"/>
      <c r="AC54" s="373"/>
      <c r="AD54" s="373"/>
      <c r="AE54" s="373"/>
      <c r="AF54" s="373"/>
      <c r="AG54" s="373"/>
      <c r="AH54" s="373"/>
      <c r="AI54" s="373"/>
      <c r="AJ54" s="373"/>
      <c r="AK54" s="373"/>
      <c r="AL54" s="373"/>
      <c r="AM54" s="373"/>
      <c r="AN54" s="208"/>
      <c r="AO54" s="368"/>
      <c r="AP54" s="368"/>
      <c r="AQ54" s="375">
        <v>1</v>
      </c>
      <c r="AR54" s="368"/>
      <c r="AS54" s="368">
        <v>1</v>
      </c>
      <c r="AT54" s="368"/>
      <c r="AU54" s="368"/>
      <c r="AV54" s="368"/>
      <c r="AW54" s="368">
        <v>3</v>
      </c>
      <c r="AX54" s="368"/>
      <c r="AY54" s="368"/>
      <c r="AZ54" s="368"/>
      <c r="BA54" s="368"/>
      <c r="BB54" s="369"/>
      <c r="BC54" s="369"/>
      <c r="BD54" s="369"/>
      <c r="BE54" s="369"/>
      <c r="BF54" s="369"/>
      <c r="BG54" s="369"/>
      <c r="BH54" s="369"/>
      <c r="BI54" s="369"/>
      <c r="BJ54" s="369"/>
      <c r="BK54" s="369"/>
      <c r="BL54" s="369"/>
      <c r="BM54" s="370">
        <f t="shared" si="7"/>
        <v>5</v>
      </c>
      <c r="BN54" s="371">
        <f t="shared" si="7"/>
        <v>0</v>
      </c>
      <c r="BO54" s="372"/>
      <c r="BP54" s="372"/>
      <c r="BQ54" s="372"/>
      <c r="BR54" s="372"/>
      <c r="BS54" s="373"/>
      <c r="BT54" s="373"/>
      <c r="BU54" s="373"/>
      <c r="BV54" s="373"/>
      <c r="BW54" s="373"/>
      <c r="BX54" s="373"/>
      <c r="BY54" s="373"/>
      <c r="BZ54" s="373"/>
    </row>
    <row r="55" spans="1:78" ht="13.5" customHeight="1">
      <c r="A55" s="368" t="s">
        <v>439</v>
      </c>
      <c r="B55" s="368"/>
      <c r="C55" s="368"/>
      <c r="D55" s="368"/>
      <c r="E55" s="368"/>
      <c r="F55" s="368"/>
      <c r="G55" s="368"/>
      <c r="H55" s="368"/>
      <c r="I55" s="368"/>
      <c r="J55" s="368"/>
      <c r="K55" s="368"/>
      <c r="L55" s="368"/>
      <c r="M55" s="368"/>
      <c r="N55" s="368"/>
      <c r="O55" s="369"/>
      <c r="P55" s="369"/>
      <c r="Q55" s="369"/>
      <c r="R55" s="369"/>
      <c r="S55" s="369"/>
      <c r="T55" s="369"/>
      <c r="U55" s="369"/>
      <c r="V55" s="369"/>
      <c r="W55" s="369"/>
      <c r="X55" s="369"/>
      <c r="Y55" s="369"/>
      <c r="Z55" s="370">
        <f t="shared" ref="Z55:AA59" si="8">B55+D55+F55+H55+J55+L55+N55+P55+R55+T55+V55+X55</f>
        <v>0</v>
      </c>
      <c r="AA55" s="371">
        <f t="shared" si="8"/>
        <v>0</v>
      </c>
      <c r="AB55" s="373"/>
      <c r="AC55" s="373"/>
      <c r="AD55" s="373"/>
      <c r="AE55" s="373"/>
      <c r="AF55" s="373"/>
      <c r="AG55" s="373"/>
      <c r="AH55" s="373"/>
      <c r="AI55" s="373"/>
      <c r="AJ55" s="373"/>
      <c r="AK55" s="373"/>
      <c r="AL55" s="373"/>
      <c r="AM55" s="373"/>
      <c r="AN55" s="208"/>
      <c r="AO55" s="368"/>
      <c r="AP55" s="368"/>
      <c r="AQ55" s="380"/>
      <c r="AR55" s="368"/>
      <c r="AS55" s="380"/>
      <c r="AT55" s="368"/>
      <c r="AU55" s="368"/>
      <c r="AV55" s="368"/>
      <c r="AW55" s="368"/>
      <c r="AX55" s="368"/>
      <c r="AY55" s="368"/>
      <c r="AZ55" s="368"/>
      <c r="BA55" s="368"/>
      <c r="BB55" s="369"/>
      <c r="BC55" s="369"/>
      <c r="BD55" s="369"/>
      <c r="BE55" s="369"/>
      <c r="BF55" s="369"/>
      <c r="BG55" s="369"/>
      <c r="BH55" s="369"/>
      <c r="BI55" s="369"/>
      <c r="BJ55" s="369"/>
      <c r="BK55" s="369"/>
      <c r="BL55" s="369"/>
      <c r="BM55" s="370">
        <f t="shared" ref="BM55:BN59" si="9">AO55+AQ55+AS55+AU55+AW55+AY55+BA55+BC55+BE55+BG55+BI55+BK55</f>
        <v>0</v>
      </c>
      <c r="BN55" s="371">
        <f t="shared" si="9"/>
        <v>0</v>
      </c>
      <c r="BO55" s="372"/>
      <c r="BP55" s="372"/>
      <c r="BQ55" s="372"/>
      <c r="BR55" s="372"/>
      <c r="BS55" s="373"/>
      <c r="BT55" s="373"/>
      <c r="BU55" s="373"/>
      <c r="BV55" s="373"/>
      <c r="BW55" s="373"/>
      <c r="BX55" s="373"/>
      <c r="BY55" s="373"/>
      <c r="BZ55" s="373"/>
    </row>
    <row r="56" spans="1:78" ht="13.5" customHeight="1">
      <c r="A56" s="368" t="s">
        <v>440</v>
      </c>
      <c r="B56" s="368"/>
      <c r="C56" s="368"/>
      <c r="D56" s="368"/>
      <c r="E56" s="368"/>
      <c r="F56" s="368"/>
      <c r="G56" s="368"/>
      <c r="H56" s="368"/>
      <c r="I56" s="368"/>
      <c r="J56" s="368"/>
      <c r="K56" s="368"/>
      <c r="L56" s="368"/>
      <c r="M56" s="368"/>
      <c r="N56" s="368"/>
      <c r="O56" s="369"/>
      <c r="P56" s="369"/>
      <c r="Q56" s="369"/>
      <c r="R56" s="369"/>
      <c r="S56" s="369"/>
      <c r="T56" s="369"/>
      <c r="U56" s="369"/>
      <c r="V56" s="369"/>
      <c r="W56" s="369"/>
      <c r="X56" s="369"/>
      <c r="Y56" s="369"/>
      <c r="Z56" s="370">
        <f t="shared" si="8"/>
        <v>0</v>
      </c>
      <c r="AA56" s="371">
        <f t="shared" si="8"/>
        <v>0</v>
      </c>
      <c r="AB56" s="373"/>
      <c r="AC56" s="373"/>
      <c r="AD56" s="373"/>
      <c r="AE56" s="373"/>
      <c r="AF56" s="373"/>
      <c r="AG56" s="373"/>
      <c r="AH56" s="373"/>
      <c r="AI56" s="373"/>
      <c r="AJ56" s="373"/>
      <c r="AK56" s="373"/>
      <c r="AL56" s="373"/>
      <c r="AM56" s="373"/>
      <c r="AN56" s="208"/>
      <c r="AO56" s="368"/>
      <c r="AP56" s="368"/>
      <c r="AQ56" s="375"/>
      <c r="AR56" s="368"/>
      <c r="AS56" s="368">
        <v>1</v>
      </c>
      <c r="AT56" s="368"/>
      <c r="AU56" s="368"/>
      <c r="AV56" s="368"/>
      <c r="AW56" s="368"/>
      <c r="AX56" s="368"/>
      <c r="AY56" s="368"/>
      <c r="AZ56" s="368"/>
      <c r="BA56" s="368"/>
      <c r="BB56" s="369"/>
      <c r="BC56" s="369"/>
      <c r="BD56" s="369"/>
      <c r="BE56" s="369"/>
      <c r="BF56" s="369"/>
      <c r="BG56" s="369"/>
      <c r="BH56" s="369"/>
      <c r="BI56" s="369"/>
      <c r="BJ56" s="369"/>
      <c r="BK56" s="369"/>
      <c r="BL56" s="369"/>
      <c r="BM56" s="370">
        <f t="shared" si="9"/>
        <v>1</v>
      </c>
      <c r="BN56" s="371">
        <f t="shared" si="9"/>
        <v>0</v>
      </c>
      <c r="BO56" s="372"/>
      <c r="BP56" s="372"/>
      <c r="BQ56" s="372"/>
      <c r="BR56" s="372"/>
      <c r="BS56" s="373"/>
      <c r="BT56" s="373"/>
      <c r="BU56" s="373"/>
      <c r="BV56" s="373"/>
      <c r="BW56" s="373"/>
      <c r="BX56" s="373"/>
      <c r="BY56" s="373"/>
      <c r="BZ56" s="373"/>
    </row>
    <row r="57" spans="1:78" ht="13.5" customHeight="1">
      <c r="A57" s="368" t="s">
        <v>441</v>
      </c>
      <c r="B57" s="368"/>
      <c r="C57" s="368"/>
      <c r="D57" s="368"/>
      <c r="E57" s="368"/>
      <c r="F57" s="368"/>
      <c r="G57" s="368"/>
      <c r="H57" s="368"/>
      <c r="I57" s="368"/>
      <c r="J57" s="368"/>
      <c r="K57" s="368"/>
      <c r="L57" s="368"/>
      <c r="M57" s="368"/>
      <c r="N57" s="368"/>
      <c r="O57" s="369"/>
      <c r="P57" s="369"/>
      <c r="Q57" s="369"/>
      <c r="R57" s="369"/>
      <c r="S57" s="369"/>
      <c r="T57" s="369"/>
      <c r="U57" s="369"/>
      <c r="V57" s="369"/>
      <c r="W57" s="369"/>
      <c r="X57" s="369"/>
      <c r="Y57" s="369"/>
      <c r="Z57" s="370">
        <f t="shared" si="8"/>
        <v>0</v>
      </c>
      <c r="AA57" s="371">
        <f t="shared" si="8"/>
        <v>0</v>
      </c>
      <c r="AB57" s="373"/>
      <c r="AC57" s="373"/>
      <c r="AD57" s="373"/>
      <c r="AE57" s="373"/>
      <c r="AF57" s="373"/>
      <c r="AG57" s="373"/>
      <c r="AH57" s="373"/>
      <c r="AI57" s="373"/>
      <c r="AJ57" s="373"/>
      <c r="AK57" s="373"/>
      <c r="AL57" s="373"/>
      <c r="AM57" s="373"/>
      <c r="AN57" s="208"/>
      <c r="AO57" s="368"/>
      <c r="AP57" s="368"/>
      <c r="AQ57" s="368">
        <v>111</v>
      </c>
      <c r="AR57" s="368"/>
      <c r="AS57" s="368">
        <v>29</v>
      </c>
      <c r="AT57" s="368"/>
      <c r="AU57" s="368">
        <v>28</v>
      </c>
      <c r="AV57" s="368"/>
      <c r="AW57" s="368">
        <v>49</v>
      </c>
      <c r="AX57" s="368"/>
      <c r="AY57" s="368"/>
      <c r="AZ57" s="368"/>
      <c r="BA57" s="368"/>
      <c r="BB57" s="369"/>
      <c r="BC57" s="369"/>
      <c r="BD57" s="369"/>
      <c r="BE57" s="369"/>
      <c r="BF57" s="369"/>
      <c r="BG57" s="369"/>
      <c r="BH57" s="369"/>
      <c r="BI57" s="369"/>
      <c r="BJ57" s="369"/>
      <c r="BK57" s="369"/>
      <c r="BL57" s="369"/>
      <c r="BM57" s="370">
        <f t="shared" si="9"/>
        <v>217</v>
      </c>
      <c r="BN57" s="371">
        <f t="shared" si="9"/>
        <v>0</v>
      </c>
      <c r="BO57" s="372"/>
      <c r="BP57" s="372"/>
      <c r="BQ57" s="372"/>
      <c r="BR57" s="372"/>
      <c r="BS57" s="373"/>
      <c r="BT57" s="373"/>
      <c r="BU57" s="373"/>
      <c r="BV57" s="373"/>
      <c r="BW57" s="373"/>
      <c r="BX57" s="373"/>
      <c r="BY57" s="373"/>
      <c r="BZ57" s="373"/>
    </row>
    <row r="58" spans="1:78" ht="13.5" customHeight="1">
      <c r="A58" s="368" t="s">
        <v>442</v>
      </c>
      <c r="B58" s="368"/>
      <c r="C58" s="368"/>
      <c r="D58" s="368"/>
      <c r="E58" s="368"/>
      <c r="F58" s="368"/>
      <c r="G58" s="368"/>
      <c r="H58" s="368"/>
      <c r="I58" s="368"/>
      <c r="J58" s="368"/>
      <c r="K58" s="368"/>
      <c r="L58" s="368"/>
      <c r="M58" s="368"/>
      <c r="N58" s="368"/>
      <c r="O58" s="369"/>
      <c r="P58" s="369"/>
      <c r="Q58" s="369"/>
      <c r="R58" s="369"/>
      <c r="S58" s="369"/>
      <c r="T58" s="369"/>
      <c r="U58" s="369"/>
      <c r="V58" s="369"/>
      <c r="W58" s="369"/>
      <c r="X58" s="369"/>
      <c r="Y58" s="369"/>
      <c r="Z58" s="370">
        <f t="shared" si="8"/>
        <v>0</v>
      </c>
      <c r="AA58" s="371">
        <f t="shared" si="8"/>
        <v>0</v>
      </c>
      <c r="AB58" s="373"/>
      <c r="AC58" s="373"/>
      <c r="AD58" s="373"/>
      <c r="AE58" s="373"/>
      <c r="AF58" s="373"/>
      <c r="AG58" s="373"/>
      <c r="AH58" s="373"/>
      <c r="AI58" s="373"/>
      <c r="AJ58" s="373"/>
      <c r="AK58" s="373"/>
      <c r="AL58" s="373"/>
      <c r="AM58" s="373"/>
      <c r="AN58" s="208"/>
      <c r="AO58" s="368"/>
      <c r="AP58" s="368"/>
      <c r="AQ58" s="368">
        <v>178</v>
      </c>
      <c r="AR58" s="368"/>
      <c r="AS58" s="368">
        <v>88</v>
      </c>
      <c r="AT58" s="368"/>
      <c r="AU58" s="368">
        <v>50</v>
      </c>
      <c r="AV58" s="368"/>
      <c r="AW58" s="368">
        <v>165</v>
      </c>
      <c r="AX58" s="368"/>
      <c r="AY58" s="368"/>
      <c r="AZ58" s="368"/>
      <c r="BA58" s="368"/>
      <c r="BB58" s="369"/>
      <c r="BC58" s="369"/>
      <c r="BD58" s="369"/>
      <c r="BE58" s="369"/>
      <c r="BF58" s="369"/>
      <c r="BG58" s="369"/>
      <c r="BH58" s="369"/>
      <c r="BI58" s="369"/>
      <c r="BJ58" s="369"/>
      <c r="BK58" s="369"/>
      <c r="BL58" s="369"/>
      <c r="BM58" s="370">
        <f t="shared" si="9"/>
        <v>481</v>
      </c>
      <c r="BN58" s="371">
        <f t="shared" si="9"/>
        <v>0</v>
      </c>
      <c r="BO58" s="372"/>
      <c r="BP58" s="372"/>
      <c r="BQ58" s="372"/>
      <c r="BR58" s="372"/>
      <c r="BS58" s="373"/>
      <c r="BT58" s="373"/>
      <c r="BU58" s="373"/>
      <c r="BV58" s="373"/>
      <c r="BW58" s="373"/>
      <c r="BX58" s="373"/>
      <c r="BY58" s="373"/>
      <c r="BZ58" s="373"/>
    </row>
    <row r="59" spans="1:78" ht="13.5" customHeight="1">
      <c r="A59" s="368" t="s">
        <v>443</v>
      </c>
      <c r="B59" s="368"/>
      <c r="C59" s="368"/>
      <c r="D59" s="368"/>
      <c r="E59" s="368"/>
      <c r="F59" s="368"/>
      <c r="G59" s="368"/>
      <c r="H59" s="368"/>
      <c r="I59" s="368"/>
      <c r="J59" s="368"/>
      <c r="K59" s="368"/>
      <c r="L59" s="368"/>
      <c r="M59" s="368"/>
      <c r="N59" s="368"/>
      <c r="O59" s="369"/>
      <c r="P59" s="369"/>
      <c r="Q59" s="369"/>
      <c r="R59" s="369"/>
      <c r="S59" s="369"/>
      <c r="T59" s="369"/>
      <c r="U59" s="369"/>
      <c r="V59" s="369"/>
      <c r="W59" s="369"/>
      <c r="X59" s="369"/>
      <c r="Y59" s="369"/>
      <c r="Z59" s="370">
        <f t="shared" si="8"/>
        <v>0</v>
      </c>
      <c r="AA59" s="371">
        <f t="shared" si="8"/>
        <v>0</v>
      </c>
      <c r="AB59" s="373"/>
      <c r="AC59" s="373"/>
      <c r="AD59" s="373"/>
      <c r="AE59" s="373"/>
      <c r="AF59" s="373"/>
      <c r="AG59" s="373"/>
      <c r="AH59" s="373"/>
      <c r="AI59" s="373"/>
      <c r="AJ59" s="373"/>
      <c r="AK59" s="373"/>
      <c r="AL59" s="373"/>
      <c r="AM59" s="373"/>
      <c r="AN59" s="208"/>
      <c r="AO59" s="368"/>
      <c r="AP59" s="368"/>
      <c r="AQ59" s="375"/>
      <c r="AR59" s="368"/>
      <c r="AS59" s="368"/>
      <c r="AT59" s="368"/>
      <c r="AU59" s="368"/>
      <c r="AV59" s="368"/>
      <c r="AW59" s="368"/>
      <c r="AX59" s="368"/>
      <c r="AY59" s="368"/>
      <c r="AZ59" s="368"/>
      <c r="BA59" s="368"/>
      <c r="BB59" s="369"/>
      <c r="BC59" s="369"/>
      <c r="BD59" s="369"/>
      <c r="BE59" s="369"/>
      <c r="BF59" s="369"/>
      <c r="BG59" s="369"/>
      <c r="BH59" s="369"/>
      <c r="BI59" s="369"/>
      <c r="BJ59" s="369"/>
      <c r="BK59" s="369"/>
      <c r="BL59" s="369"/>
      <c r="BM59" s="370">
        <f t="shared" si="9"/>
        <v>0</v>
      </c>
      <c r="BN59" s="371">
        <f t="shared" si="9"/>
        <v>0</v>
      </c>
      <c r="BO59" s="372"/>
      <c r="BP59" s="372"/>
      <c r="BQ59" s="372"/>
      <c r="BR59" s="372"/>
      <c r="BS59" s="373"/>
      <c r="BT59" s="373"/>
      <c r="BU59" s="373"/>
      <c r="BV59" s="373"/>
      <c r="BW59" s="373"/>
      <c r="BX59" s="373"/>
      <c r="BY59" s="373"/>
      <c r="BZ59" s="373"/>
    </row>
    <row r="60" spans="1:78" ht="13.5" customHeight="1">
      <c r="A60" s="376" t="s">
        <v>444</v>
      </c>
      <c r="B60" s="377">
        <f t="shared" ref="B60:AM60" si="10">SUM(B39:B59)</f>
        <v>0</v>
      </c>
      <c r="C60" s="377">
        <f t="shared" si="10"/>
        <v>0</v>
      </c>
      <c r="D60" s="377">
        <f t="shared" si="10"/>
        <v>0</v>
      </c>
      <c r="E60" s="377">
        <f t="shared" si="10"/>
        <v>0</v>
      </c>
      <c r="F60" s="377">
        <f t="shared" si="10"/>
        <v>0</v>
      </c>
      <c r="G60" s="377">
        <f t="shared" si="10"/>
        <v>0</v>
      </c>
      <c r="H60" s="377">
        <f t="shared" si="10"/>
        <v>0</v>
      </c>
      <c r="I60" s="377">
        <f t="shared" si="10"/>
        <v>0</v>
      </c>
      <c r="J60" s="377">
        <f t="shared" si="10"/>
        <v>0</v>
      </c>
      <c r="K60" s="377">
        <f t="shared" si="10"/>
        <v>0</v>
      </c>
      <c r="L60" s="377">
        <f t="shared" si="10"/>
        <v>0</v>
      </c>
      <c r="M60" s="377">
        <f t="shared" si="10"/>
        <v>0</v>
      </c>
      <c r="N60" s="377">
        <f t="shared" si="10"/>
        <v>0</v>
      </c>
      <c r="O60" s="377">
        <f t="shared" si="10"/>
        <v>0</v>
      </c>
      <c r="P60" s="377">
        <f t="shared" si="10"/>
        <v>0</v>
      </c>
      <c r="Q60" s="377">
        <f t="shared" si="10"/>
        <v>0</v>
      </c>
      <c r="R60" s="377">
        <f t="shared" si="10"/>
        <v>0</v>
      </c>
      <c r="S60" s="377">
        <f t="shared" si="10"/>
        <v>0</v>
      </c>
      <c r="T60" s="377">
        <f t="shared" si="10"/>
        <v>0</v>
      </c>
      <c r="U60" s="377">
        <f t="shared" si="10"/>
        <v>0</v>
      </c>
      <c r="V60" s="377">
        <f t="shared" si="10"/>
        <v>0</v>
      </c>
      <c r="W60" s="377">
        <f t="shared" si="10"/>
        <v>0</v>
      </c>
      <c r="X60" s="377">
        <f t="shared" si="10"/>
        <v>0</v>
      </c>
      <c r="Y60" s="377">
        <f t="shared" si="10"/>
        <v>0</v>
      </c>
      <c r="Z60" s="377">
        <f t="shared" si="10"/>
        <v>0</v>
      </c>
      <c r="AA60" s="371">
        <f t="shared" si="10"/>
        <v>0</v>
      </c>
      <c r="AB60" s="377">
        <f t="shared" si="10"/>
        <v>0</v>
      </c>
      <c r="AC60" s="377">
        <f t="shared" si="10"/>
        <v>0</v>
      </c>
      <c r="AD60" s="377">
        <f t="shared" si="10"/>
        <v>0</v>
      </c>
      <c r="AE60" s="377">
        <f t="shared" si="10"/>
        <v>0</v>
      </c>
      <c r="AF60" s="377">
        <f t="shared" si="10"/>
        <v>0</v>
      </c>
      <c r="AG60" s="377">
        <f t="shared" si="10"/>
        <v>0</v>
      </c>
      <c r="AH60" s="377">
        <f t="shared" si="10"/>
        <v>0</v>
      </c>
      <c r="AI60" s="377">
        <f t="shared" si="10"/>
        <v>0</v>
      </c>
      <c r="AJ60" s="377">
        <f t="shared" si="10"/>
        <v>0</v>
      </c>
      <c r="AK60" s="377">
        <f t="shared" si="10"/>
        <v>0</v>
      </c>
      <c r="AL60" s="377">
        <f t="shared" si="10"/>
        <v>0</v>
      </c>
      <c r="AM60" s="377">
        <f t="shared" si="10"/>
        <v>0</v>
      </c>
      <c r="AN60" s="208"/>
      <c r="AO60" s="377">
        <f t="shared" ref="AO60:BZ60" si="11">SUM(AO39:AO59)</f>
        <v>0</v>
      </c>
      <c r="AP60" s="377">
        <f t="shared" si="11"/>
        <v>0</v>
      </c>
      <c r="AQ60" s="381">
        <f>SUM(AQ39:AQ59)</f>
        <v>1312</v>
      </c>
      <c r="AR60" s="377">
        <f t="shared" si="11"/>
        <v>0</v>
      </c>
      <c r="AS60" s="377">
        <f t="shared" si="11"/>
        <v>612</v>
      </c>
      <c r="AT60" s="377">
        <f t="shared" si="11"/>
        <v>0</v>
      </c>
      <c r="AU60" s="377">
        <f t="shared" si="11"/>
        <v>387</v>
      </c>
      <c r="AV60" s="377">
        <f t="shared" si="11"/>
        <v>0</v>
      </c>
      <c r="AW60" s="377">
        <f t="shared" si="11"/>
        <v>1148</v>
      </c>
      <c r="AX60" s="377">
        <f t="shared" si="11"/>
        <v>0</v>
      </c>
      <c r="AY60" s="377">
        <f t="shared" si="11"/>
        <v>0</v>
      </c>
      <c r="AZ60" s="377">
        <f t="shared" si="11"/>
        <v>0</v>
      </c>
      <c r="BA60" s="377">
        <f t="shared" si="11"/>
        <v>0</v>
      </c>
      <c r="BB60" s="377">
        <f t="shared" si="11"/>
        <v>0</v>
      </c>
      <c r="BC60" s="377">
        <f t="shared" si="11"/>
        <v>0</v>
      </c>
      <c r="BD60" s="377">
        <f t="shared" si="11"/>
        <v>0</v>
      </c>
      <c r="BE60" s="377">
        <f t="shared" si="11"/>
        <v>0</v>
      </c>
      <c r="BF60" s="377">
        <f t="shared" si="11"/>
        <v>0</v>
      </c>
      <c r="BG60" s="377">
        <f t="shared" si="11"/>
        <v>0</v>
      </c>
      <c r="BH60" s="377">
        <f t="shared" si="11"/>
        <v>0</v>
      </c>
      <c r="BI60" s="377">
        <f t="shared" si="11"/>
        <v>0</v>
      </c>
      <c r="BJ60" s="377">
        <f t="shared" si="11"/>
        <v>0</v>
      </c>
      <c r="BK60" s="377">
        <f t="shared" si="11"/>
        <v>0</v>
      </c>
      <c r="BL60" s="377">
        <f t="shared" si="11"/>
        <v>0</v>
      </c>
      <c r="BM60" s="379">
        <f t="shared" si="11"/>
        <v>3459</v>
      </c>
      <c r="BN60" s="371">
        <f t="shared" si="11"/>
        <v>0</v>
      </c>
      <c r="BO60" s="371">
        <f t="shared" si="11"/>
        <v>0</v>
      </c>
      <c r="BP60" s="371">
        <f t="shared" si="11"/>
        <v>0</v>
      </c>
      <c r="BQ60" s="371">
        <f t="shared" si="11"/>
        <v>0</v>
      </c>
      <c r="BR60" s="371">
        <f t="shared" si="11"/>
        <v>0</v>
      </c>
      <c r="BS60" s="377">
        <f t="shared" si="11"/>
        <v>0</v>
      </c>
      <c r="BT60" s="377">
        <f t="shared" si="11"/>
        <v>0</v>
      </c>
      <c r="BU60" s="377">
        <f t="shared" si="11"/>
        <v>0</v>
      </c>
      <c r="BV60" s="377">
        <f t="shared" si="11"/>
        <v>0</v>
      </c>
      <c r="BW60" s="377">
        <f t="shared" si="11"/>
        <v>0</v>
      </c>
      <c r="BX60" s="377">
        <f t="shared" si="11"/>
        <v>0</v>
      </c>
      <c r="BY60" s="377">
        <f t="shared" si="11"/>
        <v>0</v>
      </c>
      <c r="BZ60" s="377">
        <f t="shared" si="11"/>
        <v>0</v>
      </c>
    </row>
    <row r="61" spans="1:78" ht="13.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row>
    <row r="62" spans="1:78" ht="27.6" customHeight="1">
      <c r="A62" s="359" t="s">
        <v>402</v>
      </c>
      <c r="B62" s="502" t="s">
        <v>403</v>
      </c>
      <c r="C62" s="865"/>
      <c r="D62" s="865"/>
      <c r="E62" s="865"/>
      <c r="F62" s="865"/>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6"/>
    </row>
    <row r="63" spans="1:78" ht="28.5" customHeight="1">
      <c r="A63" s="360" t="s">
        <v>404</v>
      </c>
      <c r="B63" s="867" t="s">
        <v>445</v>
      </c>
      <c r="C63" s="865"/>
      <c r="D63" s="865"/>
      <c r="E63" s="865"/>
      <c r="F63" s="865"/>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6"/>
    </row>
    <row r="64" spans="1:78" ht="6" customHeight="1">
      <c r="A64" s="361"/>
      <c r="B64" s="361"/>
      <c r="C64" s="361"/>
      <c r="D64" s="361"/>
      <c r="E64" s="361"/>
      <c r="F64" s="361"/>
      <c r="G64" s="361"/>
      <c r="H64" s="361"/>
      <c r="I64" s="361"/>
      <c r="J64" s="361"/>
      <c r="K64" s="361"/>
      <c r="L64" s="361"/>
      <c r="M64" s="361"/>
      <c r="N64" s="361"/>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208"/>
      <c r="AO64" s="362"/>
      <c r="AP64" s="362"/>
      <c r="AQ64" s="362"/>
      <c r="AR64" s="362"/>
      <c r="AS64" s="362"/>
      <c r="AT64" s="362"/>
      <c r="AU64" s="362"/>
      <c r="AV64" s="362"/>
      <c r="AW64" s="362"/>
      <c r="AX64" s="362"/>
      <c r="AY64" s="362"/>
      <c r="AZ64" s="362"/>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row>
    <row r="65" spans="1:78" ht="30" customHeight="1">
      <c r="A65" s="490" t="s">
        <v>405</v>
      </c>
      <c r="B65" s="504" t="s">
        <v>44</v>
      </c>
      <c r="C65" s="478"/>
      <c r="D65" s="504" t="s">
        <v>45</v>
      </c>
      <c r="E65" s="478"/>
      <c r="F65" s="504" t="s">
        <v>46</v>
      </c>
      <c r="G65" s="478"/>
      <c r="H65" s="504" t="s">
        <v>47</v>
      </c>
      <c r="I65" s="478"/>
      <c r="J65" s="504" t="s">
        <v>48</v>
      </c>
      <c r="K65" s="478"/>
      <c r="L65" s="504" t="s">
        <v>49</v>
      </c>
      <c r="M65" s="478"/>
      <c r="N65" s="504" t="s">
        <v>50</v>
      </c>
      <c r="O65" s="478"/>
      <c r="P65" s="504" t="s">
        <v>51</v>
      </c>
      <c r="Q65" s="478"/>
      <c r="R65" s="504" t="s">
        <v>52</v>
      </c>
      <c r="S65" s="478"/>
      <c r="T65" s="504" t="s">
        <v>53</v>
      </c>
      <c r="U65" s="478"/>
      <c r="V65" s="504" t="s">
        <v>54</v>
      </c>
      <c r="W65" s="478"/>
      <c r="X65" s="504" t="s">
        <v>55</v>
      </c>
      <c r="Y65" s="478"/>
      <c r="Z65" s="504" t="s">
        <v>406</v>
      </c>
      <c r="AA65" s="478"/>
      <c r="AB65" s="504" t="s">
        <v>407</v>
      </c>
      <c r="AC65" s="477"/>
      <c r="AD65" s="477"/>
      <c r="AE65" s="477"/>
      <c r="AF65" s="477"/>
      <c r="AG65" s="478"/>
      <c r="AH65" s="504" t="s">
        <v>408</v>
      </c>
      <c r="AI65" s="477"/>
      <c r="AJ65" s="477"/>
      <c r="AK65" s="477"/>
      <c r="AL65" s="477"/>
      <c r="AM65" s="478"/>
      <c r="AN65" s="208"/>
      <c r="AO65" s="504" t="s">
        <v>44</v>
      </c>
      <c r="AP65" s="478"/>
      <c r="AQ65" s="504" t="s">
        <v>45</v>
      </c>
      <c r="AR65" s="478"/>
      <c r="AS65" s="504" t="s">
        <v>46</v>
      </c>
      <c r="AT65" s="478"/>
      <c r="AU65" s="504" t="s">
        <v>47</v>
      </c>
      <c r="AV65" s="478"/>
      <c r="AW65" s="504" t="s">
        <v>48</v>
      </c>
      <c r="AX65" s="478"/>
      <c r="AY65" s="504" t="s">
        <v>49</v>
      </c>
      <c r="AZ65" s="478"/>
      <c r="BA65" s="504" t="s">
        <v>50</v>
      </c>
      <c r="BB65" s="478"/>
      <c r="BC65" s="504" t="s">
        <v>51</v>
      </c>
      <c r="BD65" s="478"/>
      <c r="BE65" s="504" t="s">
        <v>52</v>
      </c>
      <c r="BF65" s="478"/>
      <c r="BG65" s="504" t="s">
        <v>53</v>
      </c>
      <c r="BH65" s="478"/>
      <c r="BI65" s="504" t="s">
        <v>54</v>
      </c>
      <c r="BJ65" s="478"/>
      <c r="BK65" s="504" t="s">
        <v>55</v>
      </c>
      <c r="BL65" s="478"/>
      <c r="BM65" s="504" t="s">
        <v>406</v>
      </c>
      <c r="BN65" s="478"/>
      <c r="BO65" s="504" t="s">
        <v>407</v>
      </c>
      <c r="BP65" s="477"/>
      <c r="BQ65" s="477"/>
      <c r="BR65" s="477"/>
      <c r="BS65" s="477"/>
      <c r="BT65" s="478"/>
      <c r="BU65" s="504" t="s">
        <v>408</v>
      </c>
      <c r="BV65" s="477"/>
      <c r="BW65" s="477"/>
      <c r="BX65" s="477"/>
      <c r="BY65" s="477"/>
      <c r="BZ65" s="478"/>
    </row>
    <row r="66" spans="1:78" ht="51.75" customHeight="1">
      <c r="A66" s="492"/>
      <c r="B66" s="343" t="s">
        <v>409</v>
      </c>
      <c r="C66" s="343" t="s">
        <v>410</v>
      </c>
      <c r="D66" s="343" t="s">
        <v>409</v>
      </c>
      <c r="E66" s="343" t="s">
        <v>410</v>
      </c>
      <c r="F66" s="343" t="s">
        <v>409</v>
      </c>
      <c r="G66" s="343" t="s">
        <v>410</v>
      </c>
      <c r="H66" s="343" t="s">
        <v>409</v>
      </c>
      <c r="I66" s="343" t="s">
        <v>410</v>
      </c>
      <c r="J66" s="343" t="s">
        <v>409</v>
      </c>
      <c r="K66" s="343" t="s">
        <v>410</v>
      </c>
      <c r="L66" s="343" t="s">
        <v>409</v>
      </c>
      <c r="M66" s="343" t="s">
        <v>410</v>
      </c>
      <c r="N66" s="343" t="s">
        <v>409</v>
      </c>
      <c r="O66" s="343" t="s">
        <v>410</v>
      </c>
      <c r="P66" s="343" t="s">
        <v>409</v>
      </c>
      <c r="Q66" s="343" t="s">
        <v>410</v>
      </c>
      <c r="R66" s="343" t="s">
        <v>409</v>
      </c>
      <c r="S66" s="343" t="s">
        <v>410</v>
      </c>
      <c r="T66" s="343" t="s">
        <v>409</v>
      </c>
      <c r="U66" s="343" t="s">
        <v>410</v>
      </c>
      <c r="V66" s="343" t="s">
        <v>409</v>
      </c>
      <c r="W66" s="343" t="s">
        <v>410</v>
      </c>
      <c r="X66" s="343" t="s">
        <v>409</v>
      </c>
      <c r="Y66" s="343" t="s">
        <v>410</v>
      </c>
      <c r="Z66" s="343" t="s">
        <v>409</v>
      </c>
      <c r="AA66" s="343" t="s">
        <v>410</v>
      </c>
      <c r="AB66" s="363" t="s">
        <v>411</v>
      </c>
      <c r="AC66" s="363" t="s">
        <v>412</v>
      </c>
      <c r="AD66" s="363" t="s">
        <v>413</v>
      </c>
      <c r="AE66" s="363" t="s">
        <v>414</v>
      </c>
      <c r="AF66" s="364" t="s">
        <v>415</v>
      </c>
      <c r="AG66" s="363" t="s">
        <v>416</v>
      </c>
      <c r="AH66" s="343" t="s">
        <v>417</v>
      </c>
      <c r="AI66" s="365" t="s">
        <v>418</v>
      </c>
      <c r="AJ66" s="343" t="s">
        <v>419</v>
      </c>
      <c r="AK66" s="343" t="s">
        <v>420</v>
      </c>
      <c r="AL66" s="343" t="s">
        <v>421</v>
      </c>
      <c r="AM66" s="343" t="s">
        <v>422</v>
      </c>
      <c r="AN66" s="208"/>
      <c r="AO66" s="343" t="s">
        <v>409</v>
      </c>
      <c r="AP66" s="343" t="s">
        <v>410</v>
      </c>
      <c r="AQ66" s="343" t="s">
        <v>409</v>
      </c>
      <c r="AR66" s="343" t="s">
        <v>410</v>
      </c>
      <c r="AS66" s="343" t="s">
        <v>409</v>
      </c>
      <c r="AT66" s="343" t="s">
        <v>410</v>
      </c>
      <c r="AU66" s="343" t="s">
        <v>409</v>
      </c>
      <c r="AV66" s="343" t="s">
        <v>410</v>
      </c>
      <c r="AW66" s="343" t="s">
        <v>409</v>
      </c>
      <c r="AX66" s="343" t="s">
        <v>410</v>
      </c>
      <c r="AY66" s="343" t="s">
        <v>409</v>
      </c>
      <c r="AZ66" s="343" t="s">
        <v>410</v>
      </c>
      <c r="BA66" s="343" t="s">
        <v>409</v>
      </c>
      <c r="BB66" s="343" t="s">
        <v>410</v>
      </c>
      <c r="BC66" s="343" t="s">
        <v>409</v>
      </c>
      <c r="BD66" s="343" t="s">
        <v>410</v>
      </c>
      <c r="BE66" s="343" t="s">
        <v>409</v>
      </c>
      <c r="BF66" s="343" t="s">
        <v>410</v>
      </c>
      <c r="BG66" s="343" t="s">
        <v>409</v>
      </c>
      <c r="BH66" s="343" t="s">
        <v>410</v>
      </c>
      <c r="BI66" s="343" t="s">
        <v>409</v>
      </c>
      <c r="BJ66" s="343" t="s">
        <v>410</v>
      </c>
      <c r="BK66" s="343" t="s">
        <v>409</v>
      </c>
      <c r="BL66" s="343" t="s">
        <v>410</v>
      </c>
      <c r="BM66" s="343" t="s">
        <v>409</v>
      </c>
      <c r="BN66" s="343" t="s">
        <v>410</v>
      </c>
      <c r="BO66" s="363" t="s">
        <v>411</v>
      </c>
      <c r="BP66" s="363" t="s">
        <v>412</v>
      </c>
      <c r="BQ66" s="363" t="s">
        <v>413</v>
      </c>
      <c r="BR66" s="363" t="s">
        <v>414</v>
      </c>
      <c r="BS66" s="364" t="s">
        <v>415</v>
      </c>
      <c r="BT66" s="363" t="s">
        <v>416</v>
      </c>
      <c r="BU66" s="343" t="s">
        <v>417</v>
      </c>
      <c r="BV66" s="365" t="s">
        <v>418</v>
      </c>
      <c r="BW66" s="343" t="s">
        <v>419</v>
      </c>
      <c r="BX66" s="343" t="s">
        <v>420</v>
      </c>
      <c r="BY66" s="343" t="s">
        <v>421</v>
      </c>
      <c r="BZ66" s="343" t="s">
        <v>422</v>
      </c>
    </row>
    <row r="67" spans="1:78" ht="13.5" customHeight="1">
      <c r="A67" s="368" t="s">
        <v>423</v>
      </c>
      <c r="B67" s="368"/>
      <c r="C67" s="368"/>
      <c r="D67" s="368"/>
      <c r="E67" s="368"/>
      <c r="F67" s="368"/>
      <c r="G67" s="368"/>
      <c r="H67" s="368"/>
      <c r="I67" s="368"/>
      <c r="J67" s="368"/>
      <c r="K67" s="368"/>
      <c r="L67" s="368"/>
      <c r="M67" s="368"/>
      <c r="N67" s="368"/>
      <c r="O67" s="369"/>
      <c r="P67" s="369"/>
      <c r="Q67" s="369"/>
      <c r="R67" s="369"/>
      <c r="S67" s="369"/>
      <c r="T67" s="369"/>
      <c r="U67" s="369"/>
      <c r="V67" s="369"/>
      <c r="W67" s="369"/>
      <c r="X67" s="369"/>
      <c r="Y67" s="369"/>
      <c r="Z67" s="370">
        <f t="shared" ref="Z67:AA87" si="12">B67+D67+F67+H67+J67+L67+N67+P67+R67+T67+V67+X67</f>
        <v>0</v>
      </c>
      <c r="AA67" s="371">
        <f t="shared" si="12"/>
        <v>0</v>
      </c>
      <c r="AB67" s="373"/>
      <c r="AC67" s="373"/>
      <c r="AD67" s="373"/>
      <c r="AE67" s="373"/>
      <c r="AF67" s="373"/>
      <c r="AG67" s="373"/>
      <c r="AH67" s="373"/>
      <c r="AI67" s="373"/>
      <c r="AJ67" s="373"/>
      <c r="AK67" s="373"/>
      <c r="AL67" s="373"/>
      <c r="AM67" s="374"/>
      <c r="AN67" s="208"/>
      <c r="AO67" s="368"/>
      <c r="AP67" s="368"/>
      <c r="AQ67" s="368">
        <v>76</v>
      </c>
      <c r="AR67" s="368"/>
      <c r="AS67" s="368">
        <f>82-AQ67</f>
        <v>6</v>
      </c>
      <c r="AT67" s="368"/>
      <c r="AU67" s="368"/>
      <c r="AV67" s="368"/>
      <c r="AW67" s="368">
        <v>59</v>
      </c>
      <c r="AX67" s="368"/>
      <c r="AY67" s="368"/>
      <c r="AZ67" s="368"/>
      <c r="BA67" s="368"/>
      <c r="BB67" s="369"/>
      <c r="BC67" s="369"/>
      <c r="BD67" s="369"/>
      <c r="BE67" s="369"/>
      <c r="BF67" s="369"/>
      <c r="BG67" s="369"/>
      <c r="BH67" s="369"/>
      <c r="BI67" s="369"/>
      <c r="BJ67" s="369"/>
      <c r="BK67" s="369"/>
      <c r="BL67" s="369"/>
      <c r="BM67" s="370">
        <f t="shared" ref="BM67:BN87" si="13">AO67+AQ67+AS67+AU67+AW67+AY67+BA67+BC67+BE67+BG67+BI67+BK67</f>
        <v>141</v>
      </c>
      <c r="BN67" s="371">
        <f t="shared" si="13"/>
        <v>0</v>
      </c>
      <c r="BO67" s="372"/>
      <c r="BP67" s="372"/>
      <c r="BQ67" s="372"/>
      <c r="BR67" s="372"/>
      <c r="BS67" s="373"/>
      <c r="BT67" s="373"/>
      <c r="BU67" s="373"/>
      <c r="BV67" s="373"/>
      <c r="BW67" s="373"/>
      <c r="BX67" s="373"/>
      <c r="BY67" s="373"/>
      <c r="BZ67" s="374"/>
    </row>
    <row r="68" spans="1:78" ht="13.5" customHeight="1">
      <c r="A68" s="368" t="s">
        <v>424</v>
      </c>
      <c r="B68" s="368"/>
      <c r="C68" s="368"/>
      <c r="D68" s="368"/>
      <c r="E68" s="368"/>
      <c r="F68" s="368"/>
      <c r="G68" s="368"/>
      <c r="H68" s="368"/>
      <c r="I68" s="368"/>
      <c r="J68" s="368"/>
      <c r="K68" s="368"/>
      <c r="L68" s="368"/>
      <c r="M68" s="368"/>
      <c r="N68" s="368"/>
      <c r="O68" s="369"/>
      <c r="P68" s="369"/>
      <c r="Q68" s="369"/>
      <c r="R68" s="369"/>
      <c r="S68" s="369"/>
      <c r="T68" s="369"/>
      <c r="U68" s="369"/>
      <c r="V68" s="369"/>
      <c r="W68" s="369"/>
      <c r="X68" s="369"/>
      <c r="Y68" s="369"/>
      <c r="Z68" s="370">
        <f t="shared" si="12"/>
        <v>0</v>
      </c>
      <c r="AA68" s="371">
        <f t="shared" si="12"/>
        <v>0</v>
      </c>
      <c r="AB68" s="373"/>
      <c r="AC68" s="373"/>
      <c r="AD68" s="373"/>
      <c r="AE68" s="373"/>
      <c r="AF68" s="373"/>
      <c r="AG68" s="373"/>
      <c r="AH68" s="373"/>
      <c r="AI68" s="373"/>
      <c r="AJ68" s="373"/>
      <c r="AK68" s="373"/>
      <c r="AL68" s="373"/>
      <c r="AM68" s="373"/>
      <c r="AN68" s="208"/>
      <c r="AO68" s="368"/>
      <c r="AP68" s="368"/>
      <c r="AQ68" s="368"/>
      <c r="AR68" s="368"/>
      <c r="AS68" s="368">
        <v>9</v>
      </c>
      <c r="AT68" s="368"/>
      <c r="AU68" s="368">
        <v>7</v>
      </c>
      <c r="AV68" s="368"/>
      <c r="AW68" s="368">
        <v>7</v>
      </c>
      <c r="AX68" s="368"/>
      <c r="AY68" s="368"/>
      <c r="AZ68" s="368"/>
      <c r="BA68" s="368"/>
      <c r="BB68" s="369"/>
      <c r="BC68" s="369"/>
      <c r="BD68" s="369"/>
      <c r="BE68" s="369"/>
      <c r="BF68" s="369"/>
      <c r="BG68" s="369"/>
      <c r="BH68" s="369"/>
      <c r="BI68" s="369"/>
      <c r="BJ68" s="369"/>
      <c r="BK68" s="369"/>
      <c r="BL68" s="369"/>
      <c r="BM68" s="370">
        <f t="shared" si="13"/>
        <v>23</v>
      </c>
      <c r="BN68" s="371">
        <f t="shared" si="13"/>
        <v>0</v>
      </c>
      <c r="BO68" s="372"/>
      <c r="BP68" s="372"/>
      <c r="BQ68" s="372"/>
      <c r="BR68" s="372"/>
      <c r="BS68" s="373"/>
      <c r="BT68" s="373"/>
      <c r="BU68" s="373"/>
      <c r="BV68" s="373"/>
      <c r="BW68" s="373"/>
      <c r="BX68" s="373"/>
      <c r="BY68" s="373"/>
      <c r="BZ68" s="373"/>
    </row>
    <row r="69" spans="1:78" ht="13.5" customHeight="1">
      <c r="A69" s="368" t="s">
        <v>425</v>
      </c>
      <c r="B69" s="368"/>
      <c r="C69" s="368"/>
      <c r="D69" s="368"/>
      <c r="E69" s="368"/>
      <c r="F69" s="368"/>
      <c r="G69" s="368"/>
      <c r="H69" s="368"/>
      <c r="I69" s="368"/>
      <c r="J69" s="368"/>
      <c r="K69" s="368"/>
      <c r="L69" s="368"/>
      <c r="M69" s="368"/>
      <c r="N69" s="368"/>
      <c r="O69" s="369"/>
      <c r="P69" s="369"/>
      <c r="Q69" s="369"/>
      <c r="R69" s="369"/>
      <c r="S69" s="369"/>
      <c r="T69" s="369"/>
      <c r="U69" s="369"/>
      <c r="V69" s="369"/>
      <c r="W69" s="369"/>
      <c r="X69" s="369"/>
      <c r="Y69" s="369"/>
      <c r="Z69" s="370">
        <f t="shared" si="12"/>
        <v>0</v>
      </c>
      <c r="AA69" s="371">
        <f t="shared" si="12"/>
        <v>0</v>
      </c>
      <c r="AB69" s="373"/>
      <c r="AC69" s="373"/>
      <c r="AD69" s="373"/>
      <c r="AE69" s="373"/>
      <c r="AF69" s="373"/>
      <c r="AG69" s="373"/>
      <c r="AH69" s="373"/>
      <c r="AI69" s="373"/>
      <c r="AJ69" s="373"/>
      <c r="AK69" s="373"/>
      <c r="AL69" s="373"/>
      <c r="AM69" s="373"/>
      <c r="AN69" s="208"/>
      <c r="AO69" s="368"/>
      <c r="AP69" s="368"/>
      <c r="AQ69" s="368"/>
      <c r="AR69" s="368"/>
      <c r="AS69" s="368">
        <v>19</v>
      </c>
      <c r="AT69" s="368"/>
      <c r="AU69" s="368">
        <v>25</v>
      </c>
      <c r="AV69" s="368"/>
      <c r="AW69" s="368">
        <v>29</v>
      </c>
      <c r="AX69" s="368"/>
      <c r="AY69" s="368"/>
      <c r="AZ69" s="368"/>
      <c r="BA69" s="368"/>
      <c r="BB69" s="369"/>
      <c r="BC69" s="369"/>
      <c r="BD69" s="369"/>
      <c r="BE69" s="369"/>
      <c r="BF69" s="369"/>
      <c r="BG69" s="369"/>
      <c r="BH69" s="369"/>
      <c r="BI69" s="369"/>
      <c r="BJ69" s="369"/>
      <c r="BK69" s="369"/>
      <c r="BL69" s="369"/>
      <c r="BM69" s="370">
        <f t="shared" si="13"/>
        <v>73</v>
      </c>
      <c r="BN69" s="371">
        <f t="shared" si="13"/>
        <v>0</v>
      </c>
      <c r="BO69" s="372"/>
      <c r="BP69" s="372"/>
      <c r="BQ69" s="372"/>
      <c r="BR69" s="372"/>
      <c r="BS69" s="373"/>
      <c r="BT69" s="373"/>
      <c r="BU69" s="373"/>
      <c r="BV69" s="373"/>
      <c r="BW69" s="373"/>
      <c r="BX69" s="373"/>
      <c r="BY69" s="373"/>
      <c r="BZ69" s="373"/>
    </row>
    <row r="70" spans="1:78" ht="13.5" customHeight="1">
      <c r="A70" s="368" t="s">
        <v>426</v>
      </c>
      <c r="B70" s="368"/>
      <c r="C70" s="368"/>
      <c r="D70" s="368"/>
      <c r="E70" s="368"/>
      <c r="F70" s="368"/>
      <c r="G70" s="368"/>
      <c r="H70" s="368"/>
      <c r="I70" s="368"/>
      <c r="J70" s="368"/>
      <c r="K70" s="368"/>
      <c r="L70" s="368"/>
      <c r="M70" s="368"/>
      <c r="N70" s="368"/>
      <c r="O70" s="369"/>
      <c r="P70" s="369"/>
      <c r="Q70" s="369"/>
      <c r="R70" s="369"/>
      <c r="S70" s="369"/>
      <c r="T70" s="369"/>
      <c r="U70" s="369"/>
      <c r="V70" s="369"/>
      <c r="W70" s="369"/>
      <c r="X70" s="369"/>
      <c r="Y70" s="369"/>
      <c r="Z70" s="370">
        <f t="shared" si="12"/>
        <v>0</v>
      </c>
      <c r="AA70" s="371">
        <f t="shared" si="12"/>
        <v>0</v>
      </c>
      <c r="AB70" s="373"/>
      <c r="AC70" s="373"/>
      <c r="AD70" s="373"/>
      <c r="AE70" s="373"/>
      <c r="AF70" s="373"/>
      <c r="AG70" s="373"/>
      <c r="AH70" s="373"/>
      <c r="AI70" s="373"/>
      <c r="AJ70" s="373"/>
      <c r="AK70" s="373"/>
      <c r="AL70" s="373"/>
      <c r="AM70" s="373"/>
      <c r="AN70" s="208"/>
      <c r="AO70" s="368"/>
      <c r="AP70" s="368"/>
      <c r="AQ70" s="368">
        <v>23</v>
      </c>
      <c r="AR70" s="368"/>
      <c r="AS70" s="368">
        <f>80-AQ70</f>
        <v>57</v>
      </c>
      <c r="AT70" s="368"/>
      <c r="AU70" s="368">
        <v>21</v>
      </c>
      <c r="AV70" s="368"/>
      <c r="AW70" s="368">
        <v>52</v>
      </c>
      <c r="AX70" s="368"/>
      <c r="AY70" s="368"/>
      <c r="AZ70" s="368"/>
      <c r="BA70" s="368"/>
      <c r="BB70" s="369"/>
      <c r="BC70" s="369"/>
      <c r="BD70" s="369"/>
      <c r="BE70" s="369"/>
      <c r="BF70" s="369"/>
      <c r="BG70" s="369"/>
      <c r="BH70" s="369"/>
      <c r="BI70" s="369"/>
      <c r="BJ70" s="369"/>
      <c r="BK70" s="369"/>
      <c r="BL70" s="369"/>
      <c r="BM70" s="370">
        <f t="shared" si="13"/>
        <v>153</v>
      </c>
      <c r="BN70" s="371">
        <f t="shared" si="13"/>
        <v>0</v>
      </c>
      <c r="BO70" s="372"/>
      <c r="BP70" s="372"/>
      <c r="BQ70" s="372"/>
      <c r="BR70" s="372"/>
      <c r="BS70" s="373"/>
      <c r="BT70" s="373"/>
      <c r="BU70" s="373"/>
      <c r="BV70" s="373"/>
      <c r="BW70" s="373"/>
      <c r="BX70" s="373"/>
      <c r="BY70" s="373"/>
      <c r="BZ70" s="373"/>
    </row>
    <row r="71" spans="1:78" ht="13.5" customHeight="1">
      <c r="A71" s="368" t="s">
        <v>427</v>
      </c>
      <c r="B71" s="368"/>
      <c r="C71" s="368"/>
      <c r="D71" s="368"/>
      <c r="E71" s="368"/>
      <c r="F71" s="368"/>
      <c r="G71" s="368"/>
      <c r="H71" s="368"/>
      <c r="I71" s="368"/>
      <c r="J71" s="368"/>
      <c r="K71" s="368"/>
      <c r="L71" s="368"/>
      <c r="M71" s="368"/>
      <c r="N71" s="368"/>
      <c r="O71" s="369"/>
      <c r="P71" s="369"/>
      <c r="Q71" s="369"/>
      <c r="R71" s="369"/>
      <c r="S71" s="369"/>
      <c r="T71" s="369"/>
      <c r="U71" s="369"/>
      <c r="V71" s="369"/>
      <c r="W71" s="369"/>
      <c r="X71" s="369"/>
      <c r="Y71" s="369"/>
      <c r="Z71" s="370">
        <f t="shared" si="12"/>
        <v>0</v>
      </c>
      <c r="AA71" s="371">
        <f t="shared" si="12"/>
        <v>0</v>
      </c>
      <c r="AB71" s="373"/>
      <c r="AC71" s="373"/>
      <c r="AD71" s="373"/>
      <c r="AE71" s="373"/>
      <c r="AF71" s="373"/>
      <c r="AG71" s="373"/>
      <c r="AH71" s="373"/>
      <c r="AI71" s="373"/>
      <c r="AJ71" s="373"/>
      <c r="AK71" s="373"/>
      <c r="AL71" s="373"/>
      <c r="AM71" s="373"/>
      <c r="AN71" s="208"/>
      <c r="AO71" s="368"/>
      <c r="AP71" s="368"/>
      <c r="AQ71" s="368"/>
      <c r="AR71" s="368"/>
      <c r="AS71" s="368">
        <v>22</v>
      </c>
      <c r="AT71" s="368"/>
      <c r="AU71" s="368">
        <v>65</v>
      </c>
      <c r="AV71" s="368"/>
      <c r="AW71" s="368">
        <v>53</v>
      </c>
      <c r="AX71" s="368"/>
      <c r="AY71" s="368"/>
      <c r="AZ71" s="368"/>
      <c r="BA71" s="368"/>
      <c r="BB71" s="369"/>
      <c r="BC71" s="369"/>
      <c r="BD71" s="369"/>
      <c r="BE71" s="369"/>
      <c r="BF71" s="369"/>
      <c r="BG71" s="369"/>
      <c r="BH71" s="369"/>
      <c r="BI71" s="369"/>
      <c r="BJ71" s="369"/>
      <c r="BK71" s="369"/>
      <c r="BL71" s="369"/>
      <c r="BM71" s="370">
        <f t="shared" si="13"/>
        <v>140</v>
      </c>
      <c r="BN71" s="371">
        <f t="shared" si="13"/>
        <v>0</v>
      </c>
      <c r="BO71" s="372"/>
      <c r="BP71" s="372"/>
      <c r="BQ71" s="372"/>
      <c r="BR71" s="372"/>
      <c r="BS71" s="373"/>
      <c r="BT71" s="373"/>
      <c r="BU71" s="373"/>
      <c r="BV71" s="373"/>
      <c r="BW71" s="373"/>
      <c r="BX71" s="373"/>
      <c r="BY71" s="373"/>
      <c r="BZ71" s="373"/>
    </row>
    <row r="72" spans="1:78" ht="13.5" customHeight="1">
      <c r="A72" s="368" t="s">
        <v>428</v>
      </c>
      <c r="B72" s="368"/>
      <c r="C72" s="368"/>
      <c r="D72" s="368"/>
      <c r="E72" s="368"/>
      <c r="F72" s="368"/>
      <c r="G72" s="368"/>
      <c r="H72" s="368"/>
      <c r="I72" s="368"/>
      <c r="J72" s="368"/>
      <c r="K72" s="368"/>
      <c r="L72" s="368"/>
      <c r="M72" s="368"/>
      <c r="N72" s="368"/>
      <c r="O72" s="369"/>
      <c r="P72" s="369"/>
      <c r="Q72" s="369"/>
      <c r="R72" s="369"/>
      <c r="S72" s="369"/>
      <c r="T72" s="369"/>
      <c r="U72" s="369"/>
      <c r="V72" s="369"/>
      <c r="W72" s="369"/>
      <c r="X72" s="369"/>
      <c r="Y72" s="369"/>
      <c r="Z72" s="370">
        <f t="shared" si="12"/>
        <v>0</v>
      </c>
      <c r="AA72" s="371">
        <f t="shared" si="12"/>
        <v>0</v>
      </c>
      <c r="AB72" s="373"/>
      <c r="AC72" s="373"/>
      <c r="AD72" s="373"/>
      <c r="AE72" s="373"/>
      <c r="AF72" s="373"/>
      <c r="AG72" s="373"/>
      <c r="AH72" s="373"/>
      <c r="AI72" s="373"/>
      <c r="AJ72" s="373"/>
      <c r="AK72" s="373"/>
      <c r="AL72" s="373"/>
      <c r="AM72" s="373"/>
      <c r="AN72" s="208"/>
      <c r="AO72" s="368"/>
      <c r="AP72" s="368"/>
      <c r="AQ72" s="368"/>
      <c r="AR72" s="368"/>
      <c r="AS72" s="368">
        <v>12</v>
      </c>
      <c r="AT72" s="368"/>
      <c r="AU72" s="368">
        <v>35</v>
      </c>
      <c r="AV72" s="368"/>
      <c r="AW72" s="368">
        <v>36</v>
      </c>
      <c r="AX72" s="368"/>
      <c r="AY72" s="368"/>
      <c r="AZ72" s="368"/>
      <c r="BA72" s="368"/>
      <c r="BB72" s="369"/>
      <c r="BC72" s="369"/>
      <c r="BD72" s="369"/>
      <c r="BE72" s="369"/>
      <c r="BF72" s="369"/>
      <c r="BG72" s="369"/>
      <c r="BH72" s="369"/>
      <c r="BI72" s="369"/>
      <c r="BJ72" s="369"/>
      <c r="BK72" s="369"/>
      <c r="BL72" s="369"/>
      <c r="BM72" s="370">
        <f t="shared" si="13"/>
        <v>83</v>
      </c>
      <c r="BN72" s="371">
        <f t="shared" si="13"/>
        <v>0</v>
      </c>
      <c r="BO72" s="372"/>
      <c r="BP72" s="372"/>
      <c r="BQ72" s="372"/>
      <c r="BR72" s="372"/>
      <c r="BS72" s="373"/>
      <c r="BT72" s="373"/>
      <c r="BU72" s="373"/>
      <c r="BV72" s="373"/>
      <c r="BW72" s="373"/>
      <c r="BX72" s="373"/>
      <c r="BY72" s="373"/>
      <c r="BZ72" s="373"/>
    </row>
    <row r="73" spans="1:78" ht="13.5" customHeight="1">
      <c r="A73" s="368" t="s">
        <v>429</v>
      </c>
      <c r="B73" s="368"/>
      <c r="C73" s="368"/>
      <c r="D73" s="368"/>
      <c r="E73" s="368"/>
      <c r="F73" s="368"/>
      <c r="G73" s="368"/>
      <c r="H73" s="368"/>
      <c r="I73" s="368"/>
      <c r="J73" s="368"/>
      <c r="K73" s="368"/>
      <c r="L73" s="368"/>
      <c r="M73" s="368"/>
      <c r="N73" s="368"/>
      <c r="O73" s="369"/>
      <c r="P73" s="369"/>
      <c r="Q73" s="369"/>
      <c r="R73" s="369"/>
      <c r="S73" s="369"/>
      <c r="T73" s="369"/>
      <c r="U73" s="369"/>
      <c r="V73" s="369"/>
      <c r="W73" s="369"/>
      <c r="X73" s="369"/>
      <c r="Y73" s="369"/>
      <c r="Z73" s="370">
        <f t="shared" si="12"/>
        <v>0</v>
      </c>
      <c r="AA73" s="371">
        <f t="shared" si="12"/>
        <v>0</v>
      </c>
      <c r="AB73" s="373"/>
      <c r="AC73" s="373"/>
      <c r="AD73" s="373"/>
      <c r="AE73" s="373"/>
      <c r="AF73" s="373"/>
      <c r="AG73" s="373"/>
      <c r="AH73" s="373"/>
      <c r="AI73" s="373"/>
      <c r="AJ73" s="373"/>
      <c r="AK73" s="373"/>
      <c r="AL73" s="373"/>
      <c r="AM73" s="373"/>
      <c r="AN73" s="208"/>
      <c r="AO73" s="368"/>
      <c r="AP73" s="368"/>
      <c r="AQ73" s="368"/>
      <c r="AR73" s="368"/>
      <c r="AS73" s="368">
        <v>7</v>
      </c>
      <c r="AT73" s="368"/>
      <c r="AU73" s="368"/>
      <c r="AV73" s="368"/>
      <c r="AW73" s="368">
        <v>3</v>
      </c>
      <c r="AX73" s="368"/>
      <c r="AY73" s="368"/>
      <c r="AZ73" s="368"/>
      <c r="BA73" s="368"/>
      <c r="BB73" s="369"/>
      <c r="BC73" s="369"/>
      <c r="BD73" s="369"/>
      <c r="BE73" s="369"/>
      <c r="BF73" s="369"/>
      <c r="BG73" s="369"/>
      <c r="BH73" s="369"/>
      <c r="BI73" s="369"/>
      <c r="BJ73" s="369"/>
      <c r="BK73" s="369"/>
      <c r="BL73" s="369"/>
      <c r="BM73" s="370">
        <f t="shared" si="13"/>
        <v>10</v>
      </c>
      <c r="BN73" s="371">
        <f t="shared" si="13"/>
        <v>0</v>
      </c>
      <c r="BO73" s="372"/>
      <c r="BP73" s="372"/>
      <c r="BQ73" s="372"/>
      <c r="BR73" s="372"/>
      <c r="BS73" s="373"/>
      <c r="BT73" s="373"/>
      <c r="BU73" s="373"/>
      <c r="BV73" s="373"/>
      <c r="BW73" s="373"/>
      <c r="BX73" s="373"/>
      <c r="BY73" s="373"/>
      <c r="BZ73" s="373"/>
    </row>
    <row r="74" spans="1:78" ht="13.5" customHeight="1">
      <c r="A74" s="368" t="s">
        <v>430</v>
      </c>
      <c r="B74" s="368"/>
      <c r="C74" s="368"/>
      <c r="D74" s="368"/>
      <c r="E74" s="368"/>
      <c r="F74" s="368"/>
      <c r="G74" s="368"/>
      <c r="H74" s="368"/>
      <c r="I74" s="368"/>
      <c r="J74" s="368"/>
      <c r="K74" s="368"/>
      <c r="L74" s="368"/>
      <c r="M74" s="368"/>
      <c r="N74" s="368"/>
      <c r="O74" s="369"/>
      <c r="P74" s="369"/>
      <c r="Q74" s="369"/>
      <c r="R74" s="369"/>
      <c r="S74" s="369"/>
      <c r="T74" s="369"/>
      <c r="U74" s="369"/>
      <c r="V74" s="369"/>
      <c r="W74" s="369"/>
      <c r="X74" s="369"/>
      <c r="Y74" s="369"/>
      <c r="Z74" s="370">
        <f t="shared" si="12"/>
        <v>0</v>
      </c>
      <c r="AA74" s="371">
        <f t="shared" si="12"/>
        <v>0</v>
      </c>
      <c r="AB74" s="373"/>
      <c r="AC74" s="373"/>
      <c r="AD74" s="373"/>
      <c r="AE74" s="373"/>
      <c r="AF74" s="373"/>
      <c r="AG74" s="373"/>
      <c r="AH74" s="373"/>
      <c r="AI74" s="373"/>
      <c r="AJ74" s="373"/>
      <c r="AK74" s="373"/>
      <c r="AL74" s="373"/>
      <c r="AM74" s="373"/>
      <c r="AN74" s="208"/>
      <c r="AO74" s="368"/>
      <c r="AP74" s="368"/>
      <c r="AQ74" s="368"/>
      <c r="AR74" s="368"/>
      <c r="AS74" s="368">
        <v>24</v>
      </c>
      <c r="AT74" s="368"/>
      <c r="AU74" s="368"/>
      <c r="AV74" s="368"/>
      <c r="AW74" s="368">
        <v>51</v>
      </c>
      <c r="AX74" s="368"/>
      <c r="AY74" s="368"/>
      <c r="AZ74" s="368"/>
      <c r="BA74" s="368"/>
      <c r="BB74" s="369"/>
      <c r="BC74" s="369"/>
      <c r="BD74" s="369"/>
      <c r="BE74" s="369"/>
      <c r="BF74" s="369"/>
      <c r="BG74" s="369"/>
      <c r="BH74" s="369"/>
      <c r="BI74" s="369"/>
      <c r="BJ74" s="369"/>
      <c r="BK74" s="369"/>
      <c r="BL74" s="369"/>
      <c r="BM74" s="370">
        <f t="shared" si="13"/>
        <v>75</v>
      </c>
      <c r="BN74" s="371">
        <f t="shared" si="13"/>
        <v>0</v>
      </c>
      <c r="BO74" s="372"/>
      <c r="BP74" s="372"/>
      <c r="BQ74" s="372"/>
      <c r="BR74" s="372"/>
      <c r="BS74" s="373"/>
      <c r="BT74" s="373"/>
      <c r="BU74" s="373"/>
      <c r="BV74" s="373"/>
      <c r="BW74" s="373"/>
      <c r="BX74" s="373"/>
      <c r="BY74" s="373"/>
      <c r="BZ74" s="373"/>
    </row>
    <row r="75" spans="1:78" ht="13.5" customHeight="1">
      <c r="A75" s="368" t="s">
        <v>431</v>
      </c>
      <c r="B75" s="368"/>
      <c r="C75" s="368"/>
      <c r="D75" s="368"/>
      <c r="E75" s="368"/>
      <c r="F75" s="368"/>
      <c r="G75" s="368"/>
      <c r="H75" s="368"/>
      <c r="I75" s="368"/>
      <c r="J75" s="368"/>
      <c r="K75" s="368"/>
      <c r="L75" s="368"/>
      <c r="M75" s="368"/>
      <c r="N75" s="368"/>
      <c r="O75" s="369"/>
      <c r="P75" s="369"/>
      <c r="Q75" s="369"/>
      <c r="R75" s="369"/>
      <c r="S75" s="369"/>
      <c r="T75" s="369"/>
      <c r="U75" s="369"/>
      <c r="V75" s="369"/>
      <c r="W75" s="369"/>
      <c r="X75" s="369"/>
      <c r="Y75" s="369"/>
      <c r="Z75" s="370">
        <f t="shared" si="12"/>
        <v>0</v>
      </c>
      <c r="AA75" s="371">
        <f t="shared" si="12"/>
        <v>0</v>
      </c>
      <c r="AB75" s="373"/>
      <c r="AC75" s="373"/>
      <c r="AD75" s="373"/>
      <c r="AE75" s="373"/>
      <c r="AF75" s="373"/>
      <c r="AG75" s="373"/>
      <c r="AH75" s="373"/>
      <c r="AI75" s="373"/>
      <c r="AJ75" s="373"/>
      <c r="AK75" s="373"/>
      <c r="AL75" s="373"/>
      <c r="AM75" s="373"/>
      <c r="AN75" s="208"/>
      <c r="AO75" s="368"/>
      <c r="AP75" s="368"/>
      <c r="AQ75" s="368">
        <v>19</v>
      </c>
      <c r="AR75" s="368"/>
      <c r="AS75" s="368">
        <f>45-AQ75</f>
        <v>26</v>
      </c>
      <c r="AT75" s="368"/>
      <c r="AU75" s="368">
        <v>41</v>
      </c>
      <c r="AV75" s="368"/>
      <c r="AW75" s="368">
        <v>68</v>
      </c>
      <c r="AX75" s="368"/>
      <c r="AY75" s="368"/>
      <c r="AZ75" s="368"/>
      <c r="BA75" s="368"/>
      <c r="BB75" s="369"/>
      <c r="BC75" s="369"/>
      <c r="BD75" s="369"/>
      <c r="BE75" s="369"/>
      <c r="BF75" s="369"/>
      <c r="BG75" s="369"/>
      <c r="BH75" s="369"/>
      <c r="BI75" s="369"/>
      <c r="BJ75" s="369"/>
      <c r="BK75" s="369"/>
      <c r="BL75" s="369"/>
      <c r="BM75" s="370">
        <f t="shared" si="13"/>
        <v>154</v>
      </c>
      <c r="BN75" s="371">
        <f t="shared" si="13"/>
        <v>0</v>
      </c>
      <c r="BO75" s="372"/>
      <c r="BP75" s="372"/>
      <c r="BQ75" s="372"/>
      <c r="BR75" s="372"/>
      <c r="BS75" s="373"/>
      <c r="BT75" s="373"/>
      <c r="BU75" s="373"/>
      <c r="BV75" s="373"/>
      <c r="BW75" s="373"/>
      <c r="BX75" s="373"/>
      <c r="BY75" s="373"/>
      <c r="BZ75" s="373"/>
    </row>
    <row r="76" spans="1:78" ht="13.5" customHeight="1">
      <c r="A76" s="368" t="s">
        <v>432</v>
      </c>
      <c r="B76" s="368"/>
      <c r="C76" s="368"/>
      <c r="D76" s="368"/>
      <c r="E76" s="368"/>
      <c r="F76" s="368"/>
      <c r="G76" s="368"/>
      <c r="H76" s="368"/>
      <c r="I76" s="368"/>
      <c r="J76" s="368"/>
      <c r="K76" s="368"/>
      <c r="L76" s="368"/>
      <c r="M76" s="368"/>
      <c r="N76" s="368"/>
      <c r="O76" s="369"/>
      <c r="P76" s="369"/>
      <c r="Q76" s="369"/>
      <c r="R76" s="369"/>
      <c r="S76" s="369"/>
      <c r="T76" s="369"/>
      <c r="U76" s="369"/>
      <c r="V76" s="369"/>
      <c r="W76" s="369"/>
      <c r="X76" s="369"/>
      <c r="Y76" s="369"/>
      <c r="Z76" s="370">
        <f t="shared" si="12"/>
        <v>0</v>
      </c>
      <c r="AA76" s="371">
        <f t="shared" si="12"/>
        <v>0</v>
      </c>
      <c r="AB76" s="373"/>
      <c r="AC76" s="373"/>
      <c r="AD76" s="373"/>
      <c r="AE76" s="373"/>
      <c r="AF76" s="373"/>
      <c r="AG76" s="373"/>
      <c r="AH76" s="373"/>
      <c r="AI76" s="373"/>
      <c r="AJ76" s="373"/>
      <c r="AK76" s="373"/>
      <c r="AL76" s="373"/>
      <c r="AM76" s="373"/>
      <c r="AN76" s="208"/>
      <c r="AO76" s="368"/>
      <c r="AP76" s="368"/>
      <c r="AQ76" s="368">
        <v>5</v>
      </c>
      <c r="AR76" s="368"/>
      <c r="AS76" s="368">
        <f>132-AQ76</f>
        <v>127</v>
      </c>
      <c r="AT76" s="368"/>
      <c r="AU76" s="368">
        <v>21</v>
      </c>
      <c r="AV76" s="368"/>
      <c r="AW76" s="368">
        <v>63</v>
      </c>
      <c r="AX76" s="368"/>
      <c r="AY76" s="368"/>
      <c r="AZ76" s="368"/>
      <c r="BA76" s="368"/>
      <c r="BB76" s="369"/>
      <c r="BC76" s="369"/>
      <c r="BD76" s="369"/>
      <c r="BE76" s="369"/>
      <c r="BF76" s="369"/>
      <c r="BG76" s="369"/>
      <c r="BH76" s="369"/>
      <c r="BI76" s="369"/>
      <c r="BJ76" s="369"/>
      <c r="BK76" s="369"/>
      <c r="BL76" s="369"/>
      <c r="BM76" s="370">
        <f t="shared" si="13"/>
        <v>216</v>
      </c>
      <c r="BN76" s="371">
        <f t="shared" si="13"/>
        <v>0</v>
      </c>
      <c r="BO76" s="372"/>
      <c r="BP76" s="372"/>
      <c r="BQ76" s="372"/>
      <c r="BR76" s="372"/>
      <c r="BS76" s="373"/>
      <c r="BT76" s="373"/>
      <c r="BU76" s="373"/>
      <c r="BV76" s="373"/>
      <c r="BW76" s="373"/>
      <c r="BX76" s="373"/>
      <c r="BY76" s="373"/>
      <c r="BZ76" s="373"/>
    </row>
    <row r="77" spans="1:78" ht="13.5" customHeight="1">
      <c r="A77" s="368" t="s">
        <v>433</v>
      </c>
      <c r="B77" s="368"/>
      <c r="C77" s="368"/>
      <c r="D77" s="368"/>
      <c r="E77" s="368"/>
      <c r="F77" s="368"/>
      <c r="G77" s="368"/>
      <c r="H77" s="368"/>
      <c r="I77" s="368"/>
      <c r="J77" s="368"/>
      <c r="K77" s="368"/>
      <c r="L77" s="368"/>
      <c r="M77" s="368"/>
      <c r="N77" s="368"/>
      <c r="O77" s="369"/>
      <c r="P77" s="369"/>
      <c r="Q77" s="369"/>
      <c r="R77" s="369"/>
      <c r="S77" s="369"/>
      <c r="T77" s="369"/>
      <c r="U77" s="369"/>
      <c r="V77" s="369"/>
      <c r="W77" s="369"/>
      <c r="X77" s="369"/>
      <c r="Y77" s="369"/>
      <c r="Z77" s="370">
        <f t="shared" si="12"/>
        <v>0</v>
      </c>
      <c r="AA77" s="371">
        <f t="shared" si="12"/>
        <v>0</v>
      </c>
      <c r="AB77" s="373"/>
      <c r="AC77" s="373"/>
      <c r="AD77" s="373"/>
      <c r="AE77" s="373"/>
      <c r="AF77" s="373"/>
      <c r="AG77" s="373"/>
      <c r="AH77" s="373"/>
      <c r="AI77" s="373"/>
      <c r="AJ77" s="373"/>
      <c r="AK77" s="373"/>
      <c r="AL77" s="373"/>
      <c r="AM77" s="373"/>
      <c r="AN77" s="208"/>
      <c r="AO77" s="368"/>
      <c r="AP77" s="368"/>
      <c r="AQ77" s="368">
        <v>16</v>
      </c>
      <c r="AR77" s="368"/>
      <c r="AS77" s="368">
        <f>90-AQ77</f>
        <v>74</v>
      </c>
      <c r="AT77" s="368"/>
      <c r="AU77" s="368">
        <v>25</v>
      </c>
      <c r="AV77" s="368"/>
      <c r="AW77" s="368">
        <v>63</v>
      </c>
      <c r="AX77" s="368"/>
      <c r="AY77" s="368"/>
      <c r="AZ77" s="368"/>
      <c r="BA77" s="368"/>
      <c r="BB77" s="369"/>
      <c r="BC77" s="369"/>
      <c r="BD77" s="369"/>
      <c r="BE77" s="369"/>
      <c r="BF77" s="369"/>
      <c r="BG77" s="369"/>
      <c r="BH77" s="369"/>
      <c r="BI77" s="369"/>
      <c r="BJ77" s="369"/>
      <c r="BK77" s="369"/>
      <c r="BL77" s="369"/>
      <c r="BM77" s="370">
        <f t="shared" si="13"/>
        <v>178</v>
      </c>
      <c r="BN77" s="371">
        <f t="shared" si="13"/>
        <v>0</v>
      </c>
      <c r="BO77" s="372"/>
      <c r="BP77" s="372"/>
      <c r="BQ77" s="372"/>
      <c r="BR77" s="372"/>
      <c r="BS77" s="373"/>
      <c r="BT77" s="373"/>
      <c r="BU77" s="373"/>
      <c r="BV77" s="373"/>
      <c r="BW77" s="373"/>
      <c r="BX77" s="373"/>
      <c r="BY77" s="373"/>
      <c r="BZ77" s="373"/>
    </row>
    <row r="78" spans="1:78" ht="13.5" customHeight="1">
      <c r="A78" s="368" t="s">
        <v>434</v>
      </c>
      <c r="B78" s="368"/>
      <c r="C78" s="368"/>
      <c r="D78" s="368"/>
      <c r="E78" s="368"/>
      <c r="F78" s="368"/>
      <c r="G78" s="368"/>
      <c r="H78" s="368"/>
      <c r="I78" s="368"/>
      <c r="J78" s="368"/>
      <c r="K78" s="368"/>
      <c r="L78" s="368"/>
      <c r="M78" s="368"/>
      <c r="N78" s="368"/>
      <c r="O78" s="369"/>
      <c r="P78" s="369"/>
      <c r="Q78" s="369"/>
      <c r="R78" s="369"/>
      <c r="S78" s="369"/>
      <c r="T78" s="369"/>
      <c r="U78" s="369"/>
      <c r="V78" s="369"/>
      <c r="W78" s="369"/>
      <c r="X78" s="369"/>
      <c r="Y78" s="369"/>
      <c r="Z78" s="370">
        <f t="shared" si="12"/>
        <v>0</v>
      </c>
      <c r="AA78" s="371">
        <f t="shared" si="12"/>
        <v>0</v>
      </c>
      <c r="AB78" s="373"/>
      <c r="AC78" s="373"/>
      <c r="AD78" s="373"/>
      <c r="AE78" s="373"/>
      <c r="AF78" s="373"/>
      <c r="AG78" s="373"/>
      <c r="AH78" s="373"/>
      <c r="AI78" s="373"/>
      <c r="AJ78" s="373"/>
      <c r="AK78" s="373"/>
      <c r="AL78" s="373"/>
      <c r="AM78" s="373"/>
      <c r="AN78" s="208"/>
      <c r="AO78" s="368"/>
      <c r="AP78" s="368"/>
      <c r="AQ78" s="368"/>
      <c r="AR78" s="368"/>
      <c r="AS78" s="368">
        <v>49</v>
      </c>
      <c r="AT78" s="368"/>
      <c r="AU78" s="368"/>
      <c r="AV78" s="368"/>
      <c r="AW78" s="368">
        <v>94</v>
      </c>
      <c r="AX78" s="368"/>
      <c r="AY78" s="368"/>
      <c r="AZ78" s="368"/>
      <c r="BA78" s="368"/>
      <c r="BB78" s="369"/>
      <c r="BC78" s="369"/>
      <c r="BD78" s="369"/>
      <c r="BE78" s="369"/>
      <c r="BF78" s="369"/>
      <c r="BG78" s="369"/>
      <c r="BH78" s="369"/>
      <c r="BI78" s="369"/>
      <c r="BJ78" s="369"/>
      <c r="BK78" s="369"/>
      <c r="BL78" s="369"/>
      <c r="BM78" s="370">
        <f t="shared" si="13"/>
        <v>143</v>
      </c>
      <c r="BN78" s="371">
        <f t="shared" si="13"/>
        <v>0</v>
      </c>
      <c r="BO78" s="372"/>
      <c r="BP78" s="372"/>
      <c r="BQ78" s="372"/>
      <c r="BR78" s="372"/>
      <c r="BS78" s="373"/>
      <c r="BT78" s="373"/>
      <c r="BU78" s="373"/>
      <c r="BV78" s="373"/>
      <c r="BW78" s="373"/>
      <c r="BX78" s="373"/>
      <c r="BY78" s="373"/>
      <c r="BZ78" s="373"/>
    </row>
    <row r="79" spans="1:78" ht="13.5" customHeight="1">
      <c r="A79" s="368" t="s">
        <v>435</v>
      </c>
      <c r="B79" s="368"/>
      <c r="C79" s="368"/>
      <c r="D79" s="368"/>
      <c r="E79" s="368"/>
      <c r="F79" s="368"/>
      <c r="G79" s="368"/>
      <c r="H79" s="368"/>
      <c r="I79" s="368"/>
      <c r="J79" s="368"/>
      <c r="K79" s="368"/>
      <c r="L79" s="368"/>
      <c r="M79" s="368"/>
      <c r="N79" s="368"/>
      <c r="O79" s="369"/>
      <c r="P79" s="369"/>
      <c r="Q79" s="369"/>
      <c r="R79" s="369"/>
      <c r="S79" s="369"/>
      <c r="T79" s="369"/>
      <c r="U79" s="369"/>
      <c r="V79" s="369"/>
      <c r="W79" s="369"/>
      <c r="X79" s="369"/>
      <c r="Y79" s="369"/>
      <c r="Z79" s="370">
        <f t="shared" si="12"/>
        <v>0</v>
      </c>
      <c r="AA79" s="371">
        <f t="shared" si="12"/>
        <v>0</v>
      </c>
      <c r="AB79" s="373"/>
      <c r="AC79" s="373"/>
      <c r="AD79" s="373"/>
      <c r="AE79" s="373"/>
      <c r="AF79" s="373"/>
      <c r="AG79" s="373"/>
      <c r="AH79" s="373"/>
      <c r="AI79" s="373"/>
      <c r="AJ79" s="373"/>
      <c r="AK79" s="373"/>
      <c r="AL79" s="373"/>
      <c r="AM79" s="373"/>
      <c r="AN79" s="208"/>
      <c r="AO79" s="368"/>
      <c r="AP79" s="368"/>
      <c r="AQ79" s="368"/>
      <c r="AR79" s="368"/>
      <c r="AS79" s="368">
        <v>9</v>
      </c>
      <c r="AT79" s="368"/>
      <c r="AU79" s="368">
        <v>7</v>
      </c>
      <c r="AV79" s="368"/>
      <c r="AW79" s="368">
        <v>15</v>
      </c>
      <c r="AX79" s="368"/>
      <c r="AY79" s="368"/>
      <c r="AZ79" s="368"/>
      <c r="BA79" s="368"/>
      <c r="BB79" s="369"/>
      <c r="BC79" s="369"/>
      <c r="BD79" s="369"/>
      <c r="BE79" s="369"/>
      <c r="BF79" s="369"/>
      <c r="BG79" s="369"/>
      <c r="BH79" s="369"/>
      <c r="BI79" s="369"/>
      <c r="BJ79" s="369"/>
      <c r="BK79" s="369"/>
      <c r="BL79" s="369"/>
      <c r="BM79" s="370">
        <f t="shared" si="13"/>
        <v>31</v>
      </c>
      <c r="BN79" s="371">
        <f t="shared" si="13"/>
        <v>0</v>
      </c>
      <c r="BO79" s="372"/>
      <c r="BP79" s="372"/>
      <c r="BQ79" s="372"/>
      <c r="BR79" s="372"/>
      <c r="BS79" s="373"/>
      <c r="BT79" s="373"/>
      <c r="BU79" s="373"/>
      <c r="BV79" s="373"/>
      <c r="BW79" s="373"/>
      <c r="BX79" s="373"/>
      <c r="BY79" s="373"/>
      <c r="BZ79" s="373"/>
    </row>
    <row r="80" spans="1:78" ht="13.5" customHeight="1">
      <c r="A80" s="368" t="s">
        <v>436</v>
      </c>
      <c r="B80" s="368"/>
      <c r="C80" s="368"/>
      <c r="D80" s="368"/>
      <c r="E80" s="368"/>
      <c r="F80" s="368"/>
      <c r="G80" s="368"/>
      <c r="H80" s="368"/>
      <c r="I80" s="368"/>
      <c r="J80" s="368"/>
      <c r="K80" s="368"/>
      <c r="L80" s="368"/>
      <c r="M80" s="368"/>
      <c r="N80" s="368"/>
      <c r="O80" s="369"/>
      <c r="P80" s="369"/>
      <c r="Q80" s="369"/>
      <c r="R80" s="369"/>
      <c r="S80" s="369"/>
      <c r="T80" s="369"/>
      <c r="U80" s="369"/>
      <c r="V80" s="369"/>
      <c r="W80" s="369"/>
      <c r="X80" s="369"/>
      <c r="Y80" s="369"/>
      <c r="Z80" s="370">
        <f t="shared" si="12"/>
        <v>0</v>
      </c>
      <c r="AA80" s="371">
        <f t="shared" si="12"/>
        <v>0</v>
      </c>
      <c r="AB80" s="373"/>
      <c r="AC80" s="373"/>
      <c r="AD80" s="373"/>
      <c r="AE80" s="373"/>
      <c r="AF80" s="373"/>
      <c r="AG80" s="373"/>
      <c r="AH80" s="373"/>
      <c r="AI80" s="373"/>
      <c r="AJ80" s="373"/>
      <c r="AK80" s="373"/>
      <c r="AL80" s="373"/>
      <c r="AM80" s="373"/>
      <c r="AN80" s="208"/>
      <c r="AO80" s="368"/>
      <c r="AP80" s="368"/>
      <c r="AQ80" s="368">
        <v>10</v>
      </c>
      <c r="AR80" s="368"/>
      <c r="AS80" s="368"/>
      <c r="AT80" s="368"/>
      <c r="AU80" s="368"/>
      <c r="AV80" s="368"/>
      <c r="AW80" s="368">
        <v>8</v>
      </c>
      <c r="AX80" s="368"/>
      <c r="AY80" s="368"/>
      <c r="AZ80" s="368"/>
      <c r="BA80" s="368"/>
      <c r="BB80" s="369"/>
      <c r="BC80" s="369"/>
      <c r="BD80" s="369"/>
      <c r="BE80" s="369"/>
      <c r="BF80" s="369"/>
      <c r="BG80" s="369"/>
      <c r="BH80" s="369"/>
      <c r="BI80" s="369"/>
      <c r="BJ80" s="369"/>
      <c r="BK80" s="369"/>
      <c r="BL80" s="369"/>
      <c r="BM80" s="370">
        <f t="shared" si="13"/>
        <v>18</v>
      </c>
      <c r="BN80" s="371">
        <f t="shared" si="13"/>
        <v>0</v>
      </c>
      <c r="BO80" s="372"/>
      <c r="BP80" s="372"/>
      <c r="BQ80" s="372"/>
      <c r="BR80" s="372"/>
      <c r="BS80" s="373"/>
      <c r="BT80" s="373"/>
      <c r="BU80" s="373"/>
      <c r="BV80" s="373"/>
      <c r="BW80" s="373"/>
      <c r="BX80" s="373"/>
      <c r="BY80" s="373"/>
      <c r="BZ80" s="373"/>
    </row>
    <row r="81" spans="1:78" ht="13.5" customHeight="1">
      <c r="A81" s="368" t="s">
        <v>437</v>
      </c>
      <c r="B81" s="368"/>
      <c r="C81" s="368"/>
      <c r="D81" s="368"/>
      <c r="E81" s="368"/>
      <c r="F81" s="368"/>
      <c r="G81" s="368"/>
      <c r="H81" s="368"/>
      <c r="I81" s="368"/>
      <c r="J81" s="368"/>
      <c r="K81" s="368"/>
      <c r="L81" s="368"/>
      <c r="M81" s="368"/>
      <c r="N81" s="368"/>
      <c r="O81" s="369"/>
      <c r="P81" s="369"/>
      <c r="Q81" s="369"/>
      <c r="R81" s="369"/>
      <c r="S81" s="369"/>
      <c r="T81" s="369"/>
      <c r="U81" s="369"/>
      <c r="V81" s="369"/>
      <c r="W81" s="369"/>
      <c r="X81" s="369"/>
      <c r="Y81" s="369"/>
      <c r="Z81" s="370">
        <f t="shared" si="12"/>
        <v>0</v>
      </c>
      <c r="AA81" s="371">
        <f t="shared" si="12"/>
        <v>0</v>
      </c>
      <c r="AB81" s="373"/>
      <c r="AC81" s="373"/>
      <c r="AD81" s="373"/>
      <c r="AE81" s="373"/>
      <c r="AF81" s="373"/>
      <c r="AG81" s="373"/>
      <c r="AH81" s="373"/>
      <c r="AI81" s="373"/>
      <c r="AJ81" s="373"/>
      <c r="AK81" s="373"/>
      <c r="AL81" s="373"/>
      <c r="AM81" s="373"/>
      <c r="AN81" s="208"/>
      <c r="AO81" s="368"/>
      <c r="AP81" s="368"/>
      <c r="AQ81" s="368">
        <v>8</v>
      </c>
      <c r="AR81" s="368"/>
      <c r="AS81" s="368">
        <f>24-AQ81</f>
        <v>16</v>
      </c>
      <c r="AT81" s="368"/>
      <c r="AU81" s="368">
        <v>16</v>
      </c>
      <c r="AV81" s="368"/>
      <c r="AW81" s="368">
        <v>16</v>
      </c>
      <c r="AX81" s="368"/>
      <c r="AY81" s="368"/>
      <c r="AZ81" s="368"/>
      <c r="BA81" s="368"/>
      <c r="BB81" s="369"/>
      <c r="BC81" s="369"/>
      <c r="BD81" s="369"/>
      <c r="BE81" s="369"/>
      <c r="BF81" s="369"/>
      <c r="BG81" s="369"/>
      <c r="BH81" s="369"/>
      <c r="BI81" s="369"/>
      <c r="BJ81" s="369"/>
      <c r="BK81" s="369"/>
      <c r="BL81" s="369"/>
      <c r="BM81" s="370">
        <f t="shared" si="13"/>
        <v>56</v>
      </c>
      <c r="BN81" s="371">
        <f t="shared" si="13"/>
        <v>0</v>
      </c>
      <c r="BO81" s="372"/>
      <c r="BP81" s="372"/>
      <c r="BQ81" s="372"/>
      <c r="BR81" s="372"/>
      <c r="BS81" s="373"/>
      <c r="BT81" s="373"/>
      <c r="BU81" s="373"/>
      <c r="BV81" s="373"/>
      <c r="BW81" s="373"/>
      <c r="BX81" s="373"/>
      <c r="BY81" s="373"/>
      <c r="BZ81" s="373"/>
    </row>
    <row r="82" spans="1:78" ht="13.5" customHeight="1">
      <c r="A82" s="368" t="s">
        <v>438</v>
      </c>
      <c r="B82" s="368"/>
      <c r="C82" s="368"/>
      <c r="D82" s="368"/>
      <c r="E82" s="368"/>
      <c r="F82" s="368"/>
      <c r="G82" s="368"/>
      <c r="H82" s="368"/>
      <c r="I82" s="368"/>
      <c r="J82" s="368"/>
      <c r="K82" s="368"/>
      <c r="L82" s="368"/>
      <c r="M82" s="368"/>
      <c r="N82" s="368"/>
      <c r="O82" s="369"/>
      <c r="P82" s="369"/>
      <c r="Q82" s="369"/>
      <c r="R82" s="369"/>
      <c r="S82" s="369"/>
      <c r="T82" s="369"/>
      <c r="U82" s="369"/>
      <c r="V82" s="369"/>
      <c r="W82" s="369"/>
      <c r="X82" s="369"/>
      <c r="Y82" s="369"/>
      <c r="Z82" s="370">
        <f t="shared" si="12"/>
        <v>0</v>
      </c>
      <c r="AA82" s="371">
        <f t="shared" si="12"/>
        <v>0</v>
      </c>
      <c r="AB82" s="373"/>
      <c r="AC82" s="373"/>
      <c r="AD82" s="373"/>
      <c r="AE82" s="373"/>
      <c r="AF82" s="373"/>
      <c r="AG82" s="373"/>
      <c r="AH82" s="373"/>
      <c r="AI82" s="373"/>
      <c r="AJ82" s="373"/>
      <c r="AK82" s="373"/>
      <c r="AL82" s="373"/>
      <c r="AM82" s="373"/>
      <c r="AN82" s="208"/>
      <c r="AO82" s="368"/>
      <c r="AP82" s="368"/>
      <c r="AQ82" s="368">
        <v>24</v>
      </c>
      <c r="AR82" s="368"/>
      <c r="AS82" s="368"/>
      <c r="AT82" s="368"/>
      <c r="AU82" s="368"/>
      <c r="AV82" s="368"/>
      <c r="AW82" s="368">
        <v>26</v>
      </c>
      <c r="AX82" s="368"/>
      <c r="AY82" s="368"/>
      <c r="AZ82" s="368"/>
      <c r="BA82" s="368"/>
      <c r="BB82" s="369"/>
      <c r="BC82" s="369"/>
      <c r="BD82" s="369"/>
      <c r="BE82" s="369"/>
      <c r="BF82" s="369"/>
      <c r="BG82" s="369"/>
      <c r="BH82" s="369"/>
      <c r="BI82" s="369"/>
      <c r="BJ82" s="369"/>
      <c r="BK82" s="369"/>
      <c r="BL82" s="369"/>
      <c r="BM82" s="370">
        <f t="shared" si="13"/>
        <v>50</v>
      </c>
      <c r="BN82" s="371">
        <f t="shared" si="13"/>
        <v>0</v>
      </c>
      <c r="BO82" s="372"/>
      <c r="BP82" s="372"/>
      <c r="BQ82" s="372"/>
      <c r="BR82" s="372"/>
      <c r="BS82" s="373"/>
      <c r="BT82" s="373"/>
      <c r="BU82" s="373"/>
      <c r="BV82" s="373"/>
      <c r="BW82" s="373"/>
      <c r="BX82" s="373"/>
      <c r="BY82" s="373"/>
      <c r="BZ82" s="373"/>
    </row>
    <row r="83" spans="1:78" ht="13.5" customHeight="1">
      <c r="A83" s="368" t="s">
        <v>439</v>
      </c>
      <c r="B83" s="368"/>
      <c r="C83" s="368"/>
      <c r="D83" s="368"/>
      <c r="E83" s="368"/>
      <c r="F83" s="368"/>
      <c r="G83" s="368"/>
      <c r="H83" s="368"/>
      <c r="I83" s="368"/>
      <c r="J83" s="368"/>
      <c r="K83" s="368"/>
      <c r="L83" s="368"/>
      <c r="M83" s="368"/>
      <c r="N83" s="368"/>
      <c r="O83" s="369"/>
      <c r="P83" s="369"/>
      <c r="Q83" s="369"/>
      <c r="R83" s="369"/>
      <c r="S83" s="369"/>
      <c r="T83" s="369"/>
      <c r="U83" s="369"/>
      <c r="V83" s="369"/>
      <c r="W83" s="369"/>
      <c r="X83" s="369"/>
      <c r="Y83" s="369"/>
      <c r="Z83" s="370">
        <f t="shared" si="12"/>
        <v>0</v>
      </c>
      <c r="AA83" s="371">
        <f t="shared" si="12"/>
        <v>0</v>
      </c>
      <c r="AB83" s="373"/>
      <c r="AC83" s="373"/>
      <c r="AD83" s="373"/>
      <c r="AE83" s="373"/>
      <c r="AF83" s="373"/>
      <c r="AG83" s="373"/>
      <c r="AH83" s="373"/>
      <c r="AI83" s="373"/>
      <c r="AJ83" s="373"/>
      <c r="AK83" s="373"/>
      <c r="AL83" s="373"/>
      <c r="AM83" s="373"/>
      <c r="AN83" s="208"/>
      <c r="AO83" s="368"/>
      <c r="AP83" s="368"/>
      <c r="AQ83" s="368"/>
      <c r="AR83" s="368"/>
      <c r="AS83" s="368"/>
      <c r="AT83" s="368"/>
      <c r="AU83" s="368">
        <v>29</v>
      </c>
      <c r="AV83" s="368"/>
      <c r="AW83" s="368">
        <v>12</v>
      </c>
      <c r="AX83" s="368"/>
      <c r="AY83" s="368"/>
      <c r="AZ83" s="368"/>
      <c r="BA83" s="368"/>
      <c r="BB83" s="369"/>
      <c r="BC83" s="369"/>
      <c r="BD83" s="369"/>
      <c r="BE83" s="369"/>
      <c r="BF83" s="369"/>
      <c r="BG83" s="369"/>
      <c r="BH83" s="369"/>
      <c r="BI83" s="369"/>
      <c r="BJ83" s="369"/>
      <c r="BK83" s="369"/>
      <c r="BL83" s="369"/>
      <c r="BM83" s="370">
        <f t="shared" si="13"/>
        <v>41</v>
      </c>
      <c r="BN83" s="371">
        <f t="shared" si="13"/>
        <v>0</v>
      </c>
      <c r="BO83" s="372"/>
      <c r="BP83" s="372"/>
      <c r="BQ83" s="372"/>
      <c r="BR83" s="372"/>
      <c r="BS83" s="373"/>
      <c r="BT83" s="373"/>
      <c r="BU83" s="373"/>
      <c r="BV83" s="373"/>
      <c r="BW83" s="373"/>
      <c r="BX83" s="373"/>
      <c r="BY83" s="373"/>
      <c r="BZ83" s="373"/>
    </row>
    <row r="84" spans="1:78" ht="13.5" customHeight="1">
      <c r="A84" s="368" t="s">
        <v>440</v>
      </c>
      <c r="B84" s="368"/>
      <c r="C84" s="368"/>
      <c r="D84" s="368"/>
      <c r="E84" s="368"/>
      <c r="F84" s="368"/>
      <c r="G84" s="368"/>
      <c r="H84" s="368"/>
      <c r="I84" s="368"/>
      <c r="J84" s="368"/>
      <c r="K84" s="368"/>
      <c r="L84" s="368"/>
      <c r="M84" s="368"/>
      <c r="N84" s="368"/>
      <c r="O84" s="369"/>
      <c r="P84" s="369"/>
      <c r="Q84" s="369"/>
      <c r="R84" s="369"/>
      <c r="S84" s="369"/>
      <c r="T84" s="369"/>
      <c r="U84" s="369"/>
      <c r="V84" s="369"/>
      <c r="W84" s="369"/>
      <c r="X84" s="369"/>
      <c r="Y84" s="369"/>
      <c r="Z84" s="370">
        <f t="shared" si="12"/>
        <v>0</v>
      </c>
      <c r="AA84" s="371">
        <f t="shared" si="12"/>
        <v>0</v>
      </c>
      <c r="AB84" s="373"/>
      <c r="AC84" s="373"/>
      <c r="AD84" s="373"/>
      <c r="AE84" s="373"/>
      <c r="AF84" s="373"/>
      <c r="AG84" s="373"/>
      <c r="AH84" s="373"/>
      <c r="AI84" s="373"/>
      <c r="AJ84" s="373"/>
      <c r="AK84" s="373"/>
      <c r="AL84" s="373"/>
      <c r="AM84" s="373"/>
      <c r="AN84" s="208"/>
      <c r="AO84" s="368"/>
      <c r="AP84" s="368"/>
      <c r="AQ84" s="368"/>
      <c r="AR84" s="368"/>
      <c r="AS84" s="368"/>
      <c r="AT84" s="368"/>
      <c r="AU84" s="368"/>
      <c r="AV84" s="368"/>
      <c r="AW84" s="368"/>
      <c r="AX84" s="368"/>
      <c r="AY84" s="368"/>
      <c r="AZ84" s="368"/>
      <c r="BA84" s="368"/>
      <c r="BB84" s="369"/>
      <c r="BC84" s="369"/>
      <c r="BD84" s="369"/>
      <c r="BE84" s="369"/>
      <c r="BF84" s="369"/>
      <c r="BG84" s="369"/>
      <c r="BH84" s="369"/>
      <c r="BI84" s="369"/>
      <c r="BJ84" s="369"/>
      <c r="BK84" s="369"/>
      <c r="BL84" s="369"/>
      <c r="BM84" s="370">
        <f t="shared" si="13"/>
        <v>0</v>
      </c>
      <c r="BN84" s="371">
        <f t="shared" si="13"/>
        <v>0</v>
      </c>
      <c r="BO84" s="372"/>
      <c r="BP84" s="372"/>
      <c r="BQ84" s="372"/>
      <c r="BR84" s="372"/>
      <c r="BS84" s="373"/>
      <c r="BT84" s="373"/>
      <c r="BU84" s="373"/>
      <c r="BV84" s="373"/>
      <c r="BW84" s="373"/>
      <c r="BX84" s="373"/>
      <c r="BY84" s="373"/>
      <c r="BZ84" s="373"/>
    </row>
    <row r="85" spans="1:78" ht="13.5" customHeight="1">
      <c r="A85" s="368" t="s">
        <v>441</v>
      </c>
      <c r="B85" s="368"/>
      <c r="C85" s="368"/>
      <c r="D85" s="368"/>
      <c r="E85" s="368"/>
      <c r="F85" s="368"/>
      <c r="G85" s="368"/>
      <c r="H85" s="368"/>
      <c r="I85" s="368"/>
      <c r="J85" s="368"/>
      <c r="K85" s="368"/>
      <c r="L85" s="368"/>
      <c r="M85" s="368"/>
      <c r="N85" s="368"/>
      <c r="O85" s="369"/>
      <c r="P85" s="369"/>
      <c r="Q85" s="369"/>
      <c r="R85" s="369"/>
      <c r="S85" s="369"/>
      <c r="T85" s="369"/>
      <c r="U85" s="369"/>
      <c r="V85" s="369"/>
      <c r="W85" s="369"/>
      <c r="X85" s="369"/>
      <c r="Y85" s="369"/>
      <c r="Z85" s="370">
        <f t="shared" si="12"/>
        <v>0</v>
      </c>
      <c r="AA85" s="371">
        <f t="shared" si="12"/>
        <v>0</v>
      </c>
      <c r="AB85" s="373"/>
      <c r="AC85" s="373"/>
      <c r="AD85" s="373"/>
      <c r="AE85" s="373"/>
      <c r="AF85" s="373"/>
      <c r="AG85" s="373"/>
      <c r="AH85" s="373"/>
      <c r="AI85" s="373"/>
      <c r="AJ85" s="373"/>
      <c r="AK85" s="373"/>
      <c r="AL85" s="373"/>
      <c r="AM85" s="373"/>
      <c r="AN85" s="208"/>
      <c r="AO85" s="368"/>
      <c r="AP85" s="368"/>
      <c r="AQ85" s="368"/>
      <c r="AR85" s="368"/>
      <c r="AS85" s="368"/>
      <c r="AT85" s="368"/>
      <c r="AU85" s="368">
        <v>18</v>
      </c>
      <c r="AV85" s="368"/>
      <c r="AW85" s="368">
        <v>11</v>
      </c>
      <c r="AX85" s="368"/>
      <c r="AY85" s="368"/>
      <c r="AZ85" s="368"/>
      <c r="BA85" s="368"/>
      <c r="BB85" s="369"/>
      <c r="BC85" s="369"/>
      <c r="BD85" s="369"/>
      <c r="BE85" s="369"/>
      <c r="BF85" s="369"/>
      <c r="BG85" s="369"/>
      <c r="BH85" s="369"/>
      <c r="BI85" s="369"/>
      <c r="BJ85" s="369"/>
      <c r="BK85" s="369"/>
      <c r="BL85" s="369"/>
      <c r="BM85" s="370">
        <f t="shared" si="13"/>
        <v>29</v>
      </c>
      <c r="BN85" s="371">
        <f t="shared" si="13"/>
        <v>0</v>
      </c>
      <c r="BO85" s="372"/>
      <c r="BP85" s="372"/>
      <c r="BQ85" s="372"/>
      <c r="BR85" s="372"/>
      <c r="BS85" s="373"/>
      <c r="BT85" s="373"/>
      <c r="BU85" s="373"/>
      <c r="BV85" s="373"/>
      <c r="BW85" s="373"/>
      <c r="BX85" s="373"/>
      <c r="BY85" s="373"/>
      <c r="BZ85" s="373"/>
    </row>
    <row r="86" spans="1:78" ht="13.5" customHeight="1">
      <c r="A86" s="368" t="s">
        <v>442</v>
      </c>
      <c r="B86" s="368"/>
      <c r="C86" s="368"/>
      <c r="D86" s="368"/>
      <c r="E86" s="368"/>
      <c r="F86" s="368"/>
      <c r="G86" s="368"/>
      <c r="H86" s="368"/>
      <c r="I86" s="368"/>
      <c r="J86" s="368"/>
      <c r="K86" s="368"/>
      <c r="L86" s="368"/>
      <c r="M86" s="368"/>
      <c r="N86" s="368"/>
      <c r="O86" s="369"/>
      <c r="P86" s="369"/>
      <c r="Q86" s="369"/>
      <c r="R86" s="369"/>
      <c r="S86" s="369"/>
      <c r="T86" s="369"/>
      <c r="U86" s="369"/>
      <c r="V86" s="369"/>
      <c r="W86" s="369"/>
      <c r="X86" s="369"/>
      <c r="Y86" s="369"/>
      <c r="Z86" s="370">
        <f t="shared" si="12"/>
        <v>0</v>
      </c>
      <c r="AA86" s="371">
        <f t="shared" si="12"/>
        <v>0</v>
      </c>
      <c r="AB86" s="373"/>
      <c r="AC86" s="373"/>
      <c r="AD86" s="373"/>
      <c r="AE86" s="373"/>
      <c r="AF86" s="373"/>
      <c r="AG86" s="373"/>
      <c r="AH86" s="373"/>
      <c r="AI86" s="373"/>
      <c r="AJ86" s="373"/>
      <c r="AK86" s="373"/>
      <c r="AL86" s="373"/>
      <c r="AM86" s="373"/>
      <c r="AN86" s="208"/>
      <c r="AO86" s="368"/>
      <c r="AP86" s="368"/>
      <c r="AQ86" s="368"/>
      <c r="AR86" s="368"/>
      <c r="AS86" s="368">
        <v>12</v>
      </c>
      <c r="AT86" s="368"/>
      <c r="AU86" s="368">
        <v>26</v>
      </c>
      <c r="AV86" s="368"/>
      <c r="AW86" s="368">
        <v>25</v>
      </c>
      <c r="AX86" s="368"/>
      <c r="AY86" s="368"/>
      <c r="AZ86" s="368"/>
      <c r="BA86" s="368"/>
      <c r="BB86" s="369"/>
      <c r="BC86" s="369"/>
      <c r="BD86" s="369"/>
      <c r="BE86" s="369"/>
      <c r="BF86" s="369"/>
      <c r="BG86" s="369"/>
      <c r="BH86" s="369"/>
      <c r="BI86" s="369"/>
      <c r="BJ86" s="369"/>
      <c r="BK86" s="369"/>
      <c r="BL86" s="369"/>
      <c r="BM86" s="370">
        <f t="shared" si="13"/>
        <v>63</v>
      </c>
      <c r="BN86" s="371">
        <f t="shared" si="13"/>
        <v>0</v>
      </c>
      <c r="BO86" s="372"/>
      <c r="BP86" s="372"/>
      <c r="BQ86" s="372"/>
      <c r="BR86" s="372"/>
      <c r="BS86" s="373"/>
      <c r="BT86" s="373"/>
      <c r="BU86" s="373"/>
      <c r="BV86" s="373"/>
      <c r="BW86" s="373"/>
      <c r="BX86" s="373"/>
      <c r="BY86" s="373"/>
      <c r="BZ86" s="373"/>
    </row>
    <row r="87" spans="1:78" ht="13.5" customHeight="1">
      <c r="A87" s="368" t="s">
        <v>443</v>
      </c>
      <c r="B87" s="368"/>
      <c r="C87" s="368"/>
      <c r="D87" s="368"/>
      <c r="E87" s="368"/>
      <c r="F87" s="368"/>
      <c r="G87" s="368"/>
      <c r="H87" s="368"/>
      <c r="I87" s="368"/>
      <c r="J87" s="368"/>
      <c r="K87" s="368"/>
      <c r="L87" s="368"/>
      <c r="M87" s="368"/>
      <c r="N87" s="368"/>
      <c r="O87" s="369"/>
      <c r="P87" s="369"/>
      <c r="Q87" s="369"/>
      <c r="R87" s="369"/>
      <c r="S87" s="369"/>
      <c r="T87" s="369"/>
      <c r="U87" s="369"/>
      <c r="V87" s="369"/>
      <c r="W87" s="369"/>
      <c r="X87" s="369"/>
      <c r="Y87" s="369"/>
      <c r="Z87" s="370">
        <f t="shared" si="12"/>
        <v>0</v>
      </c>
      <c r="AA87" s="371">
        <f t="shared" si="12"/>
        <v>0</v>
      </c>
      <c r="AB87" s="373"/>
      <c r="AC87" s="373"/>
      <c r="AD87" s="373"/>
      <c r="AE87" s="373"/>
      <c r="AF87" s="373"/>
      <c r="AG87" s="373"/>
      <c r="AH87" s="373"/>
      <c r="AI87" s="373"/>
      <c r="AJ87" s="373"/>
      <c r="AK87" s="373"/>
      <c r="AL87" s="373"/>
      <c r="AM87" s="373"/>
      <c r="AN87" s="208"/>
      <c r="AO87" s="368"/>
      <c r="AP87" s="368"/>
      <c r="AQ87" s="368"/>
      <c r="AR87" s="368"/>
      <c r="AS87" s="368"/>
      <c r="AT87" s="368"/>
      <c r="AU87" s="368"/>
      <c r="AV87" s="368"/>
      <c r="AW87" s="368"/>
      <c r="AX87" s="368"/>
      <c r="AY87" s="368"/>
      <c r="AZ87" s="368"/>
      <c r="BA87" s="368"/>
      <c r="BB87" s="369"/>
      <c r="BC87" s="369"/>
      <c r="BD87" s="369"/>
      <c r="BE87" s="369"/>
      <c r="BF87" s="369"/>
      <c r="BG87" s="369"/>
      <c r="BH87" s="369"/>
      <c r="BI87" s="369"/>
      <c r="BJ87" s="369"/>
      <c r="BK87" s="369"/>
      <c r="BL87" s="369"/>
      <c r="BM87" s="370">
        <f t="shared" si="13"/>
        <v>0</v>
      </c>
      <c r="BN87" s="371">
        <f t="shared" si="13"/>
        <v>0</v>
      </c>
      <c r="BO87" s="372"/>
      <c r="BP87" s="372"/>
      <c r="BQ87" s="372"/>
      <c r="BR87" s="372"/>
      <c r="BS87" s="373"/>
      <c r="BT87" s="373"/>
      <c r="BU87" s="373"/>
      <c r="BV87" s="373"/>
      <c r="BW87" s="373"/>
      <c r="BX87" s="373"/>
      <c r="BY87" s="373"/>
      <c r="BZ87" s="373"/>
    </row>
    <row r="88" spans="1:78" ht="13.5" customHeight="1">
      <c r="A88" s="376" t="s">
        <v>444</v>
      </c>
      <c r="B88" s="377">
        <f t="shared" ref="B88:AM88" si="14">SUM(B67:B87)</f>
        <v>0</v>
      </c>
      <c r="C88" s="377">
        <f t="shared" si="14"/>
        <v>0</v>
      </c>
      <c r="D88" s="377">
        <f t="shared" si="14"/>
        <v>0</v>
      </c>
      <c r="E88" s="377">
        <f t="shared" si="14"/>
        <v>0</v>
      </c>
      <c r="F88" s="377">
        <f t="shared" si="14"/>
        <v>0</v>
      </c>
      <c r="G88" s="377">
        <f t="shared" si="14"/>
        <v>0</v>
      </c>
      <c r="H88" s="377">
        <f t="shared" si="14"/>
        <v>0</v>
      </c>
      <c r="I88" s="377">
        <f t="shared" si="14"/>
        <v>0</v>
      </c>
      <c r="J88" s="377">
        <f t="shared" si="14"/>
        <v>0</v>
      </c>
      <c r="K88" s="377">
        <f t="shared" si="14"/>
        <v>0</v>
      </c>
      <c r="L88" s="377">
        <f t="shared" si="14"/>
        <v>0</v>
      </c>
      <c r="M88" s="377">
        <f t="shared" si="14"/>
        <v>0</v>
      </c>
      <c r="N88" s="377">
        <f t="shared" si="14"/>
        <v>0</v>
      </c>
      <c r="O88" s="377">
        <f t="shared" si="14"/>
        <v>0</v>
      </c>
      <c r="P88" s="377">
        <f t="shared" si="14"/>
        <v>0</v>
      </c>
      <c r="Q88" s="377">
        <f t="shared" si="14"/>
        <v>0</v>
      </c>
      <c r="R88" s="377">
        <f t="shared" si="14"/>
        <v>0</v>
      </c>
      <c r="S88" s="377">
        <f t="shared" si="14"/>
        <v>0</v>
      </c>
      <c r="T88" s="377">
        <f t="shared" si="14"/>
        <v>0</v>
      </c>
      <c r="U88" s="377">
        <f t="shared" si="14"/>
        <v>0</v>
      </c>
      <c r="V88" s="377">
        <f t="shared" si="14"/>
        <v>0</v>
      </c>
      <c r="W88" s="377">
        <f t="shared" si="14"/>
        <v>0</v>
      </c>
      <c r="X88" s="377">
        <f t="shared" si="14"/>
        <v>0</v>
      </c>
      <c r="Y88" s="377">
        <f t="shared" si="14"/>
        <v>0</v>
      </c>
      <c r="Z88" s="377">
        <f t="shared" si="14"/>
        <v>0</v>
      </c>
      <c r="AA88" s="371">
        <f t="shared" si="14"/>
        <v>0</v>
      </c>
      <c r="AB88" s="377">
        <f t="shared" si="14"/>
        <v>0</v>
      </c>
      <c r="AC88" s="377">
        <f t="shared" si="14"/>
        <v>0</v>
      </c>
      <c r="AD88" s="377">
        <f t="shared" si="14"/>
        <v>0</v>
      </c>
      <c r="AE88" s="377">
        <f t="shared" si="14"/>
        <v>0</v>
      </c>
      <c r="AF88" s="377">
        <f t="shared" si="14"/>
        <v>0</v>
      </c>
      <c r="AG88" s="377">
        <f t="shared" si="14"/>
        <v>0</v>
      </c>
      <c r="AH88" s="377">
        <f t="shared" si="14"/>
        <v>0</v>
      </c>
      <c r="AI88" s="377">
        <f t="shared" si="14"/>
        <v>0</v>
      </c>
      <c r="AJ88" s="377">
        <f t="shared" si="14"/>
        <v>0</v>
      </c>
      <c r="AK88" s="377">
        <f t="shared" si="14"/>
        <v>0</v>
      </c>
      <c r="AL88" s="377">
        <f t="shared" si="14"/>
        <v>0</v>
      </c>
      <c r="AM88" s="377">
        <f t="shared" si="14"/>
        <v>0</v>
      </c>
      <c r="AN88" s="208"/>
      <c r="AO88" s="377">
        <f t="shared" ref="AO88:BZ88" si="15">SUM(AO67:AO87)</f>
        <v>0</v>
      </c>
      <c r="AP88" s="377">
        <f t="shared" si="15"/>
        <v>0</v>
      </c>
      <c r="AQ88" s="377">
        <f t="shared" si="15"/>
        <v>181</v>
      </c>
      <c r="AR88" s="377">
        <f t="shared" si="15"/>
        <v>0</v>
      </c>
      <c r="AS88" s="377">
        <f t="shared" si="15"/>
        <v>469</v>
      </c>
      <c r="AT88" s="377">
        <f t="shared" si="15"/>
        <v>0</v>
      </c>
      <c r="AU88" s="377">
        <f t="shared" si="15"/>
        <v>336</v>
      </c>
      <c r="AV88" s="377">
        <f t="shared" si="15"/>
        <v>0</v>
      </c>
      <c r="AW88" s="377">
        <f t="shared" si="15"/>
        <v>691</v>
      </c>
      <c r="AX88" s="377">
        <f t="shared" si="15"/>
        <v>0</v>
      </c>
      <c r="AY88" s="377">
        <f t="shared" si="15"/>
        <v>0</v>
      </c>
      <c r="AZ88" s="377">
        <f t="shared" si="15"/>
        <v>0</v>
      </c>
      <c r="BA88" s="377">
        <f t="shared" si="15"/>
        <v>0</v>
      </c>
      <c r="BB88" s="377">
        <f t="shared" si="15"/>
        <v>0</v>
      </c>
      <c r="BC88" s="377">
        <f t="shared" si="15"/>
        <v>0</v>
      </c>
      <c r="BD88" s="377">
        <f t="shared" si="15"/>
        <v>0</v>
      </c>
      <c r="BE88" s="377">
        <f t="shared" si="15"/>
        <v>0</v>
      </c>
      <c r="BF88" s="377">
        <f t="shared" si="15"/>
        <v>0</v>
      </c>
      <c r="BG88" s="377">
        <f t="shared" si="15"/>
        <v>0</v>
      </c>
      <c r="BH88" s="377">
        <f t="shared" si="15"/>
        <v>0</v>
      </c>
      <c r="BI88" s="377">
        <f t="shared" si="15"/>
        <v>0</v>
      </c>
      <c r="BJ88" s="377">
        <f t="shared" si="15"/>
        <v>0</v>
      </c>
      <c r="BK88" s="377">
        <f t="shared" si="15"/>
        <v>0</v>
      </c>
      <c r="BL88" s="377">
        <f t="shared" si="15"/>
        <v>0</v>
      </c>
      <c r="BM88" s="379">
        <f t="shared" si="15"/>
        <v>1677</v>
      </c>
      <c r="BN88" s="371">
        <f t="shared" si="15"/>
        <v>0</v>
      </c>
      <c r="BO88" s="371">
        <f t="shared" si="15"/>
        <v>0</v>
      </c>
      <c r="BP88" s="371">
        <f t="shared" si="15"/>
        <v>0</v>
      </c>
      <c r="BQ88" s="371">
        <f t="shared" si="15"/>
        <v>0</v>
      </c>
      <c r="BR88" s="371">
        <f t="shared" si="15"/>
        <v>0</v>
      </c>
      <c r="BS88" s="377">
        <f t="shared" si="15"/>
        <v>0</v>
      </c>
      <c r="BT88" s="377">
        <f t="shared" si="15"/>
        <v>0</v>
      </c>
      <c r="BU88" s="377">
        <f t="shared" si="15"/>
        <v>0</v>
      </c>
      <c r="BV88" s="377">
        <f t="shared" si="15"/>
        <v>0</v>
      </c>
      <c r="BW88" s="377">
        <f t="shared" si="15"/>
        <v>0</v>
      </c>
      <c r="BX88" s="377">
        <f t="shared" si="15"/>
        <v>0</v>
      </c>
      <c r="BY88" s="377">
        <f t="shared" si="15"/>
        <v>0</v>
      </c>
      <c r="BZ88" s="377">
        <f t="shared" si="15"/>
        <v>0</v>
      </c>
    </row>
    <row r="89" spans="1:78" ht="13.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row>
    <row r="90" spans="1:78" ht="13.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row>
    <row r="91" spans="1:78" ht="13.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row>
    <row r="92" spans="1:78" ht="13.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row>
    <row r="93" spans="1:78" ht="13.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row>
    <row r="94" spans="1:78" ht="13.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row>
    <row r="95" spans="1:78" ht="13.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row>
    <row r="96" spans="1:78" ht="13.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row>
    <row r="97" spans="1:78" ht="13.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row>
    <row r="98" spans="1:78" ht="13.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row>
    <row r="99" spans="1:78" ht="13.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row>
    <row r="100" spans="1:78" ht="13.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row>
  </sheetData>
  <mergeCells count="109">
    <mergeCell ref="BM65:BN65"/>
    <mergeCell ref="BO65:BT65"/>
    <mergeCell ref="BU65:BZ65"/>
    <mergeCell ref="AW65:AX65"/>
    <mergeCell ref="AY65:AZ65"/>
    <mergeCell ref="BA65:BB65"/>
    <mergeCell ref="BC65:BD65"/>
    <mergeCell ref="BE65:BF65"/>
    <mergeCell ref="BG65:BH65"/>
    <mergeCell ref="B62:BZ62"/>
    <mergeCell ref="B63:BZ63"/>
    <mergeCell ref="A65:A66"/>
    <mergeCell ref="B65:C65"/>
    <mergeCell ref="D65:E65"/>
    <mergeCell ref="F65:G65"/>
    <mergeCell ref="H65:I65"/>
    <mergeCell ref="J65:K65"/>
    <mergeCell ref="L65:M65"/>
    <mergeCell ref="N65:O65"/>
    <mergeCell ref="AB65:AG65"/>
    <mergeCell ref="AH65:AM65"/>
    <mergeCell ref="AO65:AP65"/>
    <mergeCell ref="AQ65:AR65"/>
    <mergeCell ref="AS65:AT65"/>
    <mergeCell ref="AU65:AV65"/>
    <mergeCell ref="P65:Q65"/>
    <mergeCell ref="R65:S65"/>
    <mergeCell ref="T65:U65"/>
    <mergeCell ref="V65:W65"/>
    <mergeCell ref="X65:Y65"/>
    <mergeCell ref="Z65:AA65"/>
    <mergeCell ref="BI65:BJ65"/>
    <mergeCell ref="BK65:BL65"/>
    <mergeCell ref="BM37:BN37"/>
    <mergeCell ref="BO37:BT37"/>
    <mergeCell ref="BU37:BZ37"/>
    <mergeCell ref="AU37:AV37"/>
    <mergeCell ref="AW37:AX37"/>
    <mergeCell ref="AY37:AZ37"/>
    <mergeCell ref="BA37:BB37"/>
    <mergeCell ref="BC37:BD37"/>
    <mergeCell ref="BE37:BF37"/>
    <mergeCell ref="N37:O37"/>
    <mergeCell ref="P37:Q37"/>
    <mergeCell ref="R37:S37"/>
    <mergeCell ref="T37:U37"/>
    <mergeCell ref="V37:W37"/>
    <mergeCell ref="X37:Y37"/>
    <mergeCell ref="BG37:BH37"/>
    <mergeCell ref="BI37:BJ37"/>
    <mergeCell ref="BK37:BL37"/>
    <mergeCell ref="BA9:BB9"/>
    <mergeCell ref="BC9:BD9"/>
    <mergeCell ref="X9:Y9"/>
    <mergeCell ref="Z9:AA9"/>
    <mergeCell ref="Z37:AA37"/>
    <mergeCell ref="AB37:AG37"/>
    <mergeCell ref="AH37:AM37"/>
    <mergeCell ref="AO37:AP37"/>
    <mergeCell ref="AQ37:AR37"/>
    <mergeCell ref="AS37:AT37"/>
    <mergeCell ref="P9:Q9"/>
    <mergeCell ref="R9:S9"/>
    <mergeCell ref="T9:U9"/>
    <mergeCell ref="V9:W9"/>
    <mergeCell ref="BU9:BZ9"/>
    <mergeCell ref="B34:BZ34"/>
    <mergeCell ref="B35:BZ35"/>
    <mergeCell ref="A37:A38"/>
    <mergeCell ref="B37:C37"/>
    <mergeCell ref="D37:E37"/>
    <mergeCell ref="F37:G37"/>
    <mergeCell ref="H37:I37"/>
    <mergeCell ref="J37:K37"/>
    <mergeCell ref="L37:M37"/>
    <mergeCell ref="BE9:BF9"/>
    <mergeCell ref="BG9:BH9"/>
    <mergeCell ref="BI9:BJ9"/>
    <mergeCell ref="BK9:BL9"/>
    <mergeCell ref="BM9:BN9"/>
    <mergeCell ref="BO9:BT9"/>
    <mergeCell ref="AS9:AT9"/>
    <mergeCell ref="AU9:AV9"/>
    <mergeCell ref="AW9:AX9"/>
    <mergeCell ref="AY9:AZ9"/>
    <mergeCell ref="A1:BW1"/>
    <mergeCell ref="BX1:BZ1"/>
    <mergeCell ref="A2:BW2"/>
    <mergeCell ref="BX2:BZ2"/>
    <mergeCell ref="A3:BW3"/>
    <mergeCell ref="BX3:BZ3"/>
    <mergeCell ref="A9:A10"/>
    <mergeCell ref="B9:C9"/>
    <mergeCell ref="D9:E9"/>
    <mergeCell ref="F9:G9"/>
    <mergeCell ref="H9:I9"/>
    <mergeCell ref="J9:K9"/>
    <mergeCell ref="A4:BW4"/>
    <mergeCell ref="BX4:BZ4"/>
    <mergeCell ref="A5:AM5"/>
    <mergeCell ref="AO5:BZ5"/>
    <mergeCell ref="B6:BZ6"/>
    <mergeCell ref="B7:BZ7"/>
    <mergeCell ref="AB9:AG9"/>
    <mergeCell ref="AH9:AM9"/>
    <mergeCell ref="AO9:AP9"/>
    <mergeCell ref="AQ9:AR9"/>
    <mergeCell ref="L9:M9"/>
    <mergeCell ref="N9:O9"/>
  </mergeCells>
  <pageMargins left="0.7" right="0.7" top="0.75" bottom="0.75" header="0" footer="0"/>
  <pageSetup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828-2AFE-4436-9D8F-A2D49E1DB459}">
  <sheetPr>
    <tabColor rgb="FFC0C0C0"/>
  </sheetPr>
  <dimension ref="A1:R38"/>
  <sheetViews>
    <sheetView workbookViewId="0">
      <selection activeCell="I15" sqref="I15"/>
    </sheetView>
  </sheetViews>
  <sheetFormatPr baseColWidth="10" defaultColWidth="10.7109375" defaultRowHeight="12"/>
  <cols>
    <col min="1" max="1" width="12.7109375" style="314" customWidth="1"/>
    <col min="2" max="2" width="6.5703125" style="314" customWidth="1"/>
    <col min="3" max="3" width="10" style="314" bestFit="1" customWidth="1"/>
    <col min="4" max="4" width="9.28515625" style="314" bestFit="1" customWidth="1"/>
    <col min="5" max="5" width="5.7109375" style="314" bestFit="1" customWidth="1"/>
    <col min="6" max="6" width="7.42578125" style="314" bestFit="1" customWidth="1"/>
    <col min="7" max="7" width="6.28515625" style="314" bestFit="1" customWidth="1"/>
    <col min="8" max="8" width="4.7109375" style="314" bestFit="1" customWidth="1"/>
    <col min="9" max="9" width="5.5703125" style="314" bestFit="1" customWidth="1"/>
    <col min="10" max="10" width="5.28515625" style="314" bestFit="1" customWidth="1"/>
    <col min="11" max="11" width="4.5703125" style="314" bestFit="1" customWidth="1"/>
    <col min="12" max="12" width="6.5703125" style="314" bestFit="1" customWidth="1"/>
    <col min="13" max="13" width="10.42578125" style="314" bestFit="1" customWidth="1"/>
    <col min="14" max="14" width="7.5703125" style="314" bestFit="1" customWidth="1"/>
    <col min="15" max="15" width="10" style="314" bestFit="1" customWidth="1"/>
    <col min="16" max="16" width="9.28515625" style="314" bestFit="1" customWidth="1"/>
    <col min="17" max="17" width="10.5703125" style="314" customWidth="1"/>
    <col min="18" max="18" width="8.28515625" style="314" customWidth="1"/>
    <col min="19" max="16384" width="10.7109375" style="314"/>
  </cols>
  <sheetData>
    <row r="1" spans="1:18">
      <c r="A1" s="313"/>
      <c r="B1" s="869">
        <v>2021</v>
      </c>
      <c r="C1" s="868" t="s">
        <v>446</v>
      </c>
      <c r="D1" s="868"/>
      <c r="E1" s="868"/>
      <c r="F1" s="868"/>
      <c r="G1" s="868"/>
      <c r="H1" s="868"/>
      <c r="I1" s="868"/>
      <c r="J1" s="868"/>
      <c r="K1" s="868"/>
      <c r="L1" s="868"/>
      <c r="M1" s="868"/>
      <c r="N1" s="868"/>
      <c r="O1" s="868"/>
      <c r="P1" s="868"/>
      <c r="Q1" s="868"/>
      <c r="R1" s="871" t="s">
        <v>447</v>
      </c>
    </row>
    <row r="2" spans="1:18">
      <c r="A2" s="315" t="s">
        <v>448</v>
      </c>
      <c r="B2" s="870"/>
      <c r="C2" s="316" t="s">
        <v>341</v>
      </c>
      <c r="D2" s="316" t="s">
        <v>342</v>
      </c>
      <c r="E2" s="316" t="s">
        <v>331</v>
      </c>
      <c r="F2" s="316" t="s">
        <v>332</v>
      </c>
      <c r="G2" s="316" t="s">
        <v>333</v>
      </c>
      <c r="H2" s="316" t="s">
        <v>334</v>
      </c>
      <c r="I2" s="316" t="s">
        <v>335</v>
      </c>
      <c r="J2" s="316" t="s">
        <v>336</v>
      </c>
      <c r="K2" s="316" t="s">
        <v>337</v>
      </c>
      <c r="L2" s="316" t="s">
        <v>338</v>
      </c>
      <c r="M2" s="316" t="s">
        <v>339</v>
      </c>
      <c r="N2" s="316" t="s">
        <v>340</v>
      </c>
      <c r="O2" s="316" t="s">
        <v>341</v>
      </c>
      <c r="P2" s="316" t="s">
        <v>342</v>
      </c>
      <c r="Q2" s="316" t="s">
        <v>449</v>
      </c>
      <c r="R2" s="871"/>
    </row>
    <row r="3" spans="1:18">
      <c r="A3" s="316" t="s">
        <v>450</v>
      </c>
      <c r="B3" s="316">
        <v>84</v>
      </c>
      <c r="C3" s="317">
        <v>32</v>
      </c>
      <c r="D3" s="317">
        <v>88</v>
      </c>
      <c r="E3" s="317">
        <v>26</v>
      </c>
      <c r="F3" s="317"/>
      <c r="G3" s="413">
        <v>29</v>
      </c>
      <c r="H3" s="317"/>
      <c r="I3" s="317"/>
      <c r="J3" s="317"/>
      <c r="K3" s="317"/>
      <c r="L3" s="317"/>
      <c r="M3" s="317"/>
      <c r="N3" s="317"/>
      <c r="O3" s="317"/>
      <c r="P3" s="317"/>
      <c r="Q3" s="317">
        <v>146</v>
      </c>
      <c r="R3" s="318">
        <f t="shared" ref="R3:R18" si="0">+Q3+B3</f>
        <v>230</v>
      </c>
    </row>
    <row r="4" spans="1:18">
      <c r="A4" s="316" t="s">
        <v>451</v>
      </c>
      <c r="B4" s="316">
        <v>97</v>
      </c>
      <c r="C4" s="317">
        <v>30</v>
      </c>
      <c r="D4" s="317">
        <v>96</v>
      </c>
      <c r="E4" s="317">
        <v>27</v>
      </c>
      <c r="F4" s="317">
        <v>1</v>
      </c>
      <c r="G4" s="413">
        <v>45</v>
      </c>
      <c r="H4" s="317"/>
      <c r="I4" s="317"/>
      <c r="J4" s="317"/>
      <c r="K4" s="317"/>
      <c r="L4" s="317"/>
      <c r="M4" s="317"/>
      <c r="N4" s="317"/>
      <c r="O4" s="317"/>
      <c r="P4" s="317"/>
      <c r="Q4" s="317">
        <v>154</v>
      </c>
      <c r="R4" s="318">
        <f t="shared" si="0"/>
        <v>251</v>
      </c>
    </row>
    <row r="5" spans="1:18">
      <c r="A5" s="316" t="s">
        <v>452</v>
      </c>
      <c r="B5" s="316">
        <v>140</v>
      </c>
      <c r="C5" s="317">
        <v>19</v>
      </c>
      <c r="D5" s="317">
        <v>104</v>
      </c>
      <c r="E5" s="317">
        <v>22</v>
      </c>
      <c r="F5" s="317"/>
      <c r="G5" s="413">
        <v>38</v>
      </c>
      <c r="H5" s="317"/>
      <c r="I5" s="317"/>
      <c r="J5" s="317"/>
      <c r="K5" s="317"/>
      <c r="L5" s="317"/>
      <c r="M5" s="317"/>
      <c r="N5" s="317"/>
      <c r="O5" s="317"/>
      <c r="P5" s="317"/>
      <c r="Q5" s="317">
        <v>145</v>
      </c>
      <c r="R5" s="318">
        <f t="shared" si="0"/>
        <v>285</v>
      </c>
    </row>
    <row r="6" spans="1:18">
      <c r="A6" s="316" t="s">
        <v>453</v>
      </c>
      <c r="B6" s="316">
        <v>158</v>
      </c>
      <c r="C6" s="317">
        <v>9</v>
      </c>
      <c r="D6" s="317">
        <v>125</v>
      </c>
      <c r="E6" s="317">
        <v>27</v>
      </c>
      <c r="F6" s="317"/>
      <c r="G6" s="413">
        <v>44</v>
      </c>
      <c r="H6" s="317"/>
      <c r="I6" s="317"/>
      <c r="J6" s="317"/>
      <c r="K6" s="317"/>
      <c r="L6" s="317"/>
      <c r="M6" s="317"/>
      <c r="N6" s="317"/>
      <c r="O6" s="317"/>
      <c r="P6" s="317"/>
      <c r="Q6" s="317">
        <v>161</v>
      </c>
      <c r="R6" s="318">
        <f t="shared" si="0"/>
        <v>319</v>
      </c>
    </row>
    <row r="7" spans="1:18">
      <c r="A7" s="316" t="s">
        <v>454</v>
      </c>
      <c r="B7" s="316">
        <v>107</v>
      </c>
      <c r="C7" s="317">
        <v>8</v>
      </c>
      <c r="D7" s="317">
        <v>108</v>
      </c>
      <c r="E7" s="317">
        <v>17</v>
      </c>
      <c r="F7" s="317">
        <v>18</v>
      </c>
      <c r="G7" s="413">
        <v>64</v>
      </c>
      <c r="H7" s="317"/>
      <c r="I7" s="317"/>
      <c r="J7" s="317"/>
      <c r="K7" s="317"/>
      <c r="L7" s="317"/>
      <c r="M7" s="317"/>
      <c r="N7" s="317"/>
      <c r="O7" s="317"/>
      <c r="P7" s="317"/>
      <c r="Q7" s="317">
        <v>151</v>
      </c>
      <c r="R7" s="318">
        <f t="shared" si="0"/>
        <v>258</v>
      </c>
    </row>
    <row r="8" spans="1:18">
      <c r="A8" s="316" t="s">
        <v>455</v>
      </c>
      <c r="B8" s="316">
        <v>97</v>
      </c>
      <c r="C8" s="317">
        <v>4</v>
      </c>
      <c r="D8" s="317">
        <v>120</v>
      </c>
      <c r="E8" s="317">
        <v>4</v>
      </c>
      <c r="F8" s="317">
        <v>35</v>
      </c>
      <c r="G8" s="413">
        <v>51</v>
      </c>
      <c r="H8" s="317"/>
      <c r="I8" s="317"/>
      <c r="J8" s="317"/>
      <c r="K8" s="317"/>
      <c r="L8" s="317"/>
      <c r="M8" s="317"/>
      <c r="N8" s="317"/>
      <c r="O8" s="317"/>
      <c r="P8" s="317"/>
      <c r="Q8" s="317">
        <v>163</v>
      </c>
      <c r="R8" s="318">
        <f t="shared" si="0"/>
        <v>260</v>
      </c>
    </row>
    <row r="9" spans="1:18">
      <c r="A9" s="316" t="s">
        <v>456</v>
      </c>
      <c r="B9" s="316">
        <v>78</v>
      </c>
      <c r="C9" s="317">
        <v>2</v>
      </c>
      <c r="D9" s="317">
        <v>101</v>
      </c>
      <c r="E9" s="317">
        <v>36</v>
      </c>
      <c r="F9" s="317">
        <v>27</v>
      </c>
      <c r="G9" s="413">
        <v>40</v>
      </c>
      <c r="H9" s="317"/>
      <c r="I9" s="317"/>
      <c r="J9" s="317"/>
      <c r="K9" s="317"/>
      <c r="L9" s="317"/>
      <c r="M9" s="317"/>
      <c r="N9" s="317"/>
      <c r="O9" s="317"/>
      <c r="P9" s="317"/>
      <c r="Q9" s="317">
        <v>166</v>
      </c>
      <c r="R9" s="318">
        <f t="shared" si="0"/>
        <v>244</v>
      </c>
    </row>
    <row r="10" spans="1:18">
      <c r="A10" s="316" t="s">
        <v>457</v>
      </c>
      <c r="B10" s="316">
        <v>74</v>
      </c>
      <c r="C10" s="317"/>
      <c r="D10" s="317">
        <v>76</v>
      </c>
      <c r="E10" s="317">
        <v>30</v>
      </c>
      <c r="F10" s="317">
        <v>15</v>
      </c>
      <c r="G10" s="413">
        <v>43</v>
      </c>
      <c r="H10" s="317"/>
      <c r="I10" s="317"/>
      <c r="J10" s="317"/>
      <c r="K10" s="317"/>
      <c r="L10" s="317"/>
      <c r="M10" s="317"/>
      <c r="N10" s="317"/>
      <c r="O10" s="317"/>
      <c r="P10" s="317"/>
      <c r="Q10" s="317">
        <v>121</v>
      </c>
      <c r="R10" s="318">
        <f t="shared" si="0"/>
        <v>195</v>
      </c>
    </row>
    <row r="11" spans="1:18">
      <c r="A11" s="316" t="s">
        <v>458</v>
      </c>
      <c r="B11" s="316">
        <v>69</v>
      </c>
      <c r="C11" s="317"/>
      <c r="D11" s="317">
        <v>12</v>
      </c>
      <c r="E11" s="317">
        <v>20</v>
      </c>
      <c r="F11" s="317">
        <v>12</v>
      </c>
      <c r="G11" s="413">
        <v>72</v>
      </c>
      <c r="H11" s="317"/>
      <c r="I11" s="317"/>
      <c r="J11" s="317"/>
      <c r="K11" s="317"/>
      <c r="L11" s="317"/>
      <c r="M11" s="317"/>
      <c r="N11" s="317"/>
      <c r="O11" s="317"/>
      <c r="P11" s="317"/>
      <c r="Q11" s="317">
        <v>44</v>
      </c>
      <c r="R11" s="318">
        <f t="shared" si="0"/>
        <v>113</v>
      </c>
    </row>
    <row r="12" spans="1:18">
      <c r="A12" s="316" t="s">
        <v>459</v>
      </c>
      <c r="B12" s="316">
        <v>35</v>
      </c>
      <c r="C12" s="317"/>
      <c r="D12" s="317">
        <v>5</v>
      </c>
      <c r="E12" s="317">
        <v>16</v>
      </c>
      <c r="F12" s="317">
        <v>3</v>
      </c>
      <c r="G12" s="413">
        <v>52</v>
      </c>
      <c r="H12" s="317"/>
      <c r="I12" s="317"/>
      <c r="J12" s="317"/>
      <c r="K12" s="317"/>
      <c r="L12" s="317"/>
      <c r="M12" s="317"/>
      <c r="N12" s="317"/>
      <c r="O12" s="317"/>
      <c r="P12" s="317"/>
      <c r="Q12" s="317">
        <v>24</v>
      </c>
      <c r="R12" s="318">
        <f t="shared" si="0"/>
        <v>59</v>
      </c>
    </row>
    <row r="13" spans="1:18">
      <c r="A13" s="316" t="s">
        <v>460</v>
      </c>
      <c r="B13" s="316">
        <v>15</v>
      </c>
      <c r="C13" s="317"/>
      <c r="D13" s="317">
        <v>2</v>
      </c>
      <c r="E13" s="317">
        <v>6</v>
      </c>
      <c r="F13" s="317">
        <v>4</v>
      </c>
      <c r="G13" s="413">
        <v>38</v>
      </c>
      <c r="H13" s="317"/>
      <c r="I13" s="317"/>
      <c r="J13" s="317"/>
      <c r="K13" s="317"/>
      <c r="L13" s="317"/>
      <c r="M13" s="317"/>
      <c r="N13" s="317"/>
      <c r="O13" s="317"/>
      <c r="P13" s="317"/>
      <c r="Q13" s="317">
        <v>12</v>
      </c>
      <c r="R13" s="318">
        <f t="shared" si="0"/>
        <v>27</v>
      </c>
    </row>
    <row r="14" spans="1:18">
      <c r="A14" s="316" t="s">
        <v>461</v>
      </c>
      <c r="B14" s="316">
        <v>4</v>
      </c>
      <c r="C14" s="317"/>
      <c r="D14" s="317">
        <v>2</v>
      </c>
      <c r="E14" s="317">
        <v>5</v>
      </c>
      <c r="F14" s="317">
        <v>3</v>
      </c>
      <c r="G14" s="413">
        <v>31</v>
      </c>
      <c r="H14" s="317"/>
      <c r="I14" s="317"/>
      <c r="J14" s="317"/>
      <c r="K14" s="317"/>
      <c r="L14" s="317"/>
      <c r="M14" s="317"/>
      <c r="N14" s="317"/>
      <c r="O14" s="317"/>
      <c r="P14" s="317"/>
      <c r="Q14" s="317">
        <v>10</v>
      </c>
      <c r="R14" s="318">
        <f t="shared" si="0"/>
        <v>14</v>
      </c>
    </row>
    <row r="15" spans="1:18">
      <c r="A15" s="316" t="s">
        <v>462</v>
      </c>
      <c r="B15" s="316">
        <v>2</v>
      </c>
      <c r="C15" s="317"/>
      <c r="D15" s="317">
        <v>2</v>
      </c>
      <c r="E15" s="317">
        <v>6</v>
      </c>
      <c r="F15" s="317">
        <v>1</v>
      </c>
      <c r="G15" s="413">
        <v>23</v>
      </c>
      <c r="H15" s="317"/>
      <c r="I15" s="317"/>
      <c r="J15" s="317"/>
      <c r="K15" s="317"/>
      <c r="L15" s="317"/>
      <c r="M15" s="317"/>
      <c r="N15" s="317"/>
      <c r="O15" s="317"/>
      <c r="P15" s="317"/>
      <c r="Q15" s="317">
        <v>9</v>
      </c>
      <c r="R15" s="318">
        <f t="shared" si="0"/>
        <v>11</v>
      </c>
    </row>
    <row r="16" spans="1:18">
      <c r="A16" s="316" t="s">
        <v>463</v>
      </c>
      <c r="B16" s="316">
        <v>1</v>
      </c>
      <c r="C16" s="317"/>
      <c r="D16" s="317"/>
      <c r="E16" s="317">
        <v>4</v>
      </c>
      <c r="F16" s="317">
        <v>1</v>
      </c>
      <c r="G16" s="413">
        <v>15</v>
      </c>
      <c r="H16" s="317"/>
      <c r="I16" s="317"/>
      <c r="J16" s="317"/>
      <c r="K16" s="317"/>
      <c r="L16" s="317"/>
      <c r="M16" s="317"/>
      <c r="N16" s="317"/>
      <c r="O16" s="317"/>
      <c r="P16" s="317"/>
      <c r="Q16" s="317">
        <v>5</v>
      </c>
      <c r="R16" s="318">
        <f t="shared" si="0"/>
        <v>6</v>
      </c>
    </row>
    <row r="17" spans="1:18">
      <c r="A17" s="316" t="s">
        <v>464</v>
      </c>
      <c r="B17" s="316"/>
      <c r="C17" s="317"/>
      <c r="D17" s="317"/>
      <c r="E17" s="317"/>
      <c r="F17" s="317"/>
      <c r="G17" s="413">
        <v>14</v>
      </c>
      <c r="H17" s="317"/>
      <c r="I17" s="317"/>
      <c r="J17" s="317"/>
      <c r="K17" s="317"/>
      <c r="L17" s="317"/>
      <c r="M17" s="317"/>
      <c r="N17" s="317"/>
      <c r="O17" s="317"/>
      <c r="P17" s="317"/>
      <c r="Q17" s="317">
        <v>0</v>
      </c>
      <c r="R17" s="318">
        <f t="shared" si="0"/>
        <v>0</v>
      </c>
    </row>
    <row r="18" spans="1:18">
      <c r="A18" s="316" t="s">
        <v>465</v>
      </c>
      <c r="B18" s="316"/>
      <c r="C18" s="317"/>
      <c r="D18" s="317"/>
      <c r="E18" s="317"/>
      <c r="F18" s="317">
        <v>1</v>
      </c>
      <c r="G18" s="413">
        <v>13</v>
      </c>
      <c r="H18" s="317"/>
      <c r="I18" s="317"/>
      <c r="J18" s="317"/>
      <c r="K18" s="317"/>
      <c r="L18" s="317"/>
      <c r="M18" s="317"/>
      <c r="N18" s="317"/>
      <c r="O18" s="317"/>
      <c r="P18" s="317"/>
      <c r="Q18" s="317">
        <v>1</v>
      </c>
      <c r="R18" s="318">
        <f t="shared" si="0"/>
        <v>1</v>
      </c>
    </row>
    <row r="19" spans="1:18">
      <c r="A19" s="316" t="s">
        <v>466</v>
      </c>
      <c r="B19" s="316">
        <v>1039</v>
      </c>
      <c r="C19" s="319">
        <f>SUM(C3:C18)</f>
        <v>104</v>
      </c>
      <c r="D19" s="319">
        <f>SUM(D3:D18)</f>
        <v>841</v>
      </c>
      <c r="E19" s="319">
        <f>SUM(E3:E18)</f>
        <v>246</v>
      </c>
      <c r="F19" s="319">
        <f>SUM(F3:F18)</f>
        <v>121</v>
      </c>
      <c r="G19" s="319">
        <f>SUM(G3:G18)</f>
        <v>612</v>
      </c>
      <c r="H19" s="319"/>
      <c r="I19" s="319"/>
      <c r="J19" s="319"/>
      <c r="K19" s="319"/>
      <c r="L19" s="319"/>
      <c r="M19" s="319"/>
      <c r="N19" s="319"/>
      <c r="O19" s="319"/>
      <c r="P19" s="319"/>
      <c r="Q19" s="319">
        <v>1312</v>
      </c>
      <c r="R19" s="318">
        <f>SUM(R3:R18)</f>
        <v>2273</v>
      </c>
    </row>
    <row r="20" spans="1:18">
      <c r="A20" s="314" t="s">
        <v>467</v>
      </c>
    </row>
    <row r="23" spans="1:18" ht="14.1" customHeight="1">
      <c r="A23" s="872" t="s">
        <v>468</v>
      </c>
      <c r="B23" s="874">
        <v>2022</v>
      </c>
      <c r="C23" s="875"/>
      <c r="D23" s="875"/>
      <c r="E23" s="875"/>
      <c r="F23" s="875"/>
      <c r="G23" s="875"/>
      <c r="H23" s="875"/>
      <c r="I23" s="875"/>
      <c r="J23" s="875"/>
      <c r="K23" s="875"/>
      <c r="L23" s="875"/>
      <c r="M23" s="876"/>
      <c r="N23" s="383">
        <v>2023</v>
      </c>
      <c r="O23" s="383">
        <v>2024</v>
      </c>
      <c r="P23" s="873" t="s">
        <v>469</v>
      </c>
      <c r="Q23" s="398"/>
    </row>
    <row r="24" spans="1:18" ht="28.5" customHeight="1">
      <c r="A24" s="872"/>
      <c r="B24" s="397" t="s">
        <v>470</v>
      </c>
      <c r="C24" s="397" t="s">
        <v>471</v>
      </c>
      <c r="D24" s="397" t="s">
        <v>472</v>
      </c>
      <c r="E24" s="397" t="s">
        <v>473</v>
      </c>
      <c r="F24" s="397" t="s">
        <v>474</v>
      </c>
      <c r="G24" s="397" t="s">
        <v>475</v>
      </c>
      <c r="H24" s="397" t="s">
        <v>476</v>
      </c>
      <c r="I24" s="397" t="s">
        <v>477</v>
      </c>
      <c r="J24" s="397" t="s">
        <v>478</v>
      </c>
      <c r="K24" s="397" t="s">
        <v>479</v>
      </c>
      <c r="L24" s="397" t="s">
        <v>480</v>
      </c>
      <c r="M24" s="397" t="s">
        <v>481</v>
      </c>
      <c r="N24" s="383"/>
      <c r="O24" s="383"/>
      <c r="P24" s="873"/>
      <c r="Q24" s="398"/>
    </row>
    <row r="25" spans="1:18">
      <c r="A25" s="396" t="s">
        <v>236</v>
      </c>
      <c r="B25" s="325"/>
      <c r="C25" s="325"/>
      <c r="D25" s="325">
        <v>831</v>
      </c>
      <c r="E25" s="325"/>
      <c r="F25" s="325"/>
      <c r="G25" s="325"/>
      <c r="H25" s="325"/>
      <c r="I25" s="325"/>
      <c r="J25" s="325"/>
      <c r="K25" s="325"/>
      <c r="L25" s="325"/>
      <c r="M25" s="325"/>
      <c r="N25" s="325"/>
      <c r="O25" s="325"/>
      <c r="P25" s="326">
        <f>SUM(B25:M25)</f>
        <v>831</v>
      </c>
      <c r="Q25" s="398"/>
    </row>
    <row r="26" spans="1:18">
      <c r="A26" s="396" t="s">
        <v>482</v>
      </c>
      <c r="B26" s="325"/>
      <c r="C26" s="328"/>
      <c r="D26" s="325">
        <v>1049</v>
      </c>
      <c r="E26" s="325"/>
      <c r="F26" s="325"/>
      <c r="G26" s="325"/>
      <c r="H26" s="325"/>
      <c r="I26" s="325"/>
      <c r="J26" s="325"/>
      <c r="K26" s="325"/>
      <c r="L26" s="325"/>
      <c r="M26" s="325"/>
      <c r="N26" s="325"/>
      <c r="O26" s="325"/>
      <c r="P26" s="326">
        <f t="shared" ref="P26:P32" si="1">SUM(B26:M26)</f>
        <v>1049</v>
      </c>
      <c r="Q26" s="398"/>
    </row>
    <row r="27" spans="1:18">
      <c r="A27" s="396" t="s">
        <v>483</v>
      </c>
      <c r="B27" s="325"/>
      <c r="C27" s="328"/>
      <c r="D27" s="329">
        <v>703</v>
      </c>
      <c r="E27" s="325"/>
      <c r="F27" s="325"/>
      <c r="G27" s="325"/>
      <c r="H27" s="325"/>
      <c r="I27" s="325"/>
      <c r="J27" s="325"/>
      <c r="K27" s="325"/>
      <c r="L27" s="325"/>
      <c r="M27" s="325"/>
      <c r="N27" s="325"/>
      <c r="O27" s="325"/>
      <c r="P27" s="326">
        <f t="shared" si="1"/>
        <v>703</v>
      </c>
      <c r="Q27" s="398"/>
    </row>
    <row r="28" spans="1:18">
      <c r="A28" s="396" t="s">
        <v>484</v>
      </c>
      <c r="B28" s="325"/>
      <c r="C28" s="328"/>
      <c r="D28" s="329">
        <v>1978</v>
      </c>
      <c r="E28" s="325"/>
      <c r="F28" s="325"/>
      <c r="G28" s="325"/>
      <c r="H28" s="325"/>
      <c r="I28" s="325"/>
      <c r="J28" s="325"/>
      <c r="K28" s="325"/>
      <c r="L28" s="325"/>
      <c r="M28" s="325"/>
      <c r="N28" s="325"/>
      <c r="O28" s="325"/>
      <c r="P28" s="326">
        <f t="shared" si="1"/>
        <v>1978</v>
      </c>
      <c r="Q28" s="398"/>
    </row>
    <row r="29" spans="1:18">
      <c r="A29" s="396" t="s">
        <v>485</v>
      </c>
      <c r="B29" s="325"/>
      <c r="C29" s="328"/>
      <c r="D29" s="325">
        <v>305</v>
      </c>
      <c r="E29" s="325"/>
      <c r="F29" s="325"/>
      <c r="G29" s="325"/>
      <c r="H29" s="325"/>
      <c r="I29" s="325"/>
      <c r="J29" s="325"/>
      <c r="K29" s="325"/>
      <c r="L29" s="325"/>
      <c r="M29" s="325"/>
      <c r="N29" s="325"/>
      <c r="O29" s="325"/>
      <c r="P29" s="326">
        <f t="shared" si="1"/>
        <v>305</v>
      </c>
      <c r="Q29" s="398"/>
    </row>
    <row r="30" spans="1:18">
      <c r="A30" s="396" t="s">
        <v>241</v>
      </c>
      <c r="B30" s="325"/>
      <c r="C30" s="328"/>
      <c r="D30" s="325">
        <v>525</v>
      </c>
      <c r="E30" s="325"/>
      <c r="F30" s="325"/>
      <c r="G30" s="325"/>
      <c r="H30" s="325"/>
      <c r="I30" s="325"/>
      <c r="J30" s="325"/>
      <c r="K30" s="325"/>
      <c r="L30" s="325"/>
      <c r="M30" s="325"/>
      <c r="N30" s="325"/>
      <c r="O30" s="325"/>
      <c r="P30" s="326">
        <f t="shared" si="1"/>
        <v>525</v>
      </c>
      <c r="Q30" s="398"/>
    </row>
    <row r="31" spans="1:18">
      <c r="A31" s="396" t="s">
        <v>486</v>
      </c>
      <c r="B31" s="325"/>
      <c r="C31" s="328"/>
      <c r="D31" s="329">
        <v>204</v>
      </c>
      <c r="E31" s="325"/>
      <c r="F31" s="325"/>
      <c r="G31" s="325"/>
      <c r="H31" s="325"/>
      <c r="I31" s="325"/>
      <c r="J31" s="325"/>
      <c r="K31" s="325"/>
      <c r="L31" s="325"/>
      <c r="M31" s="325"/>
      <c r="N31" s="325"/>
      <c r="O31" s="325"/>
      <c r="P31" s="326">
        <f t="shared" si="1"/>
        <v>204</v>
      </c>
      <c r="Q31" s="398"/>
    </row>
    <row r="32" spans="1:18">
      <c r="A32" s="396" t="s">
        <v>487</v>
      </c>
      <c r="B32" s="325"/>
      <c r="C32" s="325"/>
      <c r="D32" s="325">
        <v>487</v>
      </c>
      <c r="E32" s="325"/>
      <c r="F32" s="325"/>
      <c r="G32" s="325"/>
      <c r="H32" s="325"/>
      <c r="I32" s="325"/>
      <c r="J32" s="325"/>
      <c r="K32" s="325"/>
      <c r="L32" s="325"/>
      <c r="M32" s="325"/>
      <c r="N32" s="325"/>
      <c r="O32" s="325"/>
      <c r="P32" s="326">
        <f t="shared" si="1"/>
        <v>487</v>
      </c>
      <c r="Q32" s="398"/>
    </row>
    <row r="33" spans="1:17">
      <c r="A33" s="396" t="s">
        <v>488</v>
      </c>
      <c r="B33" s="325"/>
      <c r="C33" s="325"/>
      <c r="D33" s="325"/>
      <c r="E33" s="325"/>
      <c r="F33" s="325"/>
      <c r="G33" s="325"/>
      <c r="H33" s="325"/>
      <c r="I33" s="325"/>
      <c r="J33" s="325"/>
      <c r="K33" s="325"/>
      <c r="L33" s="325"/>
      <c r="M33" s="325"/>
      <c r="N33" s="325"/>
      <c r="O33" s="325"/>
      <c r="P33" s="326"/>
      <c r="Q33" s="398"/>
    </row>
    <row r="34" spans="1:17">
      <c r="A34" s="405" t="s">
        <v>489</v>
      </c>
      <c r="B34" s="406">
        <v>0</v>
      </c>
      <c r="C34" s="406">
        <v>7877</v>
      </c>
      <c r="D34" s="406">
        <f>SUM(D25:D33)</f>
        <v>6082</v>
      </c>
      <c r="E34" s="406">
        <f t="shared" ref="E34:M34" si="2">SUM(E25:E33)</f>
        <v>0</v>
      </c>
      <c r="F34" s="406">
        <f t="shared" si="2"/>
        <v>0</v>
      </c>
      <c r="G34" s="406">
        <f t="shared" si="2"/>
        <v>0</v>
      </c>
      <c r="H34" s="406">
        <f t="shared" si="2"/>
        <v>0</v>
      </c>
      <c r="I34" s="406">
        <f t="shared" si="2"/>
        <v>0</v>
      </c>
      <c r="J34" s="406">
        <f t="shared" si="2"/>
        <v>0</v>
      </c>
      <c r="K34" s="406">
        <f t="shared" si="2"/>
        <v>0</v>
      </c>
      <c r="L34" s="406">
        <f t="shared" si="2"/>
        <v>0</v>
      </c>
      <c r="M34" s="406">
        <f t="shared" si="2"/>
        <v>0</v>
      </c>
      <c r="N34" s="406">
        <v>0</v>
      </c>
      <c r="O34" s="406">
        <v>0</v>
      </c>
      <c r="P34" s="407">
        <f>SUM(B34:O34)</f>
        <v>13959</v>
      </c>
      <c r="Q34" s="398"/>
    </row>
    <row r="35" spans="1:17" s="404" customFormat="1">
      <c r="A35" s="401" t="s">
        <v>490</v>
      </c>
      <c r="B35" s="402"/>
      <c r="C35" s="402">
        <v>272</v>
      </c>
      <c r="D35" s="402">
        <f>SUM(D36:D38)</f>
        <v>230</v>
      </c>
      <c r="E35" s="402"/>
      <c r="F35" s="402"/>
      <c r="G35" s="402"/>
      <c r="H35" s="402"/>
      <c r="I35" s="402"/>
      <c r="J35" s="402"/>
      <c r="K35" s="402"/>
      <c r="L35" s="402"/>
      <c r="M35" s="402"/>
      <c r="N35" s="402"/>
      <c r="O35" s="402"/>
      <c r="P35" s="400">
        <f>SUM(B35:O35)</f>
        <v>502</v>
      </c>
      <c r="Q35" s="403"/>
    </row>
    <row r="36" spans="1:17">
      <c r="A36" s="396" t="s">
        <v>236</v>
      </c>
      <c r="B36" s="325"/>
      <c r="C36" s="325"/>
      <c r="D36" s="325">
        <v>70</v>
      </c>
      <c r="E36" s="325"/>
      <c r="F36" s="325"/>
      <c r="G36" s="325"/>
      <c r="H36" s="325"/>
      <c r="I36" s="325"/>
      <c r="J36" s="325"/>
      <c r="K36" s="325"/>
      <c r="L36" s="325"/>
      <c r="M36" s="325"/>
      <c r="N36" s="325"/>
      <c r="O36" s="325"/>
      <c r="P36" s="399">
        <f>SUM(B36:O36)</f>
        <v>70</v>
      </c>
      <c r="Q36" s="398"/>
    </row>
    <row r="37" spans="1:17">
      <c r="A37" s="396" t="s">
        <v>491</v>
      </c>
      <c r="B37" s="325"/>
      <c r="C37" s="328"/>
      <c r="D37" s="325">
        <v>103</v>
      </c>
      <c r="E37" s="325"/>
      <c r="F37" s="325"/>
      <c r="G37" s="325"/>
      <c r="H37" s="325"/>
      <c r="I37" s="325"/>
      <c r="J37" s="325"/>
      <c r="K37" s="325"/>
      <c r="L37" s="325"/>
      <c r="M37" s="325"/>
      <c r="N37" s="325"/>
      <c r="O37" s="325"/>
      <c r="P37" s="399">
        <f>SUM(B37:O37)</f>
        <v>103</v>
      </c>
      <c r="Q37" s="398"/>
    </row>
    <row r="38" spans="1:17">
      <c r="A38" s="396" t="s">
        <v>492</v>
      </c>
      <c r="B38" s="325"/>
      <c r="C38" s="328"/>
      <c r="D38" s="329">
        <v>57</v>
      </c>
      <c r="E38" s="325"/>
      <c r="F38" s="325"/>
      <c r="G38" s="325"/>
      <c r="H38" s="325"/>
      <c r="I38" s="325"/>
      <c r="J38" s="325"/>
      <c r="K38" s="325"/>
      <c r="L38" s="325"/>
      <c r="M38" s="325"/>
      <c r="N38" s="325"/>
      <c r="O38" s="325"/>
      <c r="P38" s="399">
        <f>SUM(B38:O38)</f>
        <v>57</v>
      </c>
      <c r="Q38" s="398"/>
    </row>
  </sheetData>
  <mergeCells count="6">
    <mergeCell ref="C1:Q1"/>
    <mergeCell ref="B1:B2"/>
    <mergeCell ref="R1:R2"/>
    <mergeCell ref="A23:A24"/>
    <mergeCell ref="P23:P24"/>
    <mergeCell ref="B23:M23"/>
  </mergeCells>
  <phoneticPr fontId="3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8B5-C655-4351-843E-1B581336ED3C}">
  <dimension ref="A1:S21"/>
  <sheetViews>
    <sheetView topLeftCell="A7" workbookViewId="0">
      <selection activeCell="H10" sqref="H10"/>
    </sheetView>
  </sheetViews>
  <sheetFormatPr baseColWidth="10" defaultColWidth="11.42578125" defaultRowHeight="15"/>
  <cols>
    <col min="1" max="1" width="27.7109375" customWidth="1"/>
    <col min="2" max="2" width="5.5703125" style="334" customWidth="1"/>
    <col min="3" max="3" width="6.5703125" style="334" customWidth="1"/>
    <col min="4" max="4" width="5.42578125" style="334" customWidth="1"/>
    <col min="5" max="5" width="6.42578125" style="334" customWidth="1"/>
    <col min="6" max="6" width="6.28515625" style="334" customWidth="1"/>
    <col min="7" max="15" width="5.42578125" style="334" customWidth="1"/>
    <col min="16" max="17" width="5.42578125" style="334" hidden="1" customWidth="1"/>
    <col min="18" max="19" width="10.7109375" style="334"/>
  </cols>
  <sheetData>
    <row r="1" spans="1:19" ht="23.1" customHeight="1">
      <c r="A1" s="879" t="s">
        <v>493</v>
      </c>
      <c r="B1" s="880">
        <v>2020</v>
      </c>
      <c r="C1" s="880">
        <v>2021</v>
      </c>
      <c r="D1" s="881">
        <v>2022</v>
      </c>
      <c r="E1" s="881"/>
      <c r="F1" s="881"/>
      <c r="G1" s="881"/>
      <c r="H1" s="881"/>
      <c r="I1" s="881"/>
      <c r="J1" s="881"/>
      <c r="K1" s="881"/>
      <c r="L1" s="881"/>
      <c r="M1" s="881"/>
      <c r="N1" s="881"/>
      <c r="O1" s="881"/>
      <c r="P1" s="877">
        <v>2023</v>
      </c>
      <c r="Q1" s="877">
        <v>2024</v>
      </c>
      <c r="R1" s="873" t="s">
        <v>469</v>
      </c>
      <c r="S1" s="878" t="s">
        <v>494</v>
      </c>
    </row>
    <row r="2" spans="1:19" ht="23.1" customHeight="1">
      <c r="A2" s="879"/>
      <c r="B2" s="880"/>
      <c r="C2" s="880"/>
      <c r="D2" s="323" t="s">
        <v>470</v>
      </c>
      <c r="E2" s="323" t="s">
        <v>471</v>
      </c>
      <c r="F2" s="323" t="s">
        <v>472</v>
      </c>
      <c r="G2" s="323" t="s">
        <v>473</v>
      </c>
      <c r="H2" s="323" t="s">
        <v>474</v>
      </c>
      <c r="I2" s="323" t="s">
        <v>475</v>
      </c>
      <c r="J2" s="323" t="s">
        <v>476</v>
      </c>
      <c r="K2" s="323" t="s">
        <v>477</v>
      </c>
      <c r="L2" s="323" t="s">
        <v>478</v>
      </c>
      <c r="M2" s="323" t="s">
        <v>479</v>
      </c>
      <c r="N2" s="323" t="s">
        <v>480</v>
      </c>
      <c r="O2" s="323" t="s">
        <v>481</v>
      </c>
      <c r="P2" s="877"/>
      <c r="Q2" s="877"/>
      <c r="R2" s="873"/>
      <c r="S2" s="878"/>
    </row>
    <row r="3" spans="1:19">
      <c r="A3" s="320" t="s">
        <v>236</v>
      </c>
      <c r="B3" s="324"/>
      <c r="C3" s="324">
        <v>16682</v>
      </c>
      <c r="D3" s="325">
        <v>0</v>
      </c>
      <c r="E3" s="325">
        <v>72</v>
      </c>
      <c r="F3" s="328">
        <v>6152</v>
      </c>
      <c r="G3" s="325"/>
      <c r="H3" s="325"/>
      <c r="I3" s="325"/>
      <c r="J3" s="325"/>
      <c r="K3" s="325"/>
      <c r="L3" s="325"/>
      <c r="M3" s="325"/>
      <c r="N3" s="325"/>
      <c r="O3" s="325"/>
      <c r="P3" s="325"/>
      <c r="Q3" s="325"/>
      <c r="R3" s="326">
        <f>SUM(D3:O3)</f>
        <v>6224</v>
      </c>
      <c r="S3" s="327">
        <f>+R3+B3+C3</f>
        <v>22906</v>
      </c>
    </row>
    <row r="4" spans="1:19">
      <c r="A4" s="320" t="s">
        <v>482</v>
      </c>
      <c r="B4" s="324"/>
      <c r="C4" s="324">
        <v>11309</v>
      </c>
      <c r="D4" s="325">
        <v>0</v>
      </c>
      <c r="E4" s="328">
        <v>1339</v>
      </c>
      <c r="F4" s="328">
        <v>3401</v>
      </c>
      <c r="G4" s="325"/>
      <c r="H4" s="325"/>
      <c r="I4" s="325"/>
      <c r="J4" s="325"/>
      <c r="K4" s="325"/>
      <c r="L4" s="325"/>
      <c r="M4" s="325"/>
      <c r="N4" s="325"/>
      <c r="O4" s="325"/>
      <c r="P4" s="325"/>
      <c r="Q4" s="325"/>
      <c r="R4" s="326">
        <f t="shared" ref="R4:R10" si="0">SUM(D4:O4)</f>
        <v>4740</v>
      </c>
      <c r="S4" s="327">
        <f t="shared" ref="S4:S10" si="1">+R4+B4+C4</f>
        <v>16049</v>
      </c>
    </row>
    <row r="5" spans="1:19" ht="13.5" customHeight="1">
      <c r="A5" s="320" t="s">
        <v>483</v>
      </c>
      <c r="B5" s="324"/>
      <c r="C5" s="324">
        <v>7159</v>
      </c>
      <c r="D5" s="325">
        <v>156</v>
      </c>
      <c r="E5" s="328">
        <v>916</v>
      </c>
      <c r="F5" s="328">
        <v>1966</v>
      </c>
      <c r="G5" s="325"/>
      <c r="H5" s="325"/>
      <c r="I5" s="325"/>
      <c r="J5" s="325"/>
      <c r="K5" s="325"/>
      <c r="L5" s="325"/>
      <c r="M5" s="325"/>
      <c r="N5" s="325"/>
      <c r="O5" s="325"/>
      <c r="P5" s="325"/>
      <c r="Q5" s="325"/>
      <c r="R5" s="326">
        <f t="shared" si="0"/>
        <v>3038</v>
      </c>
      <c r="S5" s="327">
        <f t="shared" si="1"/>
        <v>10197</v>
      </c>
    </row>
    <row r="6" spans="1:19">
      <c r="A6" s="320" t="s">
        <v>484</v>
      </c>
      <c r="B6" s="324"/>
      <c r="C6" s="324">
        <v>7845</v>
      </c>
      <c r="D6" s="325">
        <v>512</v>
      </c>
      <c r="E6" s="328">
        <v>3578</v>
      </c>
      <c r="F6" s="328">
        <v>2291</v>
      </c>
      <c r="G6" s="325"/>
      <c r="H6" s="325"/>
      <c r="I6" s="325"/>
      <c r="J6" s="325"/>
      <c r="K6" s="325"/>
      <c r="L6" s="325"/>
      <c r="M6" s="325"/>
      <c r="N6" s="325"/>
      <c r="O6" s="325"/>
      <c r="P6" s="325"/>
      <c r="Q6" s="325"/>
      <c r="R6" s="326">
        <f t="shared" si="0"/>
        <v>6381</v>
      </c>
      <c r="S6" s="327">
        <f t="shared" si="1"/>
        <v>14226</v>
      </c>
    </row>
    <row r="7" spans="1:19">
      <c r="A7" s="320" t="s">
        <v>485</v>
      </c>
      <c r="B7" s="324"/>
      <c r="C7" s="324">
        <v>3843</v>
      </c>
      <c r="D7" s="325">
        <v>154</v>
      </c>
      <c r="E7" s="328">
        <v>1526</v>
      </c>
      <c r="F7" s="328">
        <v>971</v>
      </c>
      <c r="G7" s="325"/>
      <c r="H7" s="325"/>
      <c r="I7" s="325"/>
      <c r="J7" s="325"/>
      <c r="K7" s="325"/>
      <c r="L7" s="325"/>
      <c r="M7" s="325"/>
      <c r="N7" s="325"/>
      <c r="O7" s="325"/>
      <c r="P7" s="325"/>
      <c r="Q7" s="325"/>
      <c r="R7" s="326">
        <f t="shared" si="0"/>
        <v>2651</v>
      </c>
      <c r="S7" s="327">
        <f t="shared" si="1"/>
        <v>6494</v>
      </c>
    </row>
    <row r="8" spans="1:19">
      <c r="A8" s="320" t="s">
        <v>241</v>
      </c>
      <c r="B8" s="324"/>
      <c r="C8" s="324">
        <v>7039</v>
      </c>
      <c r="D8" s="325">
        <v>1175</v>
      </c>
      <c r="E8" s="328">
        <v>2807</v>
      </c>
      <c r="F8" s="328">
        <v>1450</v>
      </c>
      <c r="H8" s="325"/>
      <c r="I8" s="325"/>
      <c r="J8" s="325"/>
      <c r="K8" s="325"/>
      <c r="L8" s="325"/>
      <c r="M8" s="325"/>
      <c r="N8" s="325"/>
      <c r="O8" s="325"/>
      <c r="P8" s="325"/>
      <c r="Q8" s="325"/>
      <c r="R8" s="326">
        <f t="shared" si="0"/>
        <v>5432</v>
      </c>
      <c r="S8" s="327">
        <f t="shared" si="1"/>
        <v>12471</v>
      </c>
    </row>
    <row r="9" spans="1:19">
      <c r="A9" s="320" t="s">
        <v>486</v>
      </c>
      <c r="B9" s="324"/>
      <c r="C9" s="324">
        <v>4323</v>
      </c>
      <c r="D9" s="325">
        <v>0</v>
      </c>
      <c r="E9" s="328">
        <v>353</v>
      </c>
      <c r="F9" s="328">
        <v>468</v>
      </c>
      <c r="G9" s="325"/>
      <c r="H9" s="325"/>
      <c r="I9" s="325"/>
      <c r="J9" s="325"/>
      <c r="K9" s="325"/>
      <c r="L9" s="325"/>
      <c r="M9" s="325"/>
      <c r="N9" s="325"/>
      <c r="O9" s="325"/>
      <c r="P9" s="325"/>
      <c r="Q9" s="325"/>
      <c r="R9" s="326">
        <f t="shared" si="0"/>
        <v>821</v>
      </c>
      <c r="S9" s="327">
        <f t="shared" si="1"/>
        <v>5144</v>
      </c>
    </row>
    <row r="10" spans="1:19">
      <c r="A10" s="320" t="s">
        <v>487</v>
      </c>
      <c r="B10" s="324"/>
      <c r="C10" s="324"/>
      <c r="D10" s="325">
        <v>0</v>
      </c>
      <c r="E10" s="325">
        <v>10</v>
      </c>
      <c r="F10" s="328">
        <v>776</v>
      </c>
      <c r="H10" s="325"/>
      <c r="I10" s="325"/>
      <c r="J10" s="325"/>
      <c r="K10" s="325"/>
      <c r="L10" s="325"/>
      <c r="M10" s="325"/>
      <c r="N10" s="325"/>
      <c r="O10" s="325"/>
      <c r="P10" s="325"/>
      <c r="Q10" s="325"/>
      <c r="R10" s="326">
        <f t="shared" si="0"/>
        <v>786</v>
      </c>
      <c r="S10" s="327">
        <f t="shared" si="1"/>
        <v>786</v>
      </c>
    </row>
    <row r="11" spans="1:19">
      <c r="A11" s="320"/>
      <c r="B11" s="324"/>
      <c r="C11" s="324"/>
      <c r="D11" s="325"/>
      <c r="E11" s="325"/>
      <c r="F11" s="328"/>
      <c r="G11" s="325"/>
      <c r="H11" s="325"/>
      <c r="I11" s="325"/>
      <c r="J11" s="325"/>
      <c r="K11" s="325"/>
      <c r="L11" s="325"/>
      <c r="M11" s="325"/>
      <c r="N11" s="325"/>
      <c r="O11" s="325"/>
      <c r="P11" s="325"/>
      <c r="Q11" s="325"/>
      <c r="R11" s="326"/>
      <c r="S11" s="327"/>
    </row>
    <row r="12" spans="1:19" s="322" customFormat="1">
      <c r="A12" s="321" t="s">
        <v>489</v>
      </c>
      <c r="B12" s="330">
        <f>SUM(B3:B9)</f>
        <v>0</v>
      </c>
      <c r="C12" s="330">
        <f>SUM(C3:C11)</f>
        <v>58200</v>
      </c>
      <c r="D12" s="331">
        <f>SUM(D3:D11)</f>
        <v>1997</v>
      </c>
      <c r="E12" s="331">
        <f t="shared" ref="E12:Q12" si="2">SUM(E3:E11)</f>
        <v>10601</v>
      </c>
      <c r="F12" s="331">
        <f t="shared" si="2"/>
        <v>17475</v>
      </c>
      <c r="G12" s="331">
        <f t="shared" si="2"/>
        <v>0</v>
      </c>
      <c r="H12" s="331">
        <f t="shared" si="2"/>
        <v>0</v>
      </c>
      <c r="I12" s="331">
        <f t="shared" si="2"/>
        <v>0</v>
      </c>
      <c r="J12" s="331">
        <f t="shared" si="2"/>
        <v>0</v>
      </c>
      <c r="K12" s="331">
        <f t="shared" si="2"/>
        <v>0</v>
      </c>
      <c r="L12" s="331">
        <f t="shared" si="2"/>
        <v>0</v>
      </c>
      <c r="M12" s="331">
        <f t="shared" si="2"/>
        <v>0</v>
      </c>
      <c r="N12" s="331">
        <f t="shared" si="2"/>
        <v>0</v>
      </c>
      <c r="O12" s="331">
        <f t="shared" si="2"/>
        <v>0</v>
      </c>
      <c r="P12" s="331">
        <f t="shared" si="2"/>
        <v>0</v>
      </c>
      <c r="Q12" s="331">
        <f t="shared" si="2"/>
        <v>0</v>
      </c>
      <c r="R12" s="332">
        <f>SUM(D12:O12)</f>
        <v>30073</v>
      </c>
      <c r="S12" s="333">
        <f>SUM(S3:S11)</f>
        <v>88273</v>
      </c>
    </row>
    <row r="13" spans="1:19">
      <c r="A13" s="412" t="s">
        <v>495</v>
      </c>
      <c r="F13" s="335">
        <f>+E12-F14</f>
        <v>-6874</v>
      </c>
      <c r="G13" s="411">
        <f>+F13/F12</f>
        <v>-0.39336194563662374</v>
      </c>
    </row>
    <row r="14" spans="1:19">
      <c r="F14" s="335">
        <v>17475</v>
      </c>
    </row>
    <row r="15" spans="1:19">
      <c r="F15" s="335"/>
    </row>
    <row r="16" spans="1:19" ht="25.15" customHeight="1">
      <c r="A16" s="879" t="s">
        <v>496</v>
      </c>
      <c r="B16" s="880">
        <v>2020</v>
      </c>
      <c r="C16" s="880">
        <v>2021</v>
      </c>
      <c r="D16" s="881">
        <v>2022</v>
      </c>
      <c r="E16" s="881"/>
      <c r="F16" s="881"/>
      <c r="G16" s="881"/>
      <c r="H16" s="881"/>
      <c r="I16" s="881"/>
      <c r="J16" s="881"/>
      <c r="K16" s="881"/>
      <c r="L16" s="881"/>
      <c r="M16" s="881"/>
      <c r="N16" s="881"/>
      <c r="O16" s="881"/>
      <c r="P16" s="877">
        <v>2023</v>
      </c>
      <c r="Q16" s="877">
        <v>2024</v>
      </c>
      <c r="R16" s="873" t="s">
        <v>469</v>
      </c>
      <c r="S16" s="878" t="s">
        <v>494</v>
      </c>
    </row>
    <row r="17" spans="1:19" ht="25.15" customHeight="1">
      <c r="A17" s="879"/>
      <c r="B17" s="880"/>
      <c r="C17" s="880"/>
      <c r="D17" s="323" t="s">
        <v>470</v>
      </c>
      <c r="E17" s="323" t="s">
        <v>471</v>
      </c>
      <c r="F17" s="323" t="s">
        <v>472</v>
      </c>
      <c r="G17" s="323" t="s">
        <v>473</v>
      </c>
      <c r="H17" s="323" t="s">
        <v>474</v>
      </c>
      <c r="I17" s="323" t="s">
        <v>475</v>
      </c>
      <c r="J17" s="323" t="s">
        <v>476</v>
      </c>
      <c r="K17" s="323" t="s">
        <v>477</v>
      </c>
      <c r="L17" s="323" t="s">
        <v>478</v>
      </c>
      <c r="M17" s="323" t="s">
        <v>479</v>
      </c>
      <c r="N17" s="323" t="s">
        <v>480</v>
      </c>
      <c r="O17" s="323" t="s">
        <v>481</v>
      </c>
      <c r="P17" s="877"/>
      <c r="Q17" s="877"/>
      <c r="R17" s="873"/>
      <c r="S17" s="878"/>
    </row>
    <row r="18" spans="1:19">
      <c r="A18" s="320" t="s">
        <v>497</v>
      </c>
      <c r="B18" s="324"/>
      <c r="C18" s="324">
        <v>8402</v>
      </c>
      <c r="D18" s="325">
        <v>0</v>
      </c>
      <c r="E18" s="325">
        <v>0</v>
      </c>
      <c r="F18" s="325"/>
      <c r="G18" s="325"/>
      <c r="H18" s="325"/>
      <c r="I18" s="325"/>
      <c r="J18" s="325"/>
      <c r="K18" s="325"/>
      <c r="L18" s="325"/>
      <c r="M18" s="325"/>
      <c r="N18" s="325"/>
      <c r="O18" s="325"/>
      <c r="P18" s="325"/>
      <c r="Q18" s="325"/>
      <c r="R18" s="326">
        <f>SUM(D18:O18)</f>
        <v>0</v>
      </c>
      <c r="S18" s="327">
        <f>+R18+B18+C18</f>
        <v>8402</v>
      </c>
    </row>
    <row r="19" spans="1:19">
      <c r="A19" s="320" t="s">
        <v>498</v>
      </c>
      <c r="B19" s="324"/>
      <c r="C19" s="324">
        <v>3579</v>
      </c>
      <c r="D19" s="325">
        <v>0</v>
      </c>
      <c r="E19" s="328">
        <v>0</v>
      </c>
      <c r="F19" s="325"/>
      <c r="G19" s="325"/>
      <c r="H19" s="325"/>
      <c r="I19" s="325"/>
      <c r="J19" s="325"/>
      <c r="K19" s="325"/>
      <c r="L19" s="325"/>
      <c r="M19" s="325"/>
      <c r="N19" s="325"/>
      <c r="O19" s="325"/>
      <c r="P19" s="325"/>
      <c r="Q19" s="325"/>
      <c r="R19" s="326">
        <f t="shared" ref="R19" si="3">SUM(D19:O19)</f>
        <v>0</v>
      </c>
      <c r="S19" s="327">
        <f t="shared" ref="S19" si="4">+R19+B19+C19</f>
        <v>3579</v>
      </c>
    </row>
    <row r="20" spans="1:19">
      <c r="A20" s="321" t="s">
        <v>489</v>
      </c>
      <c r="B20" s="330">
        <f t="shared" ref="B20:O20" si="5">SUM(B18:B19)</f>
        <v>0</v>
      </c>
      <c r="C20" s="330">
        <f t="shared" si="5"/>
        <v>11981</v>
      </c>
      <c r="D20" s="331">
        <f t="shared" si="5"/>
        <v>0</v>
      </c>
      <c r="E20" s="331">
        <f t="shared" si="5"/>
        <v>0</v>
      </c>
      <c r="F20" s="331">
        <f t="shared" si="5"/>
        <v>0</v>
      </c>
      <c r="G20" s="331">
        <f t="shared" si="5"/>
        <v>0</v>
      </c>
      <c r="H20" s="331">
        <f t="shared" si="5"/>
        <v>0</v>
      </c>
      <c r="I20" s="331">
        <f t="shared" si="5"/>
        <v>0</v>
      </c>
      <c r="J20" s="331">
        <f t="shared" si="5"/>
        <v>0</v>
      </c>
      <c r="K20" s="331">
        <f t="shared" si="5"/>
        <v>0</v>
      </c>
      <c r="L20" s="331">
        <f t="shared" si="5"/>
        <v>0</v>
      </c>
      <c r="M20" s="331">
        <f t="shared" si="5"/>
        <v>0</v>
      </c>
      <c r="N20" s="331">
        <f t="shared" si="5"/>
        <v>0</v>
      </c>
      <c r="O20" s="331">
        <f t="shared" si="5"/>
        <v>0</v>
      </c>
      <c r="P20" s="331"/>
      <c r="Q20" s="331"/>
      <c r="R20" s="332">
        <f>SUM(D20:O20)</f>
        <v>0</v>
      </c>
      <c r="S20" s="333">
        <f>SUM(S18:S19)</f>
        <v>11981</v>
      </c>
    </row>
    <row r="21" spans="1:19">
      <c r="F21" s="335"/>
    </row>
  </sheetData>
  <mergeCells count="16">
    <mergeCell ref="A1:A2"/>
    <mergeCell ref="R1:R2"/>
    <mergeCell ref="S1:S2"/>
    <mergeCell ref="B1:B2"/>
    <mergeCell ref="Q1:Q2"/>
    <mergeCell ref="P1:P2"/>
    <mergeCell ref="D1:O1"/>
    <mergeCell ref="C1:C2"/>
    <mergeCell ref="Q16:Q17"/>
    <mergeCell ref="R16:R17"/>
    <mergeCell ref="S16:S17"/>
    <mergeCell ref="A16:A17"/>
    <mergeCell ref="B16:B17"/>
    <mergeCell ref="C16:C17"/>
    <mergeCell ref="D16:O16"/>
    <mergeCell ref="P16:P17"/>
  </mergeCells>
  <phoneticPr fontId="30"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6BCF-3826-4601-A6EC-0A860267483E}">
  <dimension ref="A1:V16"/>
  <sheetViews>
    <sheetView workbookViewId="0">
      <selection activeCell="V7" sqref="V7"/>
    </sheetView>
  </sheetViews>
  <sheetFormatPr baseColWidth="10" defaultColWidth="11.42578125" defaultRowHeight="15"/>
  <cols>
    <col min="1" max="1" width="18.42578125" customWidth="1"/>
    <col min="2" max="2" width="17.7109375" customWidth="1"/>
    <col min="3" max="3" width="6.7109375" customWidth="1"/>
    <col min="4" max="4" width="7.7109375" customWidth="1"/>
    <col min="5" max="16" width="5.5703125" customWidth="1"/>
    <col min="17" max="18" width="0" hidden="1" customWidth="1"/>
  </cols>
  <sheetData>
    <row r="1" spans="1:22" s="1" customFormat="1" ht="25.15" customHeight="1">
      <c r="A1" s="885" t="s">
        <v>499</v>
      </c>
      <c r="B1" s="886"/>
      <c r="C1" s="880">
        <v>2020</v>
      </c>
      <c r="D1" s="880">
        <v>2021</v>
      </c>
      <c r="E1" s="890">
        <v>2022</v>
      </c>
      <c r="F1" s="890"/>
      <c r="G1" s="890"/>
      <c r="H1" s="890"/>
      <c r="I1" s="890"/>
      <c r="J1" s="890"/>
      <c r="K1" s="890"/>
      <c r="L1" s="890"/>
      <c r="M1" s="890"/>
      <c r="N1" s="890"/>
      <c r="O1" s="890"/>
      <c r="P1" s="890"/>
      <c r="Q1" s="877">
        <v>2023</v>
      </c>
      <c r="R1" s="877">
        <v>2024</v>
      </c>
      <c r="S1" s="873" t="s">
        <v>469</v>
      </c>
      <c r="T1" s="878" t="s">
        <v>494</v>
      </c>
    </row>
    <row r="2" spans="1:22" s="1" customFormat="1" ht="16.5" customHeight="1">
      <c r="A2" s="887"/>
      <c r="B2" s="888"/>
      <c r="C2" s="880"/>
      <c r="D2" s="880"/>
      <c r="E2" s="353" t="s">
        <v>470</v>
      </c>
      <c r="F2" s="353" t="s">
        <v>471</v>
      </c>
      <c r="G2" s="353" t="s">
        <v>472</v>
      </c>
      <c r="H2" s="353" t="s">
        <v>473</v>
      </c>
      <c r="I2" s="353" t="s">
        <v>474</v>
      </c>
      <c r="J2" s="353" t="s">
        <v>475</v>
      </c>
      <c r="K2" s="353" t="s">
        <v>476</v>
      </c>
      <c r="L2" s="353" t="s">
        <v>477</v>
      </c>
      <c r="M2" s="353" t="s">
        <v>478</v>
      </c>
      <c r="N2" s="353" t="s">
        <v>479</v>
      </c>
      <c r="O2" s="353" t="s">
        <v>480</v>
      </c>
      <c r="P2" s="353" t="s">
        <v>481</v>
      </c>
      <c r="Q2" s="877"/>
      <c r="R2" s="877"/>
      <c r="S2" s="873"/>
      <c r="T2" s="878"/>
    </row>
    <row r="3" spans="1:22" ht="15" customHeight="1">
      <c r="A3" s="882" t="s">
        <v>500</v>
      </c>
      <c r="B3" s="883"/>
      <c r="C3" s="883"/>
      <c r="D3" s="883"/>
      <c r="E3" s="883"/>
      <c r="F3" s="883"/>
      <c r="G3" s="883"/>
      <c r="H3" s="883"/>
      <c r="I3" s="883"/>
      <c r="J3" s="883"/>
      <c r="K3" s="883"/>
      <c r="L3" s="883"/>
      <c r="M3" s="883"/>
      <c r="N3" s="883"/>
      <c r="O3" s="883"/>
      <c r="P3" s="884"/>
      <c r="Q3" s="354"/>
      <c r="R3" s="354"/>
      <c r="S3" s="355">
        <f>SUM(S4:S7)</f>
        <v>636</v>
      </c>
      <c r="T3" s="355">
        <f>SUM(T4:T11)</f>
        <v>5778</v>
      </c>
    </row>
    <row r="4" spans="1:22">
      <c r="A4" s="889" t="s">
        <v>501</v>
      </c>
      <c r="B4" s="352" t="s">
        <v>502</v>
      </c>
      <c r="C4" s="324"/>
      <c r="D4" s="324">
        <v>443</v>
      </c>
      <c r="E4" s="325">
        <v>0</v>
      </c>
      <c r="F4" s="325">
        <v>0</v>
      </c>
      <c r="G4" s="325"/>
      <c r="H4" s="325"/>
      <c r="I4" s="325"/>
      <c r="J4" s="325"/>
      <c r="K4" s="325"/>
      <c r="L4" s="325"/>
      <c r="M4" s="325"/>
      <c r="N4" s="325"/>
      <c r="O4" s="325"/>
      <c r="P4" s="325"/>
      <c r="Q4" s="325"/>
      <c r="R4" s="325"/>
      <c r="S4" s="326">
        <f>SUM(E4:P4)</f>
        <v>0</v>
      </c>
      <c r="T4" s="327">
        <f>+S4+C4+D4</f>
        <v>443</v>
      </c>
      <c r="U4" s="334">
        <f>SUM(E4:P6)</f>
        <v>358</v>
      </c>
    </row>
    <row r="5" spans="1:22">
      <c r="A5" s="889"/>
      <c r="B5" s="352" t="s">
        <v>503</v>
      </c>
      <c r="C5" s="324"/>
      <c r="D5" s="324">
        <v>1395</v>
      </c>
      <c r="E5" s="325"/>
      <c r="F5" s="325">
        <v>68</v>
      </c>
      <c r="G5" s="325">
        <v>290</v>
      </c>
      <c r="H5" s="325"/>
      <c r="I5" s="325"/>
      <c r="J5" s="325"/>
      <c r="K5" s="325"/>
      <c r="L5" s="325"/>
      <c r="M5" s="325"/>
      <c r="N5" s="325"/>
      <c r="O5" s="325"/>
      <c r="P5" s="325"/>
      <c r="Q5" s="325"/>
      <c r="R5" s="325"/>
      <c r="S5" s="326">
        <f t="shared" ref="S5:S11" si="0">SUM(E5:P5)</f>
        <v>358</v>
      </c>
      <c r="T5" s="327">
        <f>+S5+C5+D5</f>
        <v>1753</v>
      </c>
    </row>
    <row r="6" spans="1:22">
      <c r="A6" s="889"/>
      <c r="B6" s="352" t="s">
        <v>504</v>
      </c>
      <c r="C6" s="324"/>
      <c r="D6" s="324">
        <v>2</v>
      </c>
      <c r="E6" s="325"/>
      <c r="F6" s="325"/>
      <c r="G6" s="325"/>
      <c r="H6" s="325"/>
      <c r="I6" s="325"/>
      <c r="J6" s="325"/>
      <c r="K6" s="325"/>
      <c r="L6" s="325"/>
      <c r="M6" s="325"/>
      <c r="N6" s="325"/>
      <c r="O6" s="325"/>
      <c r="P6" s="325"/>
      <c r="Q6" s="325"/>
      <c r="R6" s="325"/>
      <c r="S6" s="326">
        <f t="shared" si="0"/>
        <v>0</v>
      </c>
      <c r="T6" s="327">
        <f>+S6+C6+D6</f>
        <v>2</v>
      </c>
      <c r="V6" s="334">
        <f>+U4+U7</f>
        <v>655</v>
      </c>
    </row>
    <row r="7" spans="1:22">
      <c r="A7" s="889" t="s">
        <v>505</v>
      </c>
      <c r="B7" s="352" t="s">
        <v>502</v>
      </c>
      <c r="C7" s="324"/>
      <c r="D7" s="324">
        <v>3162</v>
      </c>
      <c r="E7" s="325"/>
      <c r="F7" s="325">
        <v>94</v>
      </c>
      <c r="G7" s="325">
        <v>184</v>
      </c>
      <c r="H7" s="325"/>
      <c r="I7" s="325"/>
      <c r="J7" s="325"/>
      <c r="K7" s="325"/>
      <c r="L7" s="325"/>
      <c r="M7" s="325"/>
      <c r="N7" s="325"/>
      <c r="O7" s="325"/>
      <c r="P7" s="325"/>
      <c r="Q7" s="325"/>
      <c r="R7" s="325"/>
      <c r="S7" s="326">
        <f t="shared" si="0"/>
        <v>278</v>
      </c>
      <c r="T7" s="327">
        <f t="shared" ref="T7:T9" si="1">+S7+C7+D7</f>
        <v>3440</v>
      </c>
      <c r="U7" s="334">
        <f>SUM(E7:P11)</f>
        <v>297</v>
      </c>
    </row>
    <row r="8" spans="1:22">
      <c r="A8" s="889"/>
      <c r="B8" s="352" t="s">
        <v>506</v>
      </c>
      <c r="C8" s="324"/>
      <c r="D8" s="324">
        <v>0</v>
      </c>
      <c r="E8" s="325"/>
      <c r="F8" s="325">
        <v>19</v>
      </c>
      <c r="G8" s="325"/>
      <c r="H8" s="325"/>
      <c r="I8" s="325"/>
      <c r="J8" s="325"/>
      <c r="K8" s="325"/>
      <c r="L8" s="325"/>
      <c r="M8" s="325"/>
      <c r="N8" s="325"/>
      <c r="O8" s="325"/>
      <c r="P8" s="325"/>
      <c r="Q8" s="325"/>
      <c r="R8" s="325"/>
      <c r="S8" s="326">
        <f t="shared" si="0"/>
        <v>19</v>
      </c>
      <c r="T8" s="327">
        <f t="shared" si="1"/>
        <v>19</v>
      </c>
    </row>
    <row r="9" spans="1:22">
      <c r="A9" s="889"/>
      <c r="B9" s="352" t="s">
        <v>507</v>
      </c>
      <c r="C9" s="324"/>
      <c r="D9" s="324">
        <v>3</v>
      </c>
      <c r="E9" s="325"/>
      <c r="F9" s="325"/>
      <c r="G9" s="325"/>
      <c r="H9" s="325"/>
      <c r="I9" s="325"/>
      <c r="J9" s="325"/>
      <c r="K9" s="325"/>
      <c r="L9" s="325"/>
      <c r="M9" s="325"/>
      <c r="N9" s="325"/>
      <c r="O9" s="325"/>
      <c r="P9" s="325"/>
      <c r="Q9" s="325"/>
      <c r="R9" s="325"/>
      <c r="S9" s="326">
        <f t="shared" si="0"/>
        <v>0</v>
      </c>
      <c r="T9" s="327">
        <f t="shared" si="1"/>
        <v>3</v>
      </c>
    </row>
    <row r="10" spans="1:22">
      <c r="A10" s="889"/>
      <c r="B10" s="352" t="s">
        <v>503</v>
      </c>
      <c r="C10" s="324"/>
      <c r="D10" s="324">
        <v>114</v>
      </c>
      <c r="E10" s="325"/>
      <c r="F10" s="325"/>
      <c r="G10" s="325"/>
      <c r="H10" s="325"/>
      <c r="I10" s="325"/>
      <c r="J10" s="325"/>
      <c r="K10" s="325"/>
      <c r="L10" s="325"/>
      <c r="M10" s="325"/>
      <c r="N10" s="325"/>
      <c r="O10" s="325"/>
      <c r="P10" s="325"/>
      <c r="Q10" s="325"/>
      <c r="R10" s="325"/>
      <c r="S10" s="326">
        <f t="shared" si="0"/>
        <v>0</v>
      </c>
      <c r="T10" s="327">
        <f>+S10+C10+D10</f>
        <v>114</v>
      </c>
    </row>
    <row r="11" spans="1:22" ht="14.1" customHeight="1">
      <c r="A11" s="889"/>
      <c r="B11" s="352" t="s">
        <v>504</v>
      </c>
      <c r="C11" s="324"/>
      <c r="D11" s="324">
        <v>4</v>
      </c>
      <c r="E11" s="325"/>
      <c r="F11" s="325"/>
      <c r="G11" s="325"/>
      <c r="H11" s="325"/>
      <c r="I11" s="325"/>
      <c r="J11" s="325"/>
      <c r="K11" s="325"/>
      <c r="L11" s="325"/>
      <c r="M11" s="325"/>
      <c r="N11" s="325"/>
      <c r="O11" s="325"/>
      <c r="P11" s="325"/>
      <c r="Q11" s="325"/>
      <c r="R11" s="325"/>
      <c r="S11" s="326">
        <f t="shared" si="0"/>
        <v>0</v>
      </c>
      <c r="T11" s="327">
        <f>+S11+C11+D11</f>
        <v>4</v>
      </c>
    </row>
    <row r="12" spans="1:22">
      <c r="A12" s="882" t="s">
        <v>508</v>
      </c>
      <c r="B12" s="883"/>
      <c r="C12" s="883"/>
      <c r="D12" s="883"/>
      <c r="E12" s="883"/>
      <c r="F12" s="883"/>
      <c r="G12" s="883"/>
      <c r="H12" s="883"/>
      <c r="I12" s="883"/>
      <c r="J12" s="883"/>
      <c r="K12" s="883"/>
      <c r="L12" s="883"/>
      <c r="M12" s="883"/>
      <c r="N12" s="883"/>
      <c r="O12" s="883"/>
      <c r="P12" s="884"/>
      <c r="Q12" s="356"/>
      <c r="R12" s="356"/>
      <c r="S12" s="356"/>
      <c r="T12" s="356"/>
    </row>
    <row r="13" spans="1:22">
      <c r="A13" s="320"/>
      <c r="B13" s="320"/>
      <c r="C13" s="324"/>
      <c r="D13" s="324"/>
      <c r="E13" s="325"/>
      <c r="F13" s="328"/>
      <c r="G13" s="325"/>
      <c r="H13" s="325"/>
      <c r="I13" s="325"/>
      <c r="J13" s="325"/>
      <c r="K13" s="325"/>
      <c r="L13" s="325"/>
      <c r="M13" s="325"/>
      <c r="N13" s="325"/>
      <c r="O13" s="325"/>
      <c r="P13" s="325"/>
      <c r="Q13" s="325"/>
      <c r="R13" s="325"/>
      <c r="S13" s="326"/>
      <c r="T13" s="327"/>
    </row>
    <row r="14" spans="1:22">
      <c r="A14" s="320"/>
      <c r="B14" s="320"/>
      <c r="C14" s="324"/>
      <c r="D14" s="324"/>
      <c r="E14" s="325"/>
      <c r="F14" s="328"/>
      <c r="G14" s="325"/>
      <c r="H14" s="325"/>
      <c r="I14" s="325"/>
      <c r="J14" s="325"/>
      <c r="K14" s="325"/>
      <c r="L14" s="325"/>
      <c r="M14" s="325"/>
      <c r="N14" s="325"/>
      <c r="O14" s="325"/>
      <c r="P14" s="325"/>
      <c r="Q14" s="325"/>
      <c r="R14" s="325"/>
      <c r="S14" s="326"/>
      <c r="T14" s="327"/>
    </row>
    <row r="15" spans="1:22">
      <c r="A15" s="320"/>
      <c r="B15" s="320"/>
      <c r="C15" s="324"/>
      <c r="D15" s="324"/>
      <c r="E15" s="325"/>
      <c r="F15" s="328"/>
      <c r="G15" s="325"/>
      <c r="H15" s="325"/>
      <c r="I15" s="325"/>
      <c r="J15" s="325"/>
      <c r="K15" s="325"/>
      <c r="L15" s="325"/>
      <c r="M15" s="325"/>
      <c r="N15" s="325"/>
      <c r="O15" s="325"/>
      <c r="P15" s="325"/>
      <c r="Q15" s="325"/>
      <c r="R15" s="325"/>
      <c r="S15" s="326"/>
      <c r="T15" s="327"/>
    </row>
    <row r="16" spans="1:22">
      <c r="A16" s="321" t="s">
        <v>509</v>
      </c>
      <c r="B16" s="321"/>
      <c r="C16" s="330">
        <f>SUM(C4:C7)</f>
        <v>0</v>
      </c>
      <c r="D16" s="330">
        <f>SUM(D4:D7)</f>
        <v>5002</v>
      </c>
      <c r="E16" s="331">
        <f>SUM(E4:E7)</f>
        <v>0</v>
      </c>
      <c r="F16" s="331">
        <f>SUM(F4:F8)</f>
        <v>181</v>
      </c>
      <c r="G16" s="331">
        <f t="shared" ref="G16:P16" si="2">SUM(G4:G7)</f>
        <v>474</v>
      </c>
      <c r="H16" s="331">
        <f t="shared" si="2"/>
        <v>0</v>
      </c>
      <c r="I16" s="331">
        <f t="shared" si="2"/>
        <v>0</v>
      </c>
      <c r="J16" s="331">
        <f t="shared" si="2"/>
        <v>0</v>
      </c>
      <c r="K16" s="331">
        <f t="shared" si="2"/>
        <v>0</v>
      </c>
      <c r="L16" s="331">
        <f t="shared" si="2"/>
        <v>0</v>
      </c>
      <c r="M16" s="331">
        <f t="shared" si="2"/>
        <v>0</v>
      </c>
      <c r="N16" s="331">
        <f t="shared" si="2"/>
        <v>0</v>
      </c>
      <c r="O16" s="331">
        <f t="shared" si="2"/>
        <v>0</v>
      </c>
      <c r="P16" s="331">
        <f t="shared" si="2"/>
        <v>0</v>
      </c>
      <c r="Q16" s="331"/>
      <c r="R16" s="331"/>
      <c r="S16" s="332">
        <f>SUM(E16:P16)</f>
        <v>655</v>
      </c>
      <c r="T16" s="333">
        <f>SUM(T4:T7)</f>
        <v>5638</v>
      </c>
    </row>
  </sheetData>
  <mergeCells count="12">
    <mergeCell ref="S1:S2"/>
    <mergeCell ref="T1:T2"/>
    <mergeCell ref="A3:P3"/>
    <mergeCell ref="A12:P12"/>
    <mergeCell ref="A1:B2"/>
    <mergeCell ref="A7:A11"/>
    <mergeCell ref="A4:A6"/>
    <mergeCell ref="C1:C2"/>
    <mergeCell ref="D1:D2"/>
    <mergeCell ref="E1:P1"/>
    <mergeCell ref="Q1:Q2"/>
    <mergeCell ref="R1:R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topLeftCell="A7" workbookViewId="0">
      <selection activeCell="B16" sqref="B16"/>
    </sheetView>
  </sheetViews>
  <sheetFormatPr baseColWidth="10" defaultColWidth="14.42578125" defaultRowHeight="15" customHeight="1"/>
  <cols>
    <col min="1" max="1" width="48.42578125" customWidth="1"/>
    <col min="2" max="2" width="73.42578125" customWidth="1"/>
    <col min="3" max="3" width="10.7109375" customWidth="1"/>
    <col min="4" max="4" width="31.28515625" customWidth="1"/>
    <col min="5" max="5" width="70.28515625" customWidth="1"/>
    <col min="6" max="6" width="17.42578125" customWidth="1"/>
    <col min="7" max="11" width="10" customWidth="1"/>
  </cols>
  <sheetData>
    <row r="1" spans="1:11" ht="25.5" customHeight="1">
      <c r="A1" s="891" t="s">
        <v>4</v>
      </c>
      <c r="B1" s="590"/>
      <c r="C1" s="267"/>
      <c r="D1" s="267"/>
      <c r="E1" s="267"/>
      <c r="F1" s="267"/>
      <c r="G1" s="267"/>
      <c r="H1" s="267"/>
      <c r="I1" s="267"/>
      <c r="J1" s="267"/>
      <c r="K1" s="267"/>
    </row>
    <row r="2" spans="1:11" ht="25.5" customHeight="1">
      <c r="A2" s="892" t="s">
        <v>510</v>
      </c>
      <c r="B2" s="590"/>
      <c r="C2" s="267"/>
      <c r="D2" s="267"/>
      <c r="E2" s="267"/>
      <c r="F2" s="267"/>
      <c r="G2" s="267"/>
      <c r="H2" s="267"/>
      <c r="I2" s="267"/>
      <c r="J2" s="267"/>
      <c r="K2" s="267"/>
    </row>
    <row r="3" spans="1:11" ht="13.5" customHeight="1">
      <c r="A3" s="268" t="s">
        <v>511</v>
      </c>
      <c r="B3" s="268" t="s">
        <v>512</v>
      </c>
      <c r="C3" s="267"/>
      <c r="D3" s="267"/>
      <c r="E3" s="267"/>
      <c r="F3" s="267"/>
      <c r="G3" s="267"/>
      <c r="H3" s="267"/>
      <c r="I3" s="267"/>
      <c r="J3" s="267"/>
      <c r="K3" s="267"/>
    </row>
    <row r="4" spans="1:11" ht="13.5" customHeight="1">
      <c r="A4" s="269" t="s">
        <v>12</v>
      </c>
      <c r="B4" s="270" t="s">
        <v>513</v>
      </c>
      <c r="C4" s="267"/>
      <c r="D4" s="267"/>
      <c r="E4" s="267"/>
      <c r="F4" s="267"/>
      <c r="G4" s="267"/>
      <c r="H4" s="267"/>
      <c r="I4" s="267"/>
      <c r="J4" s="267"/>
      <c r="K4" s="267"/>
    </row>
    <row r="5" spans="1:11" ht="97.5" customHeight="1">
      <c r="A5" s="269" t="s">
        <v>13</v>
      </c>
      <c r="B5" s="271" t="s">
        <v>514</v>
      </c>
      <c r="C5" s="267"/>
      <c r="D5" s="267"/>
      <c r="E5" s="267"/>
      <c r="F5" s="267"/>
      <c r="G5" s="267"/>
      <c r="H5" s="267"/>
      <c r="I5" s="267"/>
      <c r="J5" s="267"/>
      <c r="K5" s="267"/>
    </row>
    <row r="6" spans="1:11" ht="13.5" customHeight="1">
      <c r="A6" s="269" t="s">
        <v>122</v>
      </c>
      <c r="B6" s="893" t="s">
        <v>515</v>
      </c>
      <c r="C6" s="267"/>
      <c r="D6" s="267"/>
      <c r="E6" s="267"/>
      <c r="F6" s="267"/>
      <c r="G6" s="267"/>
      <c r="H6" s="267"/>
      <c r="I6" s="267"/>
      <c r="J6" s="267"/>
      <c r="K6" s="267"/>
    </row>
    <row r="7" spans="1:11" ht="13.5" customHeight="1">
      <c r="A7" s="269" t="s">
        <v>124</v>
      </c>
      <c r="B7" s="553"/>
      <c r="C7" s="267"/>
      <c r="D7" s="267"/>
      <c r="E7" s="267"/>
      <c r="F7" s="267"/>
      <c r="G7" s="267"/>
      <c r="H7" s="267"/>
      <c r="I7" s="267"/>
      <c r="J7" s="267"/>
      <c r="K7" s="267"/>
    </row>
    <row r="8" spans="1:11" ht="13.5" customHeight="1">
      <c r="A8" s="269" t="s">
        <v>126</v>
      </c>
      <c r="B8" s="553"/>
      <c r="C8" s="267"/>
      <c r="D8" s="267"/>
      <c r="E8" s="267"/>
      <c r="F8" s="267"/>
      <c r="G8" s="267"/>
      <c r="H8" s="267"/>
      <c r="I8" s="267"/>
      <c r="J8" s="267"/>
      <c r="K8" s="267"/>
    </row>
    <row r="9" spans="1:11" ht="13.5" customHeight="1">
      <c r="A9" s="269" t="s">
        <v>516</v>
      </c>
      <c r="B9" s="528"/>
      <c r="C9" s="267"/>
      <c r="D9" s="267"/>
      <c r="E9" s="267"/>
      <c r="F9" s="267"/>
      <c r="G9" s="267"/>
      <c r="H9" s="267"/>
      <c r="I9" s="267"/>
      <c r="J9" s="267"/>
      <c r="K9" s="267"/>
    </row>
    <row r="10" spans="1:11" ht="27.75" customHeight="1">
      <c r="A10" s="269" t="s">
        <v>121</v>
      </c>
      <c r="B10" s="272" t="s">
        <v>517</v>
      </c>
      <c r="C10" s="267"/>
      <c r="D10" s="267"/>
      <c r="E10" s="267"/>
      <c r="F10" s="267"/>
      <c r="G10" s="267"/>
      <c r="H10" s="267"/>
      <c r="I10" s="267"/>
      <c r="J10" s="267"/>
      <c r="K10" s="267"/>
    </row>
    <row r="11" spans="1:11" ht="27.75" customHeight="1">
      <c r="A11" s="269" t="s">
        <v>134</v>
      </c>
      <c r="B11" s="272" t="s">
        <v>518</v>
      </c>
      <c r="C11" s="267"/>
      <c r="D11" s="267"/>
      <c r="E11" s="267"/>
      <c r="F11" s="267"/>
      <c r="G11" s="267"/>
      <c r="H11" s="267"/>
      <c r="I11" s="267"/>
      <c r="J11" s="267"/>
      <c r="K11" s="267"/>
    </row>
    <row r="12" spans="1:11" ht="55.5" customHeight="1">
      <c r="A12" s="269" t="s">
        <v>133</v>
      </c>
      <c r="B12" s="89" t="s">
        <v>519</v>
      </c>
      <c r="C12" s="267"/>
      <c r="D12" s="267"/>
      <c r="E12" s="267"/>
      <c r="F12" s="267"/>
      <c r="G12" s="267"/>
      <c r="H12" s="267"/>
      <c r="I12" s="267"/>
      <c r="J12" s="267"/>
      <c r="K12" s="267"/>
    </row>
    <row r="13" spans="1:11" ht="27.75" customHeight="1">
      <c r="A13" s="269" t="s">
        <v>520</v>
      </c>
      <c r="B13" s="89" t="s">
        <v>521</v>
      </c>
      <c r="C13" s="267"/>
      <c r="D13" s="267"/>
      <c r="E13" s="267"/>
      <c r="F13" s="267"/>
      <c r="G13" s="267"/>
      <c r="H13" s="267"/>
      <c r="I13" s="267"/>
      <c r="J13" s="267"/>
      <c r="K13" s="267"/>
    </row>
    <row r="14" spans="1:11" ht="27.75" customHeight="1">
      <c r="A14" s="269" t="s">
        <v>522</v>
      </c>
      <c r="B14" s="89" t="s">
        <v>523</v>
      </c>
      <c r="C14" s="267"/>
      <c r="D14" s="267"/>
      <c r="E14" s="267"/>
      <c r="F14" s="267"/>
      <c r="G14" s="267"/>
      <c r="H14" s="267"/>
      <c r="I14" s="267"/>
      <c r="J14" s="267"/>
      <c r="K14" s="267"/>
    </row>
    <row r="15" spans="1:11" ht="72" customHeight="1">
      <c r="A15" s="273" t="s">
        <v>524</v>
      </c>
      <c r="B15" s="274" t="s">
        <v>525</v>
      </c>
      <c r="C15" s="267"/>
      <c r="D15" s="267"/>
      <c r="E15" s="267"/>
      <c r="F15" s="267"/>
      <c r="G15" s="267"/>
      <c r="H15" s="267"/>
      <c r="I15" s="267"/>
      <c r="J15" s="267"/>
      <c r="K15" s="267"/>
    </row>
    <row r="16" spans="1:11" ht="168" customHeight="1">
      <c r="A16" s="273" t="s">
        <v>526</v>
      </c>
      <c r="B16" s="275" t="s">
        <v>527</v>
      </c>
      <c r="C16" s="267"/>
      <c r="D16" s="267"/>
      <c r="E16" s="267"/>
      <c r="F16" s="267"/>
      <c r="G16" s="267"/>
      <c r="H16" s="267"/>
      <c r="I16" s="267"/>
      <c r="J16" s="267"/>
      <c r="K16" s="267"/>
    </row>
    <row r="17" spans="1:11" ht="25.5" customHeight="1">
      <c r="A17" s="892" t="s">
        <v>528</v>
      </c>
      <c r="B17" s="590"/>
      <c r="C17" s="267"/>
      <c r="D17" s="267"/>
      <c r="E17" s="267"/>
      <c r="F17" s="267"/>
      <c r="G17" s="267"/>
      <c r="H17" s="267"/>
      <c r="I17" s="267"/>
      <c r="J17" s="267"/>
      <c r="K17" s="267"/>
    </row>
    <row r="18" spans="1:11" ht="13.5" customHeight="1">
      <c r="A18" s="268" t="s">
        <v>511</v>
      </c>
      <c r="B18" s="268" t="s">
        <v>512</v>
      </c>
      <c r="C18" s="267"/>
      <c r="D18" s="267"/>
      <c r="E18" s="267"/>
      <c r="F18" s="267"/>
      <c r="G18" s="267"/>
      <c r="H18" s="267"/>
      <c r="I18" s="267"/>
      <c r="J18" s="267"/>
      <c r="K18" s="267"/>
    </row>
    <row r="19" spans="1:11" ht="13.5" customHeight="1">
      <c r="A19" s="269" t="s">
        <v>12</v>
      </c>
      <c r="B19" s="270" t="s">
        <v>513</v>
      </c>
      <c r="C19" s="267"/>
      <c r="D19" s="267"/>
      <c r="E19" s="267"/>
      <c r="F19" s="267"/>
      <c r="G19" s="267"/>
      <c r="H19" s="267"/>
      <c r="I19" s="267"/>
      <c r="J19" s="267"/>
      <c r="K19" s="267"/>
    </row>
    <row r="20" spans="1:11" ht="97.5" customHeight="1">
      <c r="A20" s="269" t="s">
        <v>13</v>
      </c>
      <c r="B20" s="271" t="s">
        <v>514</v>
      </c>
      <c r="C20" s="267"/>
      <c r="D20" s="267"/>
      <c r="E20" s="267"/>
      <c r="F20" s="267"/>
      <c r="G20" s="267"/>
      <c r="H20" s="267"/>
      <c r="I20" s="267"/>
      <c r="J20" s="267"/>
      <c r="K20" s="267"/>
    </row>
    <row r="21" spans="1:11" ht="27.75" customHeight="1">
      <c r="A21" s="269" t="s">
        <v>529</v>
      </c>
      <c r="B21" s="89" t="s">
        <v>530</v>
      </c>
      <c r="C21" s="267"/>
      <c r="D21" s="267"/>
      <c r="E21" s="267"/>
      <c r="F21" s="267"/>
      <c r="G21" s="267"/>
      <c r="H21" s="267"/>
      <c r="I21" s="267"/>
      <c r="J21" s="267"/>
      <c r="K21" s="267"/>
    </row>
    <row r="22" spans="1:11" ht="42" customHeight="1">
      <c r="A22" s="269" t="s">
        <v>531</v>
      </c>
      <c r="B22" s="89" t="s">
        <v>532</v>
      </c>
      <c r="C22" s="267"/>
      <c r="D22" s="267"/>
      <c r="E22" s="267"/>
      <c r="F22" s="267"/>
      <c r="G22" s="267"/>
      <c r="H22" s="267"/>
      <c r="I22" s="267"/>
      <c r="J22" s="267"/>
      <c r="K22" s="267"/>
    </row>
    <row r="23" spans="1:11" ht="55.5" customHeight="1">
      <c r="A23" s="269" t="s">
        <v>533</v>
      </c>
      <c r="B23" s="89" t="s">
        <v>534</v>
      </c>
      <c r="C23" s="267"/>
      <c r="D23" s="267"/>
      <c r="E23" s="267"/>
      <c r="F23" s="267"/>
      <c r="G23" s="267"/>
      <c r="H23" s="267"/>
      <c r="I23" s="267"/>
      <c r="J23" s="267"/>
      <c r="K23" s="267"/>
    </row>
    <row r="24" spans="1:11" ht="27.75" customHeight="1">
      <c r="A24" s="269" t="s">
        <v>535</v>
      </c>
      <c r="B24" s="89" t="s">
        <v>536</v>
      </c>
      <c r="C24" s="267"/>
      <c r="D24" s="267"/>
      <c r="E24" s="267"/>
      <c r="F24" s="267"/>
      <c r="G24" s="267"/>
      <c r="H24" s="267"/>
      <c r="I24" s="267"/>
      <c r="J24" s="267"/>
      <c r="K24" s="267"/>
    </row>
    <row r="25" spans="1:11" ht="27.75" customHeight="1">
      <c r="A25" s="269" t="s">
        <v>537</v>
      </c>
      <c r="B25" s="89" t="s">
        <v>538</v>
      </c>
      <c r="C25" s="267"/>
      <c r="D25" s="267"/>
      <c r="E25" s="267"/>
      <c r="F25" s="267"/>
      <c r="G25" s="267"/>
      <c r="H25" s="267"/>
      <c r="I25" s="267"/>
      <c r="J25" s="267"/>
      <c r="K25" s="267"/>
    </row>
    <row r="26" spans="1:11" ht="45.75" customHeight="1">
      <c r="A26" s="269" t="s">
        <v>539</v>
      </c>
      <c r="B26" s="89" t="s">
        <v>540</v>
      </c>
      <c r="C26" s="267"/>
      <c r="D26" s="267"/>
      <c r="E26" s="267"/>
      <c r="F26" s="267"/>
      <c r="G26" s="267"/>
      <c r="H26" s="267"/>
      <c r="I26" s="267"/>
      <c r="J26" s="267"/>
      <c r="K26" s="267"/>
    </row>
    <row r="27" spans="1:11" ht="55.5" customHeight="1">
      <c r="A27" s="269" t="s">
        <v>25</v>
      </c>
      <c r="B27" s="89" t="s">
        <v>541</v>
      </c>
      <c r="C27" s="267"/>
      <c r="D27" s="267"/>
      <c r="E27" s="267"/>
      <c r="F27" s="267"/>
      <c r="G27" s="267"/>
      <c r="H27" s="267"/>
      <c r="I27" s="267"/>
      <c r="J27" s="267"/>
      <c r="K27" s="267"/>
    </row>
    <row r="28" spans="1:11" ht="42" customHeight="1">
      <c r="A28" s="269" t="s">
        <v>542</v>
      </c>
      <c r="B28" s="89" t="s">
        <v>543</v>
      </c>
      <c r="C28" s="267"/>
      <c r="D28" s="267"/>
      <c r="E28" s="267"/>
      <c r="F28" s="267"/>
      <c r="G28" s="267"/>
      <c r="H28" s="267"/>
      <c r="I28" s="267"/>
      <c r="J28" s="267"/>
      <c r="K28" s="267"/>
    </row>
    <row r="29" spans="1:11" ht="42" customHeight="1">
      <c r="A29" s="269" t="s">
        <v>544</v>
      </c>
      <c r="B29" s="89" t="s">
        <v>545</v>
      </c>
      <c r="C29" s="267"/>
      <c r="D29" s="267"/>
      <c r="E29" s="267"/>
      <c r="F29" s="267"/>
      <c r="G29" s="267"/>
      <c r="H29" s="267"/>
      <c r="I29" s="267"/>
      <c r="J29" s="267"/>
      <c r="K29" s="267"/>
    </row>
    <row r="30" spans="1:11" ht="42" customHeight="1">
      <c r="A30" s="269" t="s">
        <v>546</v>
      </c>
      <c r="B30" s="89" t="s">
        <v>547</v>
      </c>
      <c r="C30" s="267"/>
      <c r="D30" s="267"/>
      <c r="E30" s="267"/>
      <c r="F30" s="267"/>
      <c r="G30" s="267"/>
      <c r="H30" s="267"/>
      <c r="I30" s="267"/>
      <c r="J30" s="267"/>
      <c r="K30" s="267"/>
    </row>
    <row r="31" spans="1:11" ht="144" customHeight="1">
      <c r="A31" s="269" t="s">
        <v>548</v>
      </c>
      <c r="B31" s="89" t="s">
        <v>549</v>
      </c>
      <c r="C31" s="267"/>
      <c r="D31" s="267"/>
      <c r="E31" s="267"/>
      <c r="F31" s="267"/>
      <c r="G31" s="267"/>
      <c r="H31" s="267"/>
      <c r="I31" s="267"/>
      <c r="J31" s="267"/>
      <c r="K31" s="267"/>
    </row>
    <row r="32" spans="1:11" ht="27.75" customHeight="1">
      <c r="A32" s="269" t="s">
        <v>550</v>
      </c>
      <c r="B32" s="89" t="s">
        <v>551</v>
      </c>
      <c r="C32" s="267"/>
      <c r="D32" s="267"/>
      <c r="E32" s="267"/>
      <c r="F32" s="267"/>
      <c r="G32" s="267"/>
      <c r="H32" s="267"/>
      <c r="I32" s="267"/>
      <c r="J32" s="267"/>
      <c r="K32" s="267"/>
    </row>
    <row r="33" spans="1:11" ht="27.75" customHeight="1">
      <c r="A33" s="269" t="s">
        <v>552</v>
      </c>
      <c r="B33" s="89" t="s">
        <v>553</v>
      </c>
      <c r="C33" s="267"/>
      <c r="D33" s="267"/>
      <c r="E33" s="267"/>
      <c r="F33" s="267"/>
      <c r="G33" s="267"/>
      <c r="H33" s="267"/>
      <c r="I33" s="267"/>
      <c r="J33" s="267"/>
      <c r="K33" s="267"/>
    </row>
    <row r="34" spans="1:11" ht="27.75" customHeight="1">
      <c r="A34" s="269" t="s">
        <v>554</v>
      </c>
      <c r="B34" s="89" t="s">
        <v>555</v>
      </c>
      <c r="C34" s="267"/>
      <c r="D34" s="267"/>
      <c r="E34" s="267"/>
      <c r="F34" s="267"/>
      <c r="G34" s="267"/>
      <c r="H34" s="267"/>
      <c r="I34" s="267"/>
      <c r="J34" s="267"/>
      <c r="K34" s="267"/>
    </row>
    <row r="35" spans="1:11" ht="27.75" customHeight="1">
      <c r="A35" s="269" t="s">
        <v>556</v>
      </c>
      <c r="B35" s="89" t="s">
        <v>557</v>
      </c>
      <c r="C35" s="267"/>
      <c r="D35" s="267"/>
      <c r="E35" s="267"/>
      <c r="F35" s="267"/>
      <c r="G35" s="267"/>
      <c r="H35" s="267"/>
      <c r="I35" s="267"/>
      <c r="J35" s="267"/>
      <c r="K35" s="267"/>
    </row>
    <row r="36" spans="1:11" ht="84" customHeight="1">
      <c r="A36" s="269" t="s">
        <v>9</v>
      </c>
      <c r="B36" s="89" t="s">
        <v>558</v>
      </c>
      <c r="C36" s="267"/>
      <c r="D36" s="267"/>
      <c r="E36" s="267"/>
      <c r="F36" s="267"/>
      <c r="G36" s="267"/>
      <c r="H36" s="267"/>
      <c r="I36" s="267"/>
      <c r="J36" s="267"/>
      <c r="K36" s="267"/>
    </row>
    <row r="37" spans="1:11" ht="42" customHeight="1">
      <c r="A37" s="269" t="s">
        <v>559</v>
      </c>
      <c r="B37" s="89" t="s">
        <v>560</v>
      </c>
      <c r="C37" s="267"/>
      <c r="D37" s="267"/>
      <c r="E37" s="267"/>
      <c r="F37" s="267"/>
      <c r="G37" s="267"/>
      <c r="H37" s="267"/>
      <c r="I37" s="267"/>
      <c r="J37" s="267"/>
      <c r="K37" s="267"/>
    </row>
    <row r="38" spans="1:11" ht="42" customHeight="1">
      <c r="A38" s="273" t="s">
        <v>11</v>
      </c>
      <c r="B38" s="89" t="s">
        <v>561</v>
      </c>
      <c r="C38" s="267"/>
      <c r="D38" s="267"/>
      <c r="E38" s="267"/>
      <c r="F38" s="267"/>
      <c r="G38" s="267"/>
      <c r="H38" s="267"/>
      <c r="I38" s="267"/>
      <c r="J38" s="267"/>
      <c r="K38" s="267"/>
    </row>
    <row r="39" spans="1:11" ht="25.5" customHeight="1">
      <c r="A39" s="892" t="s">
        <v>562</v>
      </c>
      <c r="B39" s="590"/>
      <c r="C39" s="267"/>
      <c r="D39" s="267"/>
      <c r="E39" s="267"/>
      <c r="F39" s="267"/>
      <c r="G39" s="267"/>
      <c r="H39" s="267"/>
      <c r="I39" s="267"/>
      <c r="J39" s="267"/>
      <c r="K39" s="267"/>
    </row>
    <row r="40" spans="1:11" ht="13.5" customHeight="1">
      <c r="A40" s="891" t="s">
        <v>563</v>
      </c>
      <c r="B40" s="590"/>
      <c r="C40" s="267"/>
      <c r="D40" s="267"/>
      <c r="E40" s="267"/>
      <c r="F40" s="267"/>
      <c r="G40" s="267"/>
      <c r="H40" s="267"/>
      <c r="I40" s="267"/>
      <c r="J40" s="267"/>
      <c r="K40" s="267"/>
    </row>
    <row r="41" spans="1:11" ht="72" customHeight="1">
      <c r="A41" s="586" t="s">
        <v>564</v>
      </c>
      <c r="B41" s="590"/>
      <c r="C41" s="267"/>
      <c r="D41" s="267"/>
      <c r="E41" s="267"/>
      <c r="F41" s="267"/>
      <c r="G41" s="267"/>
      <c r="H41" s="267"/>
      <c r="I41" s="267"/>
      <c r="J41" s="267"/>
      <c r="K41" s="267"/>
    </row>
    <row r="42" spans="1:11" ht="13.5" customHeight="1">
      <c r="A42" s="267"/>
      <c r="B42" s="267"/>
      <c r="C42" s="267"/>
      <c r="D42" s="267"/>
      <c r="E42" s="267"/>
      <c r="F42" s="267"/>
      <c r="G42" s="267"/>
      <c r="H42" s="267"/>
      <c r="I42" s="267"/>
      <c r="J42" s="267"/>
      <c r="K42" s="267"/>
    </row>
    <row r="43" spans="1:11" ht="13.5" customHeight="1">
      <c r="A43" s="267"/>
      <c r="B43" s="267"/>
      <c r="C43" s="267"/>
      <c r="D43" s="267"/>
      <c r="E43" s="267"/>
      <c r="F43" s="267"/>
      <c r="G43" s="267"/>
      <c r="H43" s="267"/>
      <c r="I43" s="267"/>
      <c r="J43" s="267"/>
      <c r="K43" s="267"/>
    </row>
    <row r="44" spans="1:11" ht="13.5" customHeight="1">
      <c r="A44" s="267"/>
      <c r="B44" s="267"/>
      <c r="C44" s="267"/>
      <c r="D44" s="267"/>
      <c r="E44" s="267"/>
      <c r="F44" s="267"/>
      <c r="G44" s="267"/>
      <c r="H44" s="267"/>
      <c r="I44" s="267"/>
      <c r="J44" s="267"/>
      <c r="K44" s="267"/>
    </row>
    <row r="45" spans="1:11" ht="13.5" customHeight="1">
      <c r="A45" s="267"/>
      <c r="B45" s="267"/>
      <c r="C45" s="267"/>
      <c r="D45" s="267"/>
      <c r="E45" s="267"/>
      <c r="F45" s="267"/>
      <c r="G45" s="267"/>
      <c r="H45" s="267"/>
      <c r="I45" s="267"/>
      <c r="J45" s="267"/>
      <c r="K45" s="267"/>
    </row>
    <row r="46" spans="1:11" ht="13.5" customHeight="1">
      <c r="A46" s="267"/>
      <c r="B46" s="267"/>
      <c r="C46" s="267"/>
      <c r="D46" s="267"/>
      <c r="E46" s="267"/>
      <c r="F46" s="267"/>
      <c r="G46" s="267"/>
      <c r="H46" s="267"/>
      <c r="I46" s="267"/>
      <c r="J46" s="267"/>
      <c r="K46" s="267"/>
    </row>
    <row r="47" spans="1:11" ht="13.5" customHeight="1">
      <c r="A47" s="267"/>
      <c r="B47" s="267"/>
      <c r="C47" s="267"/>
      <c r="D47" s="267"/>
      <c r="E47" s="267"/>
      <c r="F47" s="267"/>
      <c r="G47" s="267"/>
      <c r="H47" s="267"/>
      <c r="I47" s="267"/>
      <c r="J47" s="267"/>
      <c r="K47" s="267"/>
    </row>
    <row r="48" spans="1:11" ht="13.5" customHeight="1">
      <c r="A48" s="267"/>
      <c r="B48" s="267"/>
      <c r="C48" s="267"/>
      <c r="D48" s="267"/>
      <c r="E48" s="267"/>
      <c r="F48" s="267"/>
      <c r="G48" s="267"/>
      <c r="H48" s="267"/>
      <c r="I48" s="267"/>
      <c r="J48" s="267"/>
      <c r="K48" s="267"/>
    </row>
    <row r="49" spans="1:11" ht="13.5" customHeight="1">
      <c r="A49" s="267"/>
      <c r="B49" s="267"/>
      <c r="C49" s="267"/>
      <c r="D49" s="267"/>
      <c r="E49" s="267"/>
      <c r="F49" s="267"/>
      <c r="G49" s="267"/>
      <c r="H49" s="267"/>
      <c r="I49" s="267"/>
      <c r="J49" s="267"/>
      <c r="K49" s="267"/>
    </row>
    <row r="50" spans="1:11" ht="13.5" customHeight="1">
      <c r="A50" s="267"/>
      <c r="B50" s="267"/>
      <c r="C50" s="267"/>
      <c r="D50" s="267"/>
      <c r="E50" s="267"/>
      <c r="F50" s="267"/>
      <c r="G50" s="267"/>
      <c r="H50" s="267"/>
      <c r="I50" s="267"/>
      <c r="J50" s="267"/>
      <c r="K50" s="267"/>
    </row>
    <row r="51" spans="1:11" ht="13.5" customHeight="1">
      <c r="A51" s="267"/>
      <c r="B51" s="267"/>
      <c r="C51" s="267"/>
      <c r="D51" s="267"/>
      <c r="E51" s="267"/>
      <c r="F51" s="267"/>
      <c r="G51" s="267"/>
      <c r="H51" s="267"/>
      <c r="I51" s="267"/>
      <c r="J51" s="267"/>
      <c r="K51" s="267"/>
    </row>
    <row r="52" spans="1:11" ht="13.5" customHeight="1">
      <c r="A52" s="267"/>
      <c r="B52" s="267"/>
      <c r="C52" s="267"/>
      <c r="D52" s="267"/>
      <c r="E52" s="267"/>
      <c r="F52" s="267"/>
      <c r="G52" s="267"/>
      <c r="H52" s="267"/>
      <c r="I52" s="267"/>
      <c r="J52" s="267"/>
      <c r="K52" s="267"/>
    </row>
    <row r="53" spans="1:11" ht="13.5" customHeight="1">
      <c r="A53" s="267"/>
      <c r="B53" s="267"/>
      <c r="C53" s="267"/>
      <c r="D53" s="267"/>
      <c r="E53" s="267"/>
      <c r="F53" s="267"/>
      <c r="G53" s="267"/>
      <c r="H53" s="267"/>
      <c r="I53" s="267"/>
      <c r="J53" s="267"/>
      <c r="K53" s="267"/>
    </row>
    <row r="54" spans="1:11" ht="13.5" customHeight="1">
      <c r="A54" s="267"/>
      <c r="B54" s="267"/>
      <c r="C54" s="267"/>
      <c r="D54" s="267"/>
      <c r="E54" s="267"/>
      <c r="F54" s="267"/>
      <c r="G54" s="267"/>
      <c r="H54" s="267"/>
      <c r="I54" s="267"/>
      <c r="J54" s="267"/>
      <c r="K54" s="267"/>
    </row>
    <row r="55" spans="1:11" ht="13.5" customHeight="1">
      <c r="A55" s="267"/>
      <c r="B55" s="267"/>
      <c r="C55" s="267"/>
      <c r="D55" s="267"/>
      <c r="E55" s="267"/>
      <c r="F55" s="267"/>
      <c r="G55" s="267"/>
      <c r="H55" s="267"/>
      <c r="I55" s="267"/>
      <c r="J55" s="267"/>
      <c r="K55" s="267"/>
    </row>
    <row r="56" spans="1:11" ht="13.5" customHeight="1">
      <c r="A56" s="267"/>
      <c r="B56" s="267"/>
      <c r="C56" s="267"/>
      <c r="D56" s="267"/>
      <c r="E56" s="267"/>
      <c r="F56" s="267"/>
      <c r="G56" s="267"/>
      <c r="H56" s="267"/>
      <c r="I56" s="267"/>
      <c r="J56" s="267"/>
      <c r="K56" s="267"/>
    </row>
    <row r="57" spans="1:11" ht="13.5" customHeight="1">
      <c r="A57" s="267"/>
      <c r="B57" s="267"/>
      <c r="C57" s="267"/>
      <c r="D57" s="267"/>
      <c r="E57" s="267"/>
      <c r="F57" s="267"/>
      <c r="G57" s="267"/>
      <c r="H57" s="267"/>
      <c r="I57" s="267"/>
      <c r="J57" s="267"/>
      <c r="K57" s="267"/>
    </row>
    <row r="58" spans="1:11" ht="13.5" customHeight="1">
      <c r="A58" s="267"/>
      <c r="B58" s="267"/>
      <c r="C58" s="267"/>
      <c r="D58" s="267"/>
      <c r="E58" s="267"/>
      <c r="F58" s="267"/>
      <c r="G58" s="267"/>
      <c r="H58" s="267"/>
      <c r="I58" s="267"/>
      <c r="J58" s="267"/>
      <c r="K58" s="267"/>
    </row>
    <row r="59" spans="1:11" ht="13.5" customHeight="1">
      <c r="A59" s="267"/>
      <c r="B59" s="267"/>
      <c r="C59" s="267"/>
      <c r="D59" s="267"/>
      <c r="E59" s="267"/>
      <c r="F59" s="267"/>
      <c r="G59" s="267"/>
      <c r="H59" s="267"/>
      <c r="I59" s="267"/>
      <c r="J59" s="267"/>
      <c r="K59" s="267"/>
    </row>
    <row r="60" spans="1:11" ht="13.5" customHeight="1">
      <c r="A60" s="267"/>
      <c r="B60" s="267"/>
      <c r="C60" s="267"/>
      <c r="D60" s="267"/>
      <c r="E60" s="267"/>
      <c r="F60" s="267"/>
      <c r="G60" s="267"/>
      <c r="H60" s="267"/>
      <c r="I60" s="267"/>
      <c r="J60" s="267"/>
      <c r="K60" s="267"/>
    </row>
    <row r="61" spans="1:11" ht="13.5" customHeight="1">
      <c r="A61" s="267"/>
      <c r="B61" s="267"/>
      <c r="C61" s="267"/>
      <c r="D61" s="267"/>
      <c r="E61" s="267"/>
      <c r="F61" s="267"/>
      <c r="G61" s="267"/>
      <c r="H61" s="267"/>
      <c r="I61" s="267"/>
      <c r="J61" s="267"/>
      <c r="K61" s="267"/>
    </row>
    <row r="62" spans="1:11" ht="13.5" customHeight="1">
      <c r="A62" s="267"/>
      <c r="B62" s="267"/>
      <c r="C62" s="267"/>
      <c r="D62" s="267"/>
      <c r="E62" s="267"/>
      <c r="F62" s="267"/>
      <c r="G62" s="267"/>
      <c r="H62" s="267"/>
      <c r="I62" s="267"/>
      <c r="J62" s="267"/>
      <c r="K62" s="267"/>
    </row>
    <row r="63" spans="1:11" ht="13.5" customHeight="1">
      <c r="A63" s="267"/>
      <c r="B63" s="267"/>
      <c r="C63" s="267"/>
      <c r="D63" s="267"/>
      <c r="E63" s="267"/>
      <c r="F63" s="267"/>
      <c r="G63" s="267"/>
      <c r="H63" s="267"/>
      <c r="I63" s="267"/>
      <c r="J63" s="267"/>
      <c r="K63" s="267"/>
    </row>
    <row r="64" spans="1:11" ht="13.5" customHeight="1">
      <c r="A64" s="267"/>
      <c r="B64" s="267"/>
      <c r="C64" s="267"/>
      <c r="D64" s="267"/>
      <c r="E64" s="267"/>
      <c r="F64" s="267"/>
      <c r="G64" s="267"/>
      <c r="H64" s="267"/>
      <c r="I64" s="267"/>
      <c r="J64" s="267"/>
      <c r="K64" s="267"/>
    </row>
    <row r="65" spans="1:11" ht="13.5" customHeight="1">
      <c r="A65" s="267"/>
      <c r="B65" s="267"/>
      <c r="C65" s="267"/>
      <c r="D65" s="267"/>
      <c r="E65" s="267"/>
      <c r="F65" s="267"/>
      <c r="G65" s="267"/>
      <c r="H65" s="267"/>
      <c r="I65" s="267"/>
      <c r="J65" s="267"/>
      <c r="K65" s="267"/>
    </row>
    <row r="66" spans="1:11" ht="13.5" customHeight="1">
      <c r="A66" s="267"/>
      <c r="B66" s="267"/>
      <c r="C66" s="267"/>
      <c r="D66" s="267"/>
      <c r="E66" s="267"/>
      <c r="F66" s="267"/>
      <c r="G66" s="267"/>
      <c r="H66" s="267"/>
      <c r="I66" s="267"/>
      <c r="J66" s="267"/>
      <c r="K66" s="267"/>
    </row>
    <row r="67" spans="1:11" ht="13.5" customHeight="1">
      <c r="A67" s="267"/>
      <c r="B67" s="267"/>
      <c r="C67" s="267"/>
      <c r="D67" s="267"/>
      <c r="E67" s="267"/>
      <c r="F67" s="267"/>
      <c r="G67" s="267"/>
      <c r="H67" s="267"/>
      <c r="I67" s="267"/>
      <c r="J67" s="267"/>
      <c r="K67" s="267"/>
    </row>
    <row r="68" spans="1:11" ht="13.5" customHeight="1">
      <c r="A68" s="267"/>
      <c r="B68" s="267"/>
      <c r="C68" s="267"/>
      <c r="D68" s="267"/>
      <c r="E68" s="267"/>
      <c r="F68" s="267"/>
      <c r="G68" s="267"/>
      <c r="H68" s="267"/>
      <c r="I68" s="267"/>
      <c r="J68" s="267"/>
      <c r="K68" s="267"/>
    </row>
    <row r="69" spans="1:11" ht="13.5" customHeight="1">
      <c r="A69" s="267"/>
      <c r="B69" s="267"/>
      <c r="C69" s="267"/>
      <c r="D69" s="267"/>
      <c r="E69" s="267"/>
      <c r="F69" s="267"/>
      <c r="G69" s="267"/>
      <c r="H69" s="267"/>
      <c r="I69" s="267"/>
      <c r="J69" s="267"/>
      <c r="K69" s="267"/>
    </row>
    <row r="70" spans="1:11" ht="13.5" customHeight="1">
      <c r="A70" s="267"/>
      <c r="B70" s="267"/>
      <c r="C70" s="267"/>
      <c r="D70" s="267"/>
      <c r="E70" s="267"/>
      <c r="F70" s="267"/>
      <c r="G70" s="267"/>
      <c r="H70" s="267"/>
      <c r="I70" s="267"/>
      <c r="J70" s="267"/>
      <c r="K70" s="267"/>
    </row>
    <row r="71" spans="1:11" ht="13.5" customHeight="1">
      <c r="A71" s="267"/>
      <c r="B71" s="267"/>
      <c r="C71" s="267"/>
      <c r="D71" s="267"/>
      <c r="E71" s="267"/>
      <c r="F71" s="267"/>
      <c r="G71" s="267"/>
      <c r="H71" s="267"/>
      <c r="I71" s="267"/>
      <c r="J71" s="267"/>
      <c r="K71" s="267"/>
    </row>
    <row r="72" spans="1:11" ht="13.5" customHeight="1">
      <c r="A72" s="267"/>
      <c r="B72" s="267"/>
      <c r="C72" s="267"/>
      <c r="D72" s="267"/>
      <c r="E72" s="267"/>
      <c r="F72" s="267"/>
      <c r="G72" s="267"/>
      <c r="H72" s="267"/>
      <c r="I72" s="267"/>
      <c r="J72" s="267"/>
      <c r="K72" s="267"/>
    </row>
    <row r="73" spans="1:11" ht="13.5" customHeight="1">
      <c r="A73" s="267"/>
      <c r="B73" s="267"/>
      <c r="C73" s="267"/>
      <c r="D73" s="267"/>
      <c r="E73" s="267"/>
      <c r="F73" s="267"/>
      <c r="G73" s="267"/>
      <c r="H73" s="267"/>
      <c r="I73" s="267"/>
      <c r="J73" s="267"/>
      <c r="K73" s="267"/>
    </row>
    <row r="74" spans="1:11" ht="13.5" customHeight="1">
      <c r="A74" s="267"/>
      <c r="B74" s="267"/>
      <c r="C74" s="267"/>
      <c r="D74" s="267"/>
      <c r="E74" s="267"/>
      <c r="F74" s="267"/>
      <c r="G74" s="267"/>
      <c r="H74" s="267"/>
      <c r="I74" s="267"/>
      <c r="J74" s="267"/>
      <c r="K74" s="267"/>
    </row>
    <row r="75" spans="1:11" ht="13.5" customHeight="1">
      <c r="A75" s="267"/>
      <c r="B75" s="267"/>
      <c r="C75" s="267"/>
      <c r="D75" s="267"/>
      <c r="E75" s="267"/>
      <c r="F75" s="267"/>
      <c r="G75" s="267"/>
      <c r="H75" s="267"/>
      <c r="I75" s="267"/>
      <c r="J75" s="267"/>
      <c r="K75" s="267"/>
    </row>
    <row r="76" spans="1:11" ht="13.5" customHeight="1">
      <c r="A76" s="267"/>
      <c r="B76" s="267"/>
      <c r="C76" s="267"/>
      <c r="D76" s="267"/>
      <c r="E76" s="267"/>
      <c r="F76" s="267"/>
      <c r="G76" s="267"/>
      <c r="H76" s="267"/>
      <c r="I76" s="267"/>
      <c r="J76" s="267"/>
      <c r="K76" s="267"/>
    </row>
    <row r="77" spans="1:11" ht="13.5" customHeight="1">
      <c r="A77" s="267"/>
      <c r="B77" s="267"/>
      <c r="C77" s="267"/>
      <c r="D77" s="267"/>
      <c r="E77" s="267"/>
      <c r="F77" s="267"/>
      <c r="G77" s="267"/>
      <c r="H77" s="267"/>
      <c r="I77" s="267"/>
      <c r="J77" s="267"/>
      <c r="K77" s="267"/>
    </row>
    <row r="78" spans="1:11" ht="13.5" customHeight="1">
      <c r="A78" s="267"/>
      <c r="B78" s="267"/>
      <c r="C78" s="267"/>
      <c r="D78" s="267"/>
      <c r="E78" s="267"/>
      <c r="F78" s="267"/>
      <c r="G78" s="267"/>
      <c r="H78" s="267"/>
      <c r="I78" s="267"/>
      <c r="J78" s="267"/>
      <c r="K78" s="267"/>
    </row>
    <row r="79" spans="1:11" ht="13.5" customHeight="1">
      <c r="A79" s="267"/>
      <c r="B79" s="267"/>
      <c r="C79" s="267"/>
      <c r="D79" s="267"/>
      <c r="E79" s="267"/>
      <c r="F79" s="267"/>
      <c r="G79" s="267"/>
      <c r="H79" s="267"/>
      <c r="I79" s="267"/>
      <c r="J79" s="267"/>
      <c r="K79" s="267"/>
    </row>
    <row r="80" spans="1:11" ht="13.5" customHeight="1">
      <c r="A80" s="267"/>
      <c r="B80" s="267"/>
      <c r="C80" s="267"/>
      <c r="D80" s="267"/>
      <c r="E80" s="267"/>
      <c r="F80" s="267"/>
      <c r="G80" s="267"/>
      <c r="H80" s="267"/>
      <c r="I80" s="267"/>
      <c r="J80" s="267"/>
      <c r="K80" s="267"/>
    </row>
    <row r="81" spans="1:11" ht="13.5" customHeight="1">
      <c r="A81" s="267"/>
      <c r="B81" s="267"/>
      <c r="C81" s="267"/>
      <c r="D81" s="267"/>
      <c r="E81" s="267"/>
      <c r="F81" s="267"/>
      <c r="G81" s="267"/>
      <c r="H81" s="267"/>
      <c r="I81" s="267"/>
      <c r="J81" s="267"/>
      <c r="K81" s="267"/>
    </row>
    <row r="82" spans="1:11" ht="13.5" customHeight="1">
      <c r="A82" s="267"/>
      <c r="B82" s="267"/>
      <c r="C82" s="267"/>
      <c r="D82" s="267"/>
      <c r="E82" s="267"/>
      <c r="F82" s="267"/>
      <c r="G82" s="267"/>
      <c r="H82" s="267"/>
      <c r="I82" s="267"/>
      <c r="J82" s="267"/>
      <c r="K82" s="267"/>
    </row>
    <row r="83" spans="1:11" ht="13.5" customHeight="1">
      <c r="A83" s="267"/>
      <c r="B83" s="267"/>
      <c r="C83" s="267"/>
      <c r="D83" s="267"/>
      <c r="E83" s="267"/>
      <c r="F83" s="267"/>
      <c r="G83" s="267"/>
      <c r="H83" s="267"/>
      <c r="I83" s="267"/>
      <c r="J83" s="267"/>
      <c r="K83" s="267"/>
    </row>
    <row r="84" spans="1:11" ht="13.5" customHeight="1">
      <c r="A84" s="267"/>
      <c r="B84" s="267"/>
      <c r="C84" s="267"/>
      <c r="D84" s="267"/>
      <c r="E84" s="267"/>
      <c r="F84" s="267"/>
      <c r="G84" s="267"/>
      <c r="H84" s="267"/>
      <c r="I84" s="267"/>
      <c r="J84" s="267"/>
      <c r="K84" s="267"/>
    </row>
    <row r="85" spans="1:11" ht="13.5" customHeight="1">
      <c r="A85" s="267"/>
      <c r="B85" s="267"/>
      <c r="C85" s="267"/>
      <c r="D85" s="267"/>
      <c r="E85" s="267"/>
      <c r="F85" s="267"/>
      <c r="G85" s="267"/>
      <c r="H85" s="267"/>
      <c r="I85" s="267"/>
      <c r="J85" s="267"/>
      <c r="K85" s="267"/>
    </row>
    <row r="86" spans="1:11" ht="13.5" customHeight="1">
      <c r="A86" s="267"/>
      <c r="B86" s="267"/>
      <c r="C86" s="267"/>
      <c r="D86" s="267"/>
      <c r="E86" s="267"/>
      <c r="F86" s="267"/>
      <c r="G86" s="267"/>
      <c r="H86" s="267"/>
      <c r="I86" s="267"/>
      <c r="J86" s="267"/>
      <c r="K86" s="267"/>
    </row>
    <row r="87" spans="1:11" ht="13.5" customHeight="1">
      <c r="A87" s="267"/>
      <c r="B87" s="267"/>
      <c r="C87" s="267"/>
      <c r="D87" s="267"/>
      <c r="E87" s="267"/>
      <c r="F87" s="267"/>
      <c r="G87" s="267"/>
      <c r="H87" s="267"/>
      <c r="I87" s="267"/>
      <c r="J87" s="267"/>
      <c r="K87" s="267"/>
    </row>
    <row r="88" spans="1:11" ht="13.5" customHeight="1">
      <c r="A88" s="267"/>
      <c r="B88" s="267"/>
      <c r="C88" s="267"/>
      <c r="D88" s="267"/>
      <c r="E88" s="267"/>
      <c r="F88" s="267"/>
      <c r="G88" s="267"/>
      <c r="H88" s="267"/>
      <c r="I88" s="267"/>
      <c r="J88" s="267"/>
      <c r="K88" s="267"/>
    </row>
    <row r="89" spans="1:11" ht="13.5" customHeight="1">
      <c r="A89" s="267"/>
      <c r="B89" s="267"/>
      <c r="C89" s="267"/>
      <c r="D89" s="267"/>
      <c r="E89" s="267"/>
      <c r="F89" s="267"/>
      <c r="G89" s="267"/>
      <c r="H89" s="267"/>
      <c r="I89" s="267"/>
      <c r="J89" s="267"/>
      <c r="K89" s="267"/>
    </row>
    <row r="90" spans="1:11" ht="13.5" customHeight="1">
      <c r="A90" s="267"/>
      <c r="B90" s="267"/>
      <c r="C90" s="267"/>
      <c r="D90" s="267"/>
      <c r="E90" s="267"/>
      <c r="F90" s="267"/>
      <c r="G90" s="267"/>
      <c r="H90" s="267"/>
      <c r="I90" s="267"/>
      <c r="J90" s="267"/>
      <c r="K90" s="267"/>
    </row>
    <row r="91" spans="1:11" ht="13.5" customHeight="1">
      <c r="A91" s="267"/>
      <c r="B91" s="267"/>
      <c r="C91" s="267"/>
      <c r="D91" s="267"/>
      <c r="E91" s="267"/>
      <c r="F91" s="267"/>
      <c r="G91" s="267"/>
      <c r="H91" s="267"/>
      <c r="I91" s="267"/>
      <c r="J91" s="267"/>
      <c r="K91" s="267"/>
    </row>
    <row r="92" spans="1:11" ht="13.5" customHeight="1">
      <c r="A92" s="267"/>
      <c r="B92" s="267"/>
      <c r="C92" s="267"/>
      <c r="D92" s="267"/>
      <c r="E92" s="267"/>
      <c r="F92" s="267"/>
      <c r="G92" s="267"/>
      <c r="H92" s="267"/>
      <c r="I92" s="267"/>
      <c r="J92" s="267"/>
      <c r="K92" s="267"/>
    </row>
    <row r="93" spans="1:11" ht="13.5" customHeight="1">
      <c r="A93" s="267"/>
      <c r="B93" s="267"/>
      <c r="C93" s="267"/>
      <c r="D93" s="267"/>
      <c r="E93" s="267"/>
      <c r="F93" s="267"/>
      <c r="G93" s="267"/>
      <c r="H93" s="267"/>
      <c r="I93" s="267"/>
      <c r="J93" s="267"/>
      <c r="K93" s="267"/>
    </row>
    <row r="94" spans="1:11" ht="13.5" customHeight="1">
      <c r="A94" s="267"/>
      <c r="B94" s="267"/>
      <c r="C94" s="267"/>
      <c r="D94" s="267"/>
      <c r="E94" s="267"/>
      <c r="F94" s="267"/>
      <c r="G94" s="267"/>
      <c r="H94" s="267"/>
      <c r="I94" s="267"/>
      <c r="J94" s="267"/>
      <c r="K94" s="267"/>
    </row>
    <row r="95" spans="1:11" ht="13.5" customHeight="1">
      <c r="A95" s="267"/>
      <c r="B95" s="267"/>
      <c r="C95" s="267"/>
      <c r="D95" s="267"/>
      <c r="E95" s="267"/>
      <c r="F95" s="267"/>
      <c r="G95" s="267"/>
      <c r="H95" s="267"/>
      <c r="I95" s="267"/>
      <c r="J95" s="267"/>
      <c r="K95" s="267"/>
    </row>
    <row r="96" spans="1:11" ht="13.5" customHeight="1">
      <c r="A96" s="267"/>
      <c r="B96" s="267"/>
      <c r="C96" s="267"/>
      <c r="D96" s="267"/>
      <c r="E96" s="267"/>
      <c r="F96" s="267"/>
      <c r="G96" s="267"/>
      <c r="H96" s="267"/>
      <c r="I96" s="267"/>
      <c r="J96" s="267"/>
      <c r="K96" s="267"/>
    </row>
    <row r="97" spans="1:11" ht="13.5" customHeight="1">
      <c r="A97" s="267"/>
      <c r="B97" s="267"/>
      <c r="C97" s="267"/>
      <c r="D97" s="267"/>
      <c r="E97" s="267"/>
      <c r="F97" s="267"/>
      <c r="G97" s="267"/>
      <c r="H97" s="267"/>
      <c r="I97" s="267"/>
      <c r="J97" s="267"/>
      <c r="K97" s="267"/>
    </row>
    <row r="98" spans="1:11" ht="13.5" customHeight="1">
      <c r="A98" s="267"/>
      <c r="B98" s="267"/>
      <c r="C98" s="267"/>
      <c r="D98" s="267"/>
      <c r="E98" s="267"/>
      <c r="F98" s="267"/>
      <c r="G98" s="267"/>
      <c r="H98" s="267"/>
      <c r="I98" s="267"/>
      <c r="J98" s="267"/>
      <c r="K98" s="267"/>
    </row>
    <row r="99" spans="1:11" ht="13.5" customHeight="1">
      <c r="A99" s="267"/>
      <c r="B99" s="267"/>
      <c r="C99" s="267"/>
      <c r="D99" s="267"/>
      <c r="E99" s="267"/>
      <c r="F99" s="267"/>
      <c r="G99" s="267"/>
      <c r="H99" s="267"/>
      <c r="I99" s="267"/>
      <c r="J99" s="267"/>
      <c r="K99" s="267"/>
    </row>
    <row r="100" spans="1:11" ht="13.5" customHeight="1">
      <c r="A100" s="267"/>
      <c r="B100" s="267"/>
      <c r="C100" s="267"/>
      <c r="D100" s="267"/>
      <c r="E100" s="267"/>
      <c r="F100" s="267"/>
      <c r="G100" s="267"/>
      <c r="H100" s="267"/>
      <c r="I100" s="267"/>
      <c r="J100" s="267"/>
      <c r="K100" s="267"/>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28515625" customWidth="1"/>
    <col min="2" max="2" width="61.7109375" customWidth="1"/>
    <col min="3" max="3" width="61.28515625" customWidth="1"/>
    <col min="4" max="4" width="81" customWidth="1"/>
    <col min="5" max="5" width="32.7109375" customWidth="1"/>
    <col min="6" max="6" width="19" customWidth="1"/>
    <col min="7" max="7" width="29.42578125" customWidth="1"/>
    <col min="8" max="8" width="36.42578125" customWidth="1"/>
    <col min="9" max="9" width="40" customWidth="1"/>
    <col min="10" max="11" width="10" customWidth="1"/>
  </cols>
  <sheetData>
    <row r="1" spans="1:11" ht="13.5" customHeight="1">
      <c r="A1" s="90" t="s">
        <v>565</v>
      </c>
      <c r="B1" s="90" t="s">
        <v>566</v>
      </c>
      <c r="C1" s="90" t="s">
        <v>567</v>
      </c>
      <c r="D1" s="90" t="s">
        <v>568</v>
      </c>
      <c r="E1" s="90" t="s">
        <v>546</v>
      </c>
      <c r="F1" s="90" t="s">
        <v>569</v>
      </c>
      <c r="G1" s="90" t="s">
        <v>570</v>
      </c>
      <c r="H1" s="90" t="s">
        <v>407</v>
      </c>
      <c r="I1" s="90" t="s">
        <v>537</v>
      </c>
      <c r="J1" s="276"/>
      <c r="K1" s="276"/>
    </row>
    <row r="2" spans="1:11" ht="13.5" customHeight="1">
      <c r="A2" s="88" t="s">
        <v>571</v>
      </c>
      <c r="B2" s="277" t="s">
        <v>572</v>
      </c>
      <c r="C2" s="88" t="s">
        <v>573</v>
      </c>
      <c r="D2" s="91" t="s">
        <v>574</v>
      </c>
      <c r="E2" s="278" t="s">
        <v>575</v>
      </c>
      <c r="F2" s="279" t="s">
        <v>576</v>
      </c>
      <c r="G2" s="280" t="s">
        <v>577</v>
      </c>
      <c r="H2" s="280" t="s">
        <v>578</v>
      </c>
      <c r="I2" s="279" t="s">
        <v>579</v>
      </c>
      <c r="J2" s="276"/>
      <c r="K2" s="276"/>
    </row>
    <row r="3" spans="1:11" ht="13.5" customHeight="1">
      <c r="A3" s="88" t="s">
        <v>580</v>
      </c>
      <c r="B3" s="277" t="s">
        <v>581</v>
      </c>
      <c r="C3" s="88" t="s">
        <v>582</v>
      </c>
      <c r="D3" s="281" t="s">
        <v>583</v>
      </c>
      <c r="E3" s="278" t="s">
        <v>584</v>
      </c>
      <c r="F3" s="279" t="s">
        <v>585</v>
      </c>
      <c r="G3" s="280" t="s">
        <v>586</v>
      </c>
      <c r="H3" s="280" t="s">
        <v>416</v>
      </c>
      <c r="I3" s="279" t="s">
        <v>587</v>
      </c>
      <c r="J3" s="266"/>
      <c r="K3" s="266"/>
    </row>
    <row r="4" spans="1:11" ht="13.5" customHeight="1">
      <c r="A4" s="88" t="s">
        <v>588</v>
      </c>
      <c r="B4" s="277" t="s">
        <v>589</v>
      </c>
      <c r="C4" s="88" t="s">
        <v>590</v>
      </c>
      <c r="D4" s="281" t="s">
        <v>591</v>
      </c>
      <c r="E4" s="278" t="s">
        <v>592</v>
      </c>
      <c r="F4" s="279" t="s">
        <v>593</v>
      </c>
      <c r="G4" s="280" t="s">
        <v>594</v>
      </c>
      <c r="H4" s="280" t="s">
        <v>411</v>
      </c>
      <c r="I4" s="279" t="s">
        <v>595</v>
      </c>
      <c r="J4" s="266"/>
      <c r="K4" s="266"/>
    </row>
    <row r="5" spans="1:11" ht="13.5" customHeight="1">
      <c r="A5" s="88" t="s">
        <v>596</v>
      </c>
      <c r="B5" s="277" t="s">
        <v>597</v>
      </c>
      <c r="C5" s="88" t="s">
        <v>598</v>
      </c>
      <c r="D5" s="281" t="s">
        <v>599</v>
      </c>
      <c r="E5" s="278" t="s">
        <v>600</v>
      </c>
      <c r="F5" s="279" t="s">
        <v>601</v>
      </c>
      <c r="G5" s="280" t="s">
        <v>602</v>
      </c>
      <c r="H5" s="280" t="s">
        <v>412</v>
      </c>
      <c r="I5" s="279" t="s">
        <v>603</v>
      </c>
      <c r="J5" s="266"/>
      <c r="K5" s="266"/>
    </row>
    <row r="6" spans="1:11" ht="27.75" customHeight="1">
      <c r="A6" s="88" t="s">
        <v>18</v>
      </c>
      <c r="B6" s="277" t="s">
        <v>604</v>
      </c>
      <c r="C6" s="88" t="s">
        <v>605</v>
      </c>
      <c r="D6" s="281" t="s">
        <v>606</v>
      </c>
      <c r="E6" s="278" t="s">
        <v>607</v>
      </c>
      <c r="F6" s="266"/>
      <c r="G6" s="280" t="s">
        <v>608</v>
      </c>
      <c r="H6" s="280" t="s">
        <v>413</v>
      </c>
      <c r="I6" s="279" t="s">
        <v>609</v>
      </c>
      <c r="J6" s="266"/>
      <c r="K6" s="266"/>
    </row>
    <row r="7" spans="1:11" ht="13.5" customHeight="1">
      <c r="A7" s="266"/>
      <c r="B7" s="277" t="s">
        <v>610</v>
      </c>
      <c r="C7" s="88" t="s">
        <v>611</v>
      </c>
      <c r="D7" s="281" t="s">
        <v>612</v>
      </c>
      <c r="E7" s="279" t="s">
        <v>613</v>
      </c>
      <c r="F7" s="266"/>
      <c r="G7" s="278" t="s">
        <v>422</v>
      </c>
      <c r="H7" s="280" t="s">
        <v>414</v>
      </c>
      <c r="I7" s="279" t="s">
        <v>614</v>
      </c>
      <c r="J7" s="266"/>
      <c r="K7" s="266"/>
    </row>
    <row r="8" spans="1:11" ht="27.75" customHeight="1">
      <c r="A8" s="92"/>
      <c r="B8" s="277" t="s">
        <v>615</v>
      </c>
      <c r="C8" s="88" t="s">
        <v>616</v>
      </c>
      <c r="D8" s="281" t="s">
        <v>617</v>
      </c>
      <c r="E8" s="279" t="s">
        <v>618</v>
      </c>
      <c r="F8" s="266"/>
      <c r="G8" s="266"/>
      <c r="H8" s="266"/>
      <c r="I8" s="279" t="s">
        <v>619</v>
      </c>
      <c r="J8" s="266"/>
      <c r="K8" s="266"/>
    </row>
    <row r="9" spans="1:11" ht="31.5" customHeight="1">
      <c r="A9" s="92"/>
      <c r="B9" s="277" t="s">
        <v>620</v>
      </c>
      <c r="C9" s="88" t="s">
        <v>621</v>
      </c>
      <c r="D9" s="281" t="s">
        <v>622</v>
      </c>
      <c r="E9" s="279" t="s">
        <v>623</v>
      </c>
      <c r="F9" s="266"/>
      <c r="G9" s="266"/>
      <c r="H9" s="266"/>
      <c r="I9" s="279" t="s">
        <v>624</v>
      </c>
      <c r="J9" s="266"/>
      <c r="K9" s="266"/>
    </row>
    <row r="10" spans="1:11" ht="13.5" customHeight="1">
      <c r="A10" s="92"/>
      <c r="B10" s="277" t="s">
        <v>625</v>
      </c>
      <c r="C10" s="88" t="s">
        <v>626</v>
      </c>
      <c r="D10" s="281" t="s">
        <v>627</v>
      </c>
      <c r="E10" s="279" t="s">
        <v>628</v>
      </c>
      <c r="F10" s="266"/>
      <c r="G10" s="266"/>
      <c r="H10" s="266"/>
      <c r="I10" s="279" t="s">
        <v>629</v>
      </c>
      <c r="J10" s="266"/>
      <c r="K10" s="266"/>
    </row>
    <row r="11" spans="1:11" ht="13.5" customHeight="1">
      <c r="A11" s="92"/>
      <c r="B11" s="277" t="s">
        <v>630</v>
      </c>
      <c r="C11" s="88" t="s">
        <v>631</v>
      </c>
      <c r="D11" s="281" t="s">
        <v>632</v>
      </c>
      <c r="E11" s="279" t="s">
        <v>633</v>
      </c>
      <c r="F11" s="266"/>
      <c r="G11" s="266"/>
      <c r="H11" s="266"/>
      <c r="I11" s="279" t="s">
        <v>634</v>
      </c>
      <c r="J11" s="266"/>
      <c r="K11" s="266"/>
    </row>
    <row r="12" spans="1:11" ht="27.75" customHeight="1">
      <c r="A12" s="92"/>
      <c r="B12" s="277" t="s">
        <v>635</v>
      </c>
      <c r="C12" s="88" t="s">
        <v>636</v>
      </c>
      <c r="D12" s="281" t="s">
        <v>637</v>
      </c>
      <c r="E12" s="279" t="s">
        <v>638</v>
      </c>
      <c r="F12" s="266"/>
      <c r="G12" s="266"/>
      <c r="H12" s="266"/>
      <c r="I12" s="279" t="s">
        <v>639</v>
      </c>
      <c r="J12" s="266"/>
      <c r="K12" s="266"/>
    </row>
    <row r="13" spans="1:11" ht="13.5" customHeight="1">
      <c r="A13" s="92"/>
      <c r="B13" s="93" t="s">
        <v>640</v>
      </c>
      <c r="C13" s="266"/>
      <c r="D13" s="281" t="s">
        <v>641</v>
      </c>
      <c r="E13" s="279" t="s">
        <v>642</v>
      </c>
      <c r="F13" s="266"/>
      <c r="G13" s="266"/>
      <c r="H13" s="266"/>
      <c r="I13" s="279" t="s">
        <v>643</v>
      </c>
      <c r="J13" s="266"/>
      <c r="K13" s="266"/>
    </row>
    <row r="14" spans="1:11" ht="13.5" customHeight="1">
      <c r="A14" s="92"/>
      <c r="B14" s="277" t="s">
        <v>644</v>
      </c>
      <c r="C14" s="92"/>
      <c r="D14" s="281" t="s">
        <v>645</v>
      </c>
      <c r="E14" s="279" t="s">
        <v>646</v>
      </c>
      <c r="F14" s="266"/>
      <c r="G14" s="266"/>
      <c r="H14" s="266"/>
      <c r="I14" s="266"/>
      <c r="J14" s="266"/>
      <c r="K14" s="266"/>
    </row>
    <row r="15" spans="1:11" ht="13.5" customHeight="1">
      <c r="A15" s="92"/>
      <c r="B15" s="277" t="s">
        <v>647</v>
      </c>
      <c r="C15" s="92"/>
      <c r="D15" s="281" t="s">
        <v>648</v>
      </c>
      <c r="E15" s="279" t="s">
        <v>649</v>
      </c>
      <c r="F15" s="266"/>
      <c r="G15" s="266"/>
      <c r="H15" s="266"/>
      <c r="I15" s="266"/>
      <c r="J15" s="266"/>
      <c r="K15" s="266"/>
    </row>
    <row r="16" spans="1:11" ht="13.5" customHeight="1">
      <c r="A16" s="92"/>
      <c r="B16" s="277" t="s">
        <v>650</v>
      </c>
      <c r="C16" s="92"/>
      <c r="D16" s="281" t="s">
        <v>651</v>
      </c>
      <c r="E16" s="282"/>
      <c r="F16" s="266"/>
      <c r="G16" s="266"/>
      <c r="H16" s="266"/>
      <c r="I16" s="266"/>
      <c r="J16" s="266"/>
      <c r="K16" s="266"/>
    </row>
    <row r="17" spans="1:11" ht="13.5" customHeight="1">
      <c r="A17" s="92"/>
      <c r="B17" s="277" t="s">
        <v>652</v>
      </c>
      <c r="C17" s="92"/>
      <c r="D17" s="281" t="s">
        <v>653</v>
      </c>
      <c r="E17" s="282"/>
      <c r="F17" s="266"/>
      <c r="G17" s="266"/>
      <c r="H17" s="266"/>
      <c r="I17" s="266"/>
      <c r="J17" s="266"/>
      <c r="K17" s="266"/>
    </row>
    <row r="18" spans="1:11" ht="13.5" customHeight="1">
      <c r="A18" s="92"/>
      <c r="B18" s="277" t="s">
        <v>654</v>
      </c>
      <c r="C18" s="92"/>
      <c r="D18" s="281" t="s">
        <v>655</v>
      </c>
      <c r="E18" s="282"/>
      <c r="F18" s="266"/>
      <c r="G18" s="266"/>
      <c r="H18" s="266"/>
      <c r="I18" s="266"/>
      <c r="J18" s="266"/>
      <c r="K18" s="266"/>
    </row>
    <row r="19" spans="1:11" ht="13.5" customHeight="1">
      <c r="A19" s="92"/>
      <c r="B19" s="277" t="s">
        <v>656</v>
      </c>
      <c r="C19" s="92"/>
      <c r="D19" s="281" t="s">
        <v>657</v>
      </c>
      <c r="E19" s="282"/>
      <c r="F19" s="266"/>
      <c r="G19" s="266"/>
      <c r="H19" s="266"/>
      <c r="I19" s="266"/>
      <c r="J19" s="266"/>
      <c r="K19" s="266"/>
    </row>
    <row r="20" spans="1:11" ht="13.5" customHeight="1">
      <c r="A20" s="92"/>
      <c r="B20" s="277" t="s">
        <v>658</v>
      </c>
      <c r="C20" s="92"/>
      <c r="D20" s="281" t="s">
        <v>659</v>
      </c>
      <c r="E20" s="282"/>
      <c r="F20" s="266"/>
      <c r="G20" s="266"/>
      <c r="H20" s="266"/>
      <c r="I20" s="266"/>
      <c r="J20" s="266"/>
      <c r="K20" s="266"/>
    </row>
    <row r="21" spans="1:11" ht="13.5" customHeight="1">
      <c r="A21" s="266"/>
      <c r="B21" s="277" t="s">
        <v>660</v>
      </c>
      <c r="C21" s="266"/>
      <c r="D21" s="281" t="s">
        <v>661</v>
      </c>
      <c r="E21" s="282"/>
      <c r="F21" s="266"/>
      <c r="G21" s="266"/>
      <c r="H21" s="266"/>
      <c r="I21" s="266"/>
      <c r="J21" s="266"/>
      <c r="K21" s="266"/>
    </row>
    <row r="22" spans="1:11" ht="13.5" customHeight="1">
      <c r="A22" s="266"/>
      <c r="B22" s="277" t="s">
        <v>662</v>
      </c>
      <c r="C22" s="266"/>
      <c r="D22" s="281" t="s">
        <v>663</v>
      </c>
      <c r="E22" s="282"/>
      <c r="F22" s="266"/>
      <c r="G22" s="266"/>
      <c r="H22" s="266"/>
      <c r="I22" s="266"/>
      <c r="J22" s="266"/>
      <c r="K22" s="266"/>
    </row>
    <row r="23" spans="1:11" ht="13.5" customHeight="1">
      <c r="A23" s="266"/>
      <c r="B23" s="277" t="s">
        <v>664</v>
      </c>
      <c r="C23" s="266"/>
      <c r="D23" s="281" t="s">
        <v>665</v>
      </c>
      <c r="E23" s="282"/>
      <c r="F23" s="266"/>
      <c r="G23" s="266"/>
      <c r="H23" s="266"/>
      <c r="I23" s="266"/>
      <c r="J23" s="266"/>
      <c r="K23" s="266"/>
    </row>
    <row r="24" spans="1:11" ht="13.5" customHeight="1">
      <c r="A24" s="266"/>
      <c r="B24" s="266"/>
      <c r="C24" s="266"/>
      <c r="D24" s="283" t="s">
        <v>666</v>
      </c>
      <c r="E24" s="283" t="s">
        <v>667</v>
      </c>
      <c r="F24" s="266"/>
      <c r="G24" s="266"/>
      <c r="H24" s="266"/>
      <c r="I24" s="266"/>
      <c r="J24" s="266"/>
      <c r="K24" s="266"/>
    </row>
    <row r="25" spans="1:11" ht="13.5" customHeight="1">
      <c r="A25" s="266"/>
      <c r="B25" s="266"/>
      <c r="C25" s="266"/>
      <c r="D25" s="284" t="s">
        <v>668</v>
      </c>
      <c r="E25" s="279" t="s">
        <v>669</v>
      </c>
      <c r="F25" s="266"/>
      <c r="G25" s="266"/>
      <c r="H25" s="266"/>
      <c r="I25" s="266"/>
      <c r="J25" s="266"/>
      <c r="K25" s="266"/>
    </row>
    <row r="26" spans="1:11" ht="13.5" customHeight="1">
      <c r="A26" s="266"/>
      <c r="B26" s="266"/>
      <c r="C26" s="266"/>
      <c r="D26" s="284" t="s">
        <v>670</v>
      </c>
      <c r="E26" s="279" t="s">
        <v>671</v>
      </c>
      <c r="F26" s="266"/>
      <c r="G26" s="266"/>
      <c r="H26" s="266"/>
      <c r="I26" s="266"/>
      <c r="J26" s="266"/>
      <c r="K26" s="266"/>
    </row>
    <row r="27" spans="1:11" ht="13.5" customHeight="1">
      <c r="A27" s="266"/>
      <c r="B27" s="266"/>
      <c r="C27" s="266"/>
      <c r="D27" s="894" t="s">
        <v>672</v>
      </c>
      <c r="E27" s="279" t="s">
        <v>673</v>
      </c>
      <c r="F27" s="266"/>
      <c r="G27" s="266"/>
      <c r="H27" s="266"/>
      <c r="I27" s="266"/>
      <c r="J27" s="266"/>
      <c r="K27" s="266"/>
    </row>
    <row r="28" spans="1:11" ht="13.5" customHeight="1">
      <c r="A28" s="266"/>
      <c r="B28" s="266"/>
      <c r="C28" s="266"/>
      <c r="D28" s="652"/>
      <c r="E28" s="279" t="s">
        <v>674</v>
      </c>
      <c r="F28" s="266"/>
      <c r="G28" s="266"/>
      <c r="H28" s="266"/>
      <c r="I28" s="266"/>
      <c r="J28" s="266"/>
      <c r="K28" s="266"/>
    </row>
    <row r="29" spans="1:11" ht="13.5" customHeight="1">
      <c r="A29" s="266"/>
      <c r="B29" s="266"/>
      <c r="C29" s="266"/>
      <c r="D29" s="652"/>
      <c r="E29" s="279" t="s">
        <v>675</v>
      </c>
      <c r="F29" s="266"/>
      <c r="G29" s="266"/>
      <c r="H29" s="266"/>
      <c r="I29" s="266"/>
      <c r="J29" s="266"/>
      <c r="K29" s="266"/>
    </row>
    <row r="30" spans="1:11" ht="13.5" customHeight="1">
      <c r="A30" s="266"/>
      <c r="B30" s="266"/>
      <c r="C30" s="266"/>
      <c r="D30" s="560"/>
      <c r="E30" s="279" t="s">
        <v>676</v>
      </c>
      <c r="F30" s="266"/>
      <c r="G30" s="266"/>
      <c r="H30" s="266"/>
      <c r="I30" s="266"/>
      <c r="J30" s="266"/>
      <c r="K30" s="266"/>
    </row>
    <row r="31" spans="1:11" ht="13.5" customHeight="1">
      <c r="A31" s="266"/>
      <c r="B31" s="266"/>
      <c r="C31" s="266"/>
      <c r="D31" s="284" t="s">
        <v>677</v>
      </c>
      <c r="E31" s="279" t="s">
        <v>678</v>
      </c>
      <c r="F31" s="266"/>
      <c r="G31" s="266"/>
      <c r="H31" s="266"/>
      <c r="I31" s="266"/>
      <c r="J31" s="266"/>
      <c r="K31" s="266"/>
    </row>
    <row r="32" spans="1:11" ht="13.5" customHeight="1">
      <c r="A32" s="266"/>
      <c r="B32" s="266"/>
      <c r="C32" s="266"/>
      <c r="D32" s="284" t="s">
        <v>679</v>
      </c>
      <c r="E32" s="279" t="s">
        <v>680</v>
      </c>
      <c r="F32" s="266"/>
      <c r="G32" s="266"/>
      <c r="H32" s="266"/>
      <c r="I32" s="266"/>
      <c r="J32" s="266"/>
      <c r="K32" s="266"/>
    </row>
    <row r="33" spans="1:11" ht="13.5" customHeight="1">
      <c r="A33" s="266"/>
      <c r="B33" s="266"/>
      <c r="C33" s="266"/>
      <c r="D33" s="284" t="s">
        <v>681</v>
      </c>
      <c r="E33" s="279" t="s">
        <v>682</v>
      </c>
      <c r="F33" s="266"/>
      <c r="G33" s="266"/>
      <c r="H33" s="266"/>
      <c r="I33" s="266"/>
      <c r="J33" s="266"/>
      <c r="K33" s="266"/>
    </row>
    <row r="34" spans="1:11" ht="13.5" customHeight="1">
      <c r="A34" s="266"/>
      <c r="B34" s="266"/>
      <c r="C34" s="266"/>
      <c r="D34" s="284" t="s">
        <v>683</v>
      </c>
      <c r="E34" s="279" t="s">
        <v>684</v>
      </c>
      <c r="F34" s="266"/>
      <c r="G34" s="266"/>
      <c r="H34" s="266"/>
      <c r="I34" s="266"/>
      <c r="J34" s="266"/>
      <c r="K34" s="266"/>
    </row>
    <row r="35" spans="1:11" ht="13.5" customHeight="1">
      <c r="A35" s="266"/>
      <c r="B35" s="266"/>
      <c r="C35" s="266"/>
      <c r="D35" s="284" t="s">
        <v>685</v>
      </c>
      <c r="E35" s="279" t="s">
        <v>686</v>
      </c>
      <c r="F35" s="266"/>
      <c r="G35" s="266"/>
      <c r="H35" s="266"/>
      <c r="I35" s="266"/>
      <c r="J35" s="266"/>
      <c r="K35" s="266"/>
    </row>
    <row r="36" spans="1:11" ht="13.5" customHeight="1">
      <c r="A36" s="266"/>
      <c r="B36" s="266"/>
      <c r="C36" s="266"/>
      <c r="D36" s="284" t="s">
        <v>687</v>
      </c>
      <c r="E36" s="279" t="s">
        <v>688</v>
      </c>
      <c r="F36" s="266"/>
      <c r="G36" s="266"/>
      <c r="H36" s="266"/>
      <c r="I36" s="266"/>
      <c r="J36" s="266"/>
      <c r="K36" s="266"/>
    </row>
    <row r="37" spans="1:11" ht="13.5" customHeight="1">
      <c r="A37" s="266"/>
      <c r="B37" s="266"/>
      <c r="C37" s="266"/>
      <c r="D37" s="284" t="s">
        <v>689</v>
      </c>
      <c r="E37" s="279" t="s">
        <v>690</v>
      </c>
      <c r="F37" s="266"/>
      <c r="G37" s="266"/>
      <c r="H37" s="266"/>
      <c r="I37" s="266"/>
      <c r="J37" s="266"/>
      <c r="K37" s="266"/>
    </row>
    <row r="38" spans="1:11" ht="13.5" customHeight="1">
      <c r="A38" s="266"/>
      <c r="B38" s="266"/>
      <c r="C38" s="266"/>
      <c r="D38" s="284" t="s">
        <v>691</v>
      </c>
      <c r="E38" s="279" t="s">
        <v>692</v>
      </c>
      <c r="F38" s="266"/>
      <c r="G38" s="266"/>
      <c r="H38" s="266"/>
      <c r="I38" s="266"/>
      <c r="J38" s="266"/>
      <c r="K38" s="266"/>
    </row>
    <row r="39" spans="1:11" ht="13.5" customHeight="1">
      <c r="A39" s="266"/>
      <c r="B39" s="266"/>
      <c r="C39" s="266"/>
      <c r="D39" s="285" t="s">
        <v>693</v>
      </c>
      <c r="E39" s="279" t="s">
        <v>694</v>
      </c>
      <c r="F39" s="266"/>
      <c r="G39" s="266"/>
      <c r="H39" s="266"/>
      <c r="I39" s="266"/>
      <c r="J39" s="266"/>
      <c r="K39" s="266"/>
    </row>
    <row r="40" spans="1:11" ht="13.5" customHeight="1">
      <c r="A40" s="266"/>
      <c r="B40" s="266"/>
      <c r="C40" s="266"/>
      <c r="D40" s="285" t="s">
        <v>695</v>
      </c>
      <c r="E40" s="279" t="s">
        <v>696</v>
      </c>
      <c r="F40" s="266"/>
      <c r="G40" s="266"/>
      <c r="H40" s="266"/>
      <c r="I40" s="266"/>
      <c r="J40" s="266"/>
      <c r="K40" s="266"/>
    </row>
    <row r="41" spans="1:11" ht="13.5" customHeight="1">
      <c r="A41" s="266"/>
      <c r="B41" s="266"/>
      <c r="C41" s="266"/>
      <c r="D41" s="284" t="s">
        <v>697</v>
      </c>
      <c r="E41" s="279" t="s">
        <v>698</v>
      </c>
      <c r="F41" s="266"/>
      <c r="G41" s="266"/>
      <c r="H41" s="266"/>
      <c r="I41" s="266"/>
      <c r="J41" s="266"/>
      <c r="K41" s="266"/>
    </row>
    <row r="42" spans="1:11" ht="13.5" customHeight="1">
      <c r="A42" s="266"/>
      <c r="B42" s="266"/>
      <c r="C42" s="266"/>
      <c r="D42" s="284" t="s">
        <v>699</v>
      </c>
      <c r="E42" s="279" t="s">
        <v>700</v>
      </c>
      <c r="F42" s="266"/>
      <c r="G42" s="266"/>
      <c r="H42" s="266"/>
      <c r="I42" s="266"/>
      <c r="J42" s="266"/>
      <c r="K42" s="266"/>
    </row>
    <row r="43" spans="1:11" ht="13.5" customHeight="1">
      <c r="A43" s="266"/>
      <c r="B43" s="266"/>
      <c r="C43" s="266"/>
      <c r="D43" s="285" t="s">
        <v>701</v>
      </c>
      <c r="E43" s="279" t="s">
        <v>702</v>
      </c>
      <c r="F43" s="266"/>
      <c r="G43" s="266"/>
      <c r="H43" s="266"/>
      <c r="I43" s="266"/>
      <c r="J43" s="266"/>
      <c r="K43" s="266"/>
    </row>
    <row r="44" spans="1:11" ht="13.5" customHeight="1">
      <c r="A44" s="266"/>
      <c r="B44" s="266"/>
      <c r="C44" s="266"/>
      <c r="D44" s="286" t="s">
        <v>703</v>
      </c>
      <c r="E44" s="279" t="s">
        <v>704</v>
      </c>
      <c r="F44" s="266"/>
      <c r="G44" s="266"/>
      <c r="H44" s="266"/>
      <c r="I44" s="266"/>
      <c r="J44" s="266"/>
      <c r="K44" s="266"/>
    </row>
    <row r="45" spans="1:11" ht="13.5" customHeight="1">
      <c r="A45" s="266"/>
      <c r="B45" s="266"/>
      <c r="C45" s="266"/>
      <c r="D45" s="281" t="s">
        <v>705</v>
      </c>
      <c r="E45" s="279" t="s">
        <v>706</v>
      </c>
      <c r="F45" s="266"/>
      <c r="G45" s="266"/>
      <c r="H45" s="266"/>
      <c r="I45" s="266"/>
      <c r="J45" s="266"/>
      <c r="K45" s="266"/>
    </row>
    <row r="46" spans="1:11" ht="13.5" customHeight="1">
      <c r="A46" s="266"/>
      <c r="B46" s="266"/>
      <c r="C46" s="266"/>
      <c r="D46" s="281" t="s">
        <v>707</v>
      </c>
      <c r="E46" s="279" t="s">
        <v>708</v>
      </c>
      <c r="F46" s="266"/>
      <c r="G46" s="266"/>
      <c r="H46" s="266"/>
      <c r="I46" s="266"/>
      <c r="J46" s="266"/>
      <c r="K46" s="266"/>
    </row>
    <row r="47" spans="1:11" ht="13.5" customHeight="1">
      <c r="A47" s="266"/>
      <c r="B47" s="266"/>
      <c r="C47" s="266"/>
      <c r="D47" s="281" t="s">
        <v>709</v>
      </c>
      <c r="E47" s="279" t="s">
        <v>710</v>
      </c>
      <c r="F47" s="266"/>
      <c r="G47" s="266"/>
      <c r="H47" s="266"/>
      <c r="I47" s="266"/>
      <c r="J47" s="266"/>
      <c r="K47" s="266"/>
    </row>
    <row r="48" spans="1:11" ht="13.5" customHeight="1">
      <c r="A48" s="266"/>
      <c r="B48" s="266"/>
      <c r="C48" s="266"/>
      <c r="D48" s="281" t="s">
        <v>711</v>
      </c>
      <c r="E48" s="279" t="s">
        <v>712</v>
      </c>
      <c r="F48" s="266"/>
      <c r="G48" s="266"/>
      <c r="H48" s="266"/>
      <c r="I48" s="266"/>
      <c r="J48" s="266"/>
      <c r="K48" s="266"/>
    </row>
    <row r="49" spans="1:11" ht="13.5" customHeight="1">
      <c r="A49" s="266"/>
      <c r="B49" s="266"/>
      <c r="C49" s="266"/>
      <c r="D49" s="283" t="s">
        <v>713</v>
      </c>
      <c r="E49" s="267"/>
      <c r="F49" s="266"/>
      <c r="G49" s="266"/>
      <c r="H49" s="266"/>
      <c r="I49" s="266"/>
      <c r="J49" s="266"/>
      <c r="K49" s="266"/>
    </row>
    <row r="50" spans="1:11" ht="13.5" customHeight="1">
      <c r="A50" s="266"/>
      <c r="B50" s="266"/>
      <c r="C50" s="266"/>
      <c r="D50" s="281" t="s">
        <v>714</v>
      </c>
      <c r="E50" s="267"/>
      <c r="F50" s="266"/>
      <c r="G50" s="266"/>
      <c r="H50" s="266"/>
      <c r="I50" s="266"/>
      <c r="J50" s="266"/>
      <c r="K50" s="266"/>
    </row>
    <row r="51" spans="1:11" ht="13.5" customHeight="1">
      <c r="A51" s="266"/>
      <c r="B51" s="266"/>
      <c r="C51" s="266"/>
      <c r="D51" s="281" t="s">
        <v>715</v>
      </c>
      <c r="E51" s="267"/>
      <c r="F51" s="266"/>
      <c r="G51" s="266"/>
      <c r="H51" s="266"/>
      <c r="I51" s="266"/>
      <c r="J51" s="266"/>
      <c r="K51" s="266"/>
    </row>
    <row r="52" spans="1:11" ht="13.5" customHeight="1">
      <c r="A52" s="266"/>
      <c r="B52" s="266"/>
      <c r="C52" s="266"/>
      <c r="D52" s="283" t="s">
        <v>716</v>
      </c>
      <c r="E52" s="267"/>
      <c r="F52" s="266"/>
      <c r="G52" s="266"/>
      <c r="H52" s="266"/>
      <c r="I52" s="266"/>
      <c r="J52" s="266"/>
      <c r="K52" s="266"/>
    </row>
    <row r="53" spans="1:11" ht="13.5" customHeight="1">
      <c r="A53" s="266"/>
      <c r="B53" s="266"/>
      <c r="C53" s="266"/>
      <c r="D53" s="286" t="s">
        <v>717</v>
      </c>
      <c r="E53" s="267"/>
      <c r="F53" s="266"/>
      <c r="G53" s="266"/>
      <c r="H53" s="266"/>
      <c r="I53" s="266"/>
      <c r="J53" s="266"/>
      <c r="K53" s="266"/>
    </row>
    <row r="54" spans="1:11" ht="13.5" customHeight="1">
      <c r="A54" s="266"/>
      <c r="B54" s="266"/>
      <c r="C54" s="266"/>
      <c r="D54" s="286" t="s">
        <v>718</v>
      </c>
      <c r="E54" s="267"/>
      <c r="F54" s="266"/>
      <c r="G54" s="266"/>
      <c r="H54" s="266"/>
      <c r="I54" s="266"/>
      <c r="J54" s="266"/>
      <c r="K54" s="266"/>
    </row>
    <row r="55" spans="1:11" ht="13.5" customHeight="1">
      <c r="A55" s="266"/>
      <c r="B55" s="266"/>
      <c r="C55" s="266"/>
      <c r="D55" s="286" t="s">
        <v>719</v>
      </c>
      <c r="E55" s="267"/>
      <c r="F55" s="266"/>
      <c r="G55" s="266"/>
      <c r="H55" s="266"/>
      <c r="I55" s="266"/>
      <c r="J55" s="266"/>
      <c r="K55" s="266"/>
    </row>
    <row r="56" spans="1:11" ht="13.5" customHeight="1">
      <c r="A56" s="266"/>
      <c r="B56" s="266"/>
      <c r="C56" s="266"/>
      <c r="D56" s="286" t="s">
        <v>720</v>
      </c>
      <c r="E56" s="267"/>
      <c r="F56" s="266"/>
      <c r="G56" s="266"/>
      <c r="H56" s="266"/>
      <c r="I56" s="266"/>
      <c r="J56" s="266"/>
      <c r="K56" s="266"/>
    </row>
    <row r="57" spans="1:11" ht="13.5" customHeight="1">
      <c r="A57" s="266"/>
      <c r="B57" s="266"/>
      <c r="C57" s="266"/>
      <c r="D57" s="266"/>
      <c r="E57" s="267"/>
      <c r="F57" s="266"/>
      <c r="G57" s="266"/>
      <c r="H57" s="266"/>
      <c r="I57" s="266"/>
      <c r="J57" s="266"/>
      <c r="K57" s="266"/>
    </row>
    <row r="58" spans="1:11" ht="13.5" customHeight="1">
      <c r="A58" s="266"/>
      <c r="B58" s="266"/>
      <c r="C58" s="266"/>
      <c r="D58" s="266"/>
      <c r="E58" s="267"/>
      <c r="F58" s="266"/>
      <c r="G58" s="266"/>
      <c r="H58" s="266"/>
      <c r="I58" s="266"/>
      <c r="J58" s="266"/>
      <c r="K58" s="266"/>
    </row>
    <row r="59" spans="1:11" ht="13.5" customHeight="1">
      <c r="A59" s="266"/>
      <c r="B59" s="266"/>
      <c r="C59" s="266"/>
      <c r="D59" s="266"/>
      <c r="E59" s="267"/>
      <c r="F59" s="266"/>
      <c r="G59" s="266"/>
      <c r="H59" s="266"/>
      <c r="I59" s="266"/>
      <c r="J59" s="266"/>
      <c r="K59" s="266"/>
    </row>
    <row r="60" spans="1:11" ht="13.5" customHeight="1">
      <c r="A60" s="266"/>
      <c r="B60" s="266"/>
      <c r="C60" s="266"/>
      <c r="D60" s="266"/>
      <c r="E60" s="267"/>
      <c r="F60" s="266"/>
      <c r="G60" s="266"/>
      <c r="H60" s="266"/>
      <c r="I60" s="266"/>
      <c r="J60" s="266"/>
      <c r="K60" s="266"/>
    </row>
    <row r="61" spans="1:11" ht="13.5" customHeight="1">
      <c r="A61" s="266"/>
      <c r="B61" s="266"/>
      <c r="C61" s="266"/>
      <c r="D61" s="266"/>
      <c r="E61" s="267"/>
      <c r="F61" s="266"/>
      <c r="G61" s="266"/>
      <c r="H61" s="266"/>
      <c r="I61" s="266"/>
      <c r="J61" s="266"/>
      <c r="K61" s="266"/>
    </row>
    <row r="62" spans="1:11" ht="13.5" customHeight="1">
      <c r="A62" s="266"/>
      <c r="B62" s="266"/>
      <c r="C62" s="266"/>
      <c r="D62" s="266"/>
      <c r="E62" s="267"/>
      <c r="F62" s="266"/>
      <c r="G62" s="266"/>
      <c r="H62" s="266"/>
      <c r="I62" s="266"/>
      <c r="J62" s="266"/>
      <c r="K62" s="266"/>
    </row>
    <row r="63" spans="1:11" ht="13.5" customHeight="1">
      <c r="A63" s="266"/>
      <c r="B63" s="266"/>
      <c r="C63" s="266"/>
      <c r="D63" s="266"/>
      <c r="E63" s="267"/>
      <c r="F63" s="266"/>
      <c r="G63" s="266"/>
      <c r="H63" s="266"/>
      <c r="I63" s="266"/>
      <c r="J63" s="266"/>
      <c r="K63" s="266"/>
    </row>
    <row r="64" spans="1:11" ht="13.5" customHeight="1">
      <c r="A64" s="266"/>
      <c r="B64" s="266"/>
      <c r="C64" s="266"/>
      <c r="D64" s="266"/>
      <c r="E64" s="267"/>
      <c r="F64" s="266"/>
      <c r="G64" s="266"/>
      <c r="H64" s="266"/>
      <c r="I64" s="266"/>
      <c r="J64" s="266"/>
      <c r="K64" s="266"/>
    </row>
    <row r="65" spans="1:11" ht="13.5" customHeight="1">
      <c r="A65" s="266"/>
      <c r="B65" s="266"/>
      <c r="C65" s="266"/>
      <c r="D65" s="266"/>
      <c r="E65" s="267"/>
      <c r="F65" s="266"/>
      <c r="G65" s="266"/>
      <c r="H65" s="266"/>
      <c r="I65" s="266"/>
      <c r="J65" s="266"/>
      <c r="K65" s="266"/>
    </row>
    <row r="66" spans="1:11" ht="13.5" customHeight="1">
      <c r="A66" s="266"/>
      <c r="B66" s="266"/>
      <c r="C66" s="266"/>
      <c r="D66" s="266"/>
      <c r="E66" s="267"/>
      <c r="F66" s="266"/>
      <c r="G66" s="266"/>
      <c r="H66" s="266"/>
      <c r="I66" s="266"/>
      <c r="J66" s="266"/>
      <c r="K66" s="266"/>
    </row>
    <row r="67" spans="1:11" ht="13.5" customHeight="1">
      <c r="A67" s="266"/>
      <c r="B67" s="266"/>
      <c r="C67" s="266"/>
      <c r="D67" s="266"/>
      <c r="E67" s="267"/>
      <c r="F67" s="266"/>
      <c r="G67" s="266"/>
      <c r="H67" s="266"/>
      <c r="I67" s="266"/>
      <c r="J67" s="266"/>
      <c r="K67" s="266"/>
    </row>
    <row r="68" spans="1:11" ht="13.5" customHeight="1">
      <c r="A68" s="266"/>
      <c r="B68" s="266"/>
      <c r="C68" s="266"/>
      <c r="D68" s="266"/>
      <c r="E68" s="267"/>
      <c r="F68" s="266"/>
      <c r="G68" s="266"/>
      <c r="H68" s="266"/>
      <c r="I68" s="266"/>
      <c r="J68" s="266"/>
      <c r="K68" s="266"/>
    </row>
    <row r="69" spans="1:11" ht="13.5" customHeight="1">
      <c r="A69" s="266"/>
      <c r="B69" s="266"/>
      <c r="C69" s="266"/>
      <c r="D69" s="266"/>
      <c r="E69" s="267"/>
      <c r="F69" s="266"/>
      <c r="G69" s="266"/>
      <c r="H69" s="266"/>
      <c r="I69" s="266"/>
      <c r="J69" s="266"/>
      <c r="K69" s="266"/>
    </row>
    <row r="70" spans="1:11" ht="13.5" customHeight="1">
      <c r="A70" s="266"/>
      <c r="B70" s="266"/>
      <c r="C70" s="266"/>
      <c r="D70" s="266"/>
      <c r="E70" s="267"/>
      <c r="F70" s="266"/>
      <c r="G70" s="266"/>
      <c r="H70" s="266"/>
      <c r="I70" s="266"/>
      <c r="J70" s="266"/>
      <c r="K70" s="266"/>
    </row>
    <row r="71" spans="1:11" ht="13.5" customHeight="1">
      <c r="A71" s="266"/>
      <c r="B71" s="266"/>
      <c r="C71" s="266"/>
      <c r="D71" s="266"/>
      <c r="E71" s="267"/>
      <c r="F71" s="266"/>
      <c r="G71" s="266"/>
      <c r="H71" s="266"/>
      <c r="I71" s="266"/>
      <c r="J71" s="266"/>
      <c r="K71" s="266"/>
    </row>
    <row r="72" spans="1:11" ht="13.5" customHeight="1">
      <c r="A72" s="266"/>
      <c r="B72" s="266"/>
      <c r="C72" s="266"/>
      <c r="D72" s="266"/>
      <c r="E72" s="267"/>
      <c r="F72" s="266"/>
      <c r="G72" s="266"/>
      <c r="H72" s="266"/>
      <c r="I72" s="266"/>
      <c r="J72" s="266"/>
      <c r="K72" s="266"/>
    </row>
    <row r="73" spans="1:11" ht="13.5" customHeight="1">
      <c r="A73" s="266"/>
      <c r="B73" s="266"/>
      <c r="C73" s="266"/>
      <c r="D73" s="266"/>
      <c r="E73" s="267"/>
      <c r="F73" s="266"/>
      <c r="G73" s="266"/>
      <c r="H73" s="266"/>
      <c r="I73" s="266"/>
      <c r="J73" s="266"/>
      <c r="K73" s="266"/>
    </row>
    <row r="74" spans="1:11" ht="13.5" customHeight="1">
      <c r="A74" s="266"/>
      <c r="B74" s="266"/>
      <c r="C74" s="266"/>
      <c r="D74" s="266"/>
      <c r="E74" s="267"/>
      <c r="F74" s="266"/>
      <c r="G74" s="266"/>
      <c r="H74" s="266"/>
      <c r="I74" s="266"/>
      <c r="J74" s="266"/>
      <c r="K74" s="266"/>
    </row>
    <row r="75" spans="1:11" ht="13.5" customHeight="1">
      <c r="A75" s="266"/>
      <c r="B75" s="266"/>
      <c r="C75" s="266"/>
      <c r="D75" s="266"/>
      <c r="E75" s="267"/>
      <c r="F75" s="266"/>
      <c r="G75" s="266"/>
      <c r="H75" s="266"/>
      <c r="I75" s="266"/>
      <c r="J75" s="266"/>
      <c r="K75" s="266"/>
    </row>
    <row r="76" spans="1:11" ht="13.5" customHeight="1">
      <c r="A76" s="266"/>
      <c r="B76" s="266"/>
      <c r="C76" s="266"/>
      <c r="D76" s="266"/>
      <c r="E76" s="267"/>
      <c r="F76" s="266"/>
      <c r="G76" s="266"/>
      <c r="H76" s="266"/>
      <c r="I76" s="266"/>
      <c r="J76" s="266"/>
      <c r="K76" s="266"/>
    </row>
    <row r="77" spans="1:11" ht="13.5" customHeight="1">
      <c r="A77" s="266"/>
      <c r="B77" s="266"/>
      <c r="C77" s="266"/>
      <c r="D77" s="266"/>
      <c r="E77" s="267"/>
      <c r="F77" s="266"/>
      <c r="G77" s="266"/>
      <c r="H77" s="266"/>
      <c r="I77" s="266"/>
      <c r="J77" s="266"/>
      <c r="K77" s="266"/>
    </row>
    <row r="78" spans="1:11" ht="13.5" customHeight="1">
      <c r="A78" s="266"/>
      <c r="B78" s="266"/>
      <c r="C78" s="266"/>
      <c r="D78" s="266"/>
      <c r="E78" s="267"/>
      <c r="F78" s="266"/>
      <c r="G78" s="266"/>
      <c r="H78" s="266"/>
      <c r="I78" s="266"/>
      <c r="J78" s="266"/>
      <c r="K78" s="266"/>
    </row>
    <row r="79" spans="1:11" ht="13.5" customHeight="1">
      <c r="A79" s="266"/>
      <c r="B79" s="266"/>
      <c r="C79" s="266"/>
      <c r="D79" s="266"/>
      <c r="E79" s="267"/>
      <c r="F79" s="266"/>
      <c r="G79" s="266"/>
      <c r="H79" s="266"/>
      <c r="I79" s="266"/>
      <c r="J79" s="266"/>
      <c r="K79" s="266"/>
    </row>
    <row r="80" spans="1:11" ht="13.5" customHeight="1">
      <c r="A80" s="266"/>
      <c r="B80" s="266"/>
      <c r="C80" s="266"/>
      <c r="D80" s="266"/>
      <c r="E80" s="267"/>
      <c r="F80" s="266"/>
      <c r="G80" s="266"/>
      <c r="H80" s="266"/>
      <c r="I80" s="266"/>
      <c r="J80" s="266"/>
      <c r="K80" s="266"/>
    </row>
    <row r="81" spans="1:11" ht="13.5" customHeight="1">
      <c r="A81" s="266"/>
      <c r="B81" s="266"/>
      <c r="C81" s="266"/>
      <c r="D81" s="266"/>
      <c r="E81" s="267"/>
      <c r="F81" s="266"/>
      <c r="G81" s="266"/>
      <c r="H81" s="266"/>
      <c r="I81" s="266"/>
      <c r="J81" s="266"/>
      <c r="K81" s="266"/>
    </row>
    <row r="82" spans="1:11" ht="13.5" customHeight="1">
      <c r="A82" s="266"/>
      <c r="B82" s="266"/>
      <c r="C82" s="266"/>
      <c r="D82" s="266"/>
      <c r="E82" s="267"/>
      <c r="F82" s="266"/>
      <c r="G82" s="266"/>
      <c r="H82" s="266"/>
      <c r="I82" s="266"/>
      <c r="J82" s="266"/>
      <c r="K82" s="266"/>
    </row>
    <row r="83" spans="1:11" ht="13.5" customHeight="1">
      <c r="A83" s="266"/>
      <c r="B83" s="266"/>
      <c r="C83" s="266"/>
      <c r="D83" s="266"/>
      <c r="E83" s="267"/>
      <c r="F83" s="266"/>
      <c r="G83" s="266"/>
      <c r="H83" s="266"/>
      <c r="I83" s="266"/>
      <c r="J83" s="266"/>
      <c r="K83" s="266"/>
    </row>
    <row r="84" spans="1:11" ht="13.5" customHeight="1">
      <c r="A84" s="266"/>
      <c r="B84" s="266"/>
      <c r="C84" s="266"/>
      <c r="D84" s="266"/>
      <c r="E84" s="267"/>
      <c r="F84" s="266"/>
      <c r="G84" s="266"/>
      <c r="H84" s="266"/>
      <c r="I84" s="266"/>
      <c r="J84" s="266"/>
      <c r="K84" s="266"/>
    </row>
    <row r="85" spans="1:11" ht="13.5" customHeight="1">
      <c r="A85" s="266"/>
      <c r="B85" s="266"/>
      <c r="C85" s="266"/>
      <c r="D85" s="266"/>
      <c r="E85" s="267"/>
      <c r="F85" s="266"/>
      <c r="G85" s="266"/>
      <c r="H85" s="266"/>
      <c r="I85" s="266"/>
      <c r="J85" s="266"/>
      <c r="K85" s="266"/>
    </row>
    <row r="86" spans="1:11" ht="13.5" customHeight="1">
      <c r="A86" s="266"/>
      <c r="B86" s="266"/>
      <c r="C86" s="266"/>
      <c r="D86" s="266"/>
      <c r="E86" s="267"/>
      <c r="F86" s="266"/>
      <c r="G86" s="266"/>
      <c r="H86" s="266"/>
      <c r="I86" s="266"/>
      <c r="J86" s="266"/>
      <c r="K86" s="266"/>
    </row>
    <row r="87" spans="1:11" ht="13.5" customHeight="1">
      <c r="A87" s="266"/>
      <c r="B87" s="266"/>
      <c r="C87" s="266"/>
      <c r="D87" s="266"/>
      <c r="E87" s="267"/>
      <c r="F87" s="266"/>
      <c r="G87" s="266"/>
      <c r="H87" s="266"/>
      <c r="I87" s="266"/>
      <c r="J87" s="266"/>
      <c r="K87" s="266"/>
    </row>
    <row r="88" spans="1:11" ht="13.5" customHeight="1">
      <c r="A88" s="266"/>
      <c r="B88" s="266"/>
      <c r="C88" s="266"/>
      <c r="D88" s="266"/>
      <c r="E88" s="267"/>
      <c r="F88" s="266"/>
      <c r="G88" s="266"/>
      <c r="H88" s="266"/>
      <c r="I88" s="266"/>
      <c r="J88" s="266"/>
      <c r="K88" s="266"/>
    </row>
    <row r="89" spans="1:11" ht="13.5" customHeight="1">
      <c r="A89" s="266"/>
      <c r="B89" s="266"/>
      <c r="C89" s="266"/>
      <c r="D89" s="266"/>
      <c r="E89" s="267"/>
      <c r="F89" s="266"/>
      <c r="G89" s="266"/>
      <c r="H89" s="266"/>
      <c r="I89" s="266"/>
      <c r="J89" s="266"/>
      <c r="K89" s="266"/>
    </row>
    <row r="90" spans="1:11" ht="13.5" customHeight="1">
      <c r="A90" s="266"/>
      <c r="B90" s="266"/>
      <c r="C90" s="266"/>
      <c r="D90" s="266"/>
      <c r="E90" s="267"/>
      <c r="F90" s="266"/>
      <c r="G90" s="266"/>
      <c r="H90" s="266"/>
      <c r="I90" s="266"/>
      <c r="J90" s="266"/>
      <c r="K90" s="266"/>
    </row>
    <row r="91" spans="1:11" ht="13.5" customHeight="1">
      <c r="A91" s="266"/>
      <c r="B91" s="266"/>
      <c r="C91" s="266"/>
      <c r="D91" s="266"/>
      <c r="E91" s="267"/>
      <c r="F91" s="266"/>
      <c r="G91" s="266"/>
      <c r="H91" s="266"/>
      <c r="I91" s="266"/>
      <c r="J91" s="266"/>
      <c r="K91" s="266"/>
    </row>
    <row r="92" spans="1:11" ht="13.5" customHeight="1">
      <c r="A92" s="266"/>
      <c r="B92" s="266"/>
      <c r="C92" s="266"/>
      <c r="D92" s="266"/>
      <c r="E92" s="267"/>
      <c r="F92" s="266"/>
      <c r="G92" s="266"/>
      <c r="H92" s="266"/>
      <c r="I92" s="266"/>
      <c r="J92" s="266"/>
      <c r="K92" s="266"/>
    </row>
    <row r="93" spans="1:11" ht="13.5" customHeight="1">
      <c r="A93" s="266"/>
      <c r="B93" s="266"/>
      <c r="C93" s="266"/>
      <c r="D93" s="266"/>
      <c r="E93" s="267"/>
      <c r="F93" s="266"/>
      <c r="G93" s="266"/>
      <c r="H93" s="266"/>
      <c r="I93" s="266"/>
      <c r="J93" s="266"/>
      <c r="K93" s="266"/>
    </row>
    <row r="94" spans="1:11" ht="13.5" customHeight="1">
      <c r="A94" s="266"/>
      <c r="B94" s="266"/>
      <c r="C94" s="266"/>
      <c r="D94" s="266"/>
      <c r="E94" s="267"/>
      <c r="F94" s="266"/>
      <c r="G94" s="266"/>
      <c r="H94" s="266"/>
      <c r="I94" s="266"/>
      <c r="J94" s="266"/>
      <c r="K94" s="266"/>
    </row>
    <row r="95" spans="1:11" ht="13.5" customHeight="1">
      <c r="A95" s="266"/>
      <c r="B95" s="266"/>
      <c r="C95" s="266"/>
      <c r="D95" s="266"/>
      <c r="E95" s="267"/>
      <c r="F95" s="266"/>
      <c r="G95" s="266"/>
      <c r="H95" s="266"/>
      <c r="I95" s="266"/>
      <c r="J95" s="266"/>
      <c r="K95" s="266"/>
    </row>
    <row r="96" spans="1:11" ht="13.5" customHeight="1">
      <c r="A96" s="266"/>
      <c r="B96" s="266"/>
      <c r="C96" s="266"/>
      <c r="D96" s="266"/>
      <c r="E96" s="267"/>
      <c r="F96" s="266"/>
      <c r="G96" s="266"/>
      <c r="H96" s="266"/>
      <c r="I96" s="266"/>
      <c r="J96" s="266"/>
      <c r="K96" s="266"/>
    </row>
    <row r="97" spans="1:11" ht="13.5" customHeight="1">
      <c r="A97" s="266"/>
      <c r="B97" s="266"/>
      <c r="C97" s="266"/>
      <c r="D97" s="266"/>
      <c r="E97" s="267"/>
      <c r="F97" s="266"/>
      <c r="G97" s="266"/>
      <c r="H97" s="266"/>
      <c r="I97" s="266"/>
      <c r="J97" s="266"/>
      <c r="K97" s="266"/>
    </row>
    <row r="98" spans="1:11" ht="13.5" customHeight="1">
      <c r="A98" s="266"/>
      <c r="B98" s="266"/>
      <c r="C98" s="266"/>
      <c r="D98" s="266"/>
      <c r="E98" s="267"/>
      <c r="F98" s="266"/>
      <c r="G98" s="266"/>
      <c r="H98" s="266"/>
      <c r="I98" s="266"/>
      <c r="J98" s="266"/>
      <c r="K98" s="266"/>
    </row>
    <row r="99" spans="1:11" ht="13.5" customHeight="1">
      <c r="A99" s="266"/>
      <c r="B99" s="266"/>
      <c r="C99" s="266"/>
      <c r="D99" s="266"/>
      <c r="E99" s="267"/>
      <c r="F99" s="266"/>
      <c r="G99" s="266"/>
      <c r="H99" s="266"/>
      <c r="I99" s="266"/>
      <c r="J99" s="266"/>
      <c r="K99" s="266"/>
    </row>
    <row r="100" spans="1:11" ht="13.5" customHeight="1">
      <c r="A100" s="266"/>
      <c r="B100" s="266"/>
      <c r="C100" s="266"/>
      <c r="D100" s="266"/>
      <c r="E100" s="267"/>
      <c r="F100" s="266"/>
      <c r="G100" s="266"/>
      <c r="H100" s="266"/>
      <c r="I100" s="266"/>
      <c r="J100" s="266"/>
      <c r="K100" s="266"/>
    </row>
  </sheetData>
  <mergeCells count="1">
    <mergeCell ref="D27:D30"/>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117-CC3F-4C6F-A3B9-1F78C52FF85A}">
  <sheetPr>
    <tabColor rgb="FFFFC000"/>
  </sheetPr>
  <dimension ref="A1:BB99"/>
  <sheetViews>
    <sheetView view="pageBreakPreview" topLeftCell="V11" zoomScale="70" zoomScaleNormal="50" zoomScaleSheetLayoutView="70" workbookViewId="0">
      <pane ySplit="2" topLeftCell="A21" activePane="bottomLeft" state="frozen"/>
      <selection activeCell="A11" sqref="A11"/>
      <selection pane="bottomLeft" activeCell="AV21" sqref="AV21"/>
    </sheetView>
  </sheetViews>
  <sheetFormatPr baseColWidth="10" defaultColWidth="10" defaultRowHeight="15" customHeight="1"/>
  <cols>
    <col min="1" max="1" width="10" style="186"/>
    <col min="2" max="7" width="10" style="186" customWidth="1"/>
    <col min="8" max="8" width="10" style="186"/>
    <col min="9" max="10" width="19.5703125" style="186" customWidth="1"/>
    <col min="11" max="11" width="10.7109375" style="186" customWidth="1"/>
    <col min="12" max="12" width="10" style="186"/>
    <col min="13" max="13" width="12.5703125" style="186" customWidth="1"/>
    <col min="14" max="14" width="23.7109375" style="186" customWidth="1"/>
    <col min="15" max="19" width="10" style="186"/>
    <col min="20" max="20" width="12.5703125" style="186" customWidth="1"/>
    <col min="21" max="21" width="15.7109375" style="211" customWidth="1"/>
    <col min="22" max="23" width="10" style="310"/>
    <col min="24" max="24" width="8.42578125" style="310" customWidth="1"/>
    <col min="25" max="33" width="10" style="310" customWidth="1"/>
    <col min="34" max="34" width="10" style="310"/>
    <col min="35" max="35" width="10" style="310" customWidth="1"/>
    <col min="36" max="36" width="11.85546875" style="310" customWidth="1"/>
    <col min="37" max="37" width="7.5703125" style="310" customWidth="1"/>
    <col min="38" max="38" width="10" style="310" customWidth="1"/>
    <col min="39" max="44" width="10" style="310" hidden="1" customWidth="1"/>
    <col min="45" max="45" width="8.85546875" style="310" hidden="1" customWidth="1"/>
    <col min="46" max="46" width="10" style="310"/>
    <col min="47" max="47" width="12.5703125" style="186" customWidth="1"/>
    <col min="48" max="48" width="73.28515625" style="186" customWidth="1"/>
    <col min="49" max="49" width="25.7109375" style="186" customWidth="1"/>
    <col min="50" max="50" width="23.7109375" style="186" customWidth="1"/>
    <col min="51" max="51" width="15.42578125" style="344" customWidth="1"/>
    <col min="52" max="16384" width="10" style="186"/>
  </cols>
  <sheetData>
    <row r="1" spans="1:52" ht="15.75" customHeight="1">
      <c r="A1" s="471" t="s">
        <v>0</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3"/>
      <c r="AW1" s="474" t="s">
        <v>1</v>
      </c>
      <c r="AX1" s="475"/>
    </row>
    <row r="2" spans="1:52" ht="15.75" customHeight="1">
      <c r="A2" s="476" t="s">
        <v>2</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8"/>
      <c r="AW2" s="479" t="s">
        <v>3</v>
      </c>
      <c r="AX2" s="478"/>
    </row>
    <row r="3" spans="1:52" ht="15" customHeight="1">
      <c r="A3" s="480" t="s">
        <v>4</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2"/>
      <c r="AW3" s="479" t="s">
        <v>5</v>
      </c>
      <c r="AX3" s="478"/>
    </row>
    <row r="4" spans="1:52" ht="15.75" customHeight="1">
      <c r="A4" s="483"/>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3"/>
      <c r="AW4" s="484" t="s">
        <v>6</v>
      </c>
      <c r="AX4" s="478"/>
    </row>
    <row r="5" spans="1:52" ht="15" customHeight="1" thickBot="1">
      <c r="A5" s="485" t="s">
        <v>7</v>
      </c>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8"/>
      <c r="AH5" s="486" t="s">
        <v>8</v>
      </c>
      <c r="AI5" s="481"/>
      <c r="AJ5" s="481"/>
      <c r="AK5" s="481"/>
      <c r="AL5" s="481"/>
      <c r="AM5" s="481"/>
      <c r="AN5" s="481"/>
      <c r="AO5" s="481"/>
      <c r="AP5" s="481"/>
      <c r="AQ5" s="481"/>
      <c r="AR5" s="481"/>
      <c r="AS5" s="481"/>
      <c r="AT5" s="481"/>
      <c r="AU5" s="482"/>
      <c r="AV5" s="490" t="s">
        <v>9</v>
      </c>
      <c r="AW5" s="490" t="s">
        <v>10</v>
      </c>
      <c r="AX5" s="490" t="s">
        <v>11</v>
      </c>
    </row>
    <row r="6" spans="1:52" ht="15" customHeight="1">
      <c r="A6" s="486" t="s">
        <v>12</v>
      </c>
      <c r="B6" s="481"/>
      <c r="C6" s="482"/>
      <c r="D6" s="493">
        <v>44715</v>
      </c>
      <c r="E6" s="494"/>
      <c r="F6" s="486" t="s">
        <v>13</v>
      </c>
      <c r="G6" s="482"/>
      <c r="H6" s="499" t="s">
        <v>14</v>
      </c>
      <c r="I6" s="478"/>
      <c r="J6" s="187"/>
      <c r="K6" s="486"/>
      <c r="L6" s="481"/>
      <c r="M6" s="481"/>
      <c r="N6" s="481"/>
      <c r="O6" s="481"/>
      <c r="P6" s="481"/>
      <c r="Q6" s="481"/>
      <c r="R6" s="481"/>
      <c r="S6" s="481"/>
      <c r="T6" s="481"/>
      <c r="U6" s="481"/>
      <c r="V6" s="345"/>
      <c r="W6" s="345"/>
      <c r="X6" s="345"/>
      <c r="Y6" s="345"/>
      <c r="Z6" s="345"/>
      <c r="AA6" s="345"/>
      <c r="AB6" s="345"/>
      <c r="AC6" s="345"/>
      <c r="AD6" s="345"/>
      <c r="AE6" s="345"/>
      <c r="AF6" s="345"/>
      <c r="AG6" s="346"/>
      <c r="AH6" s="487"/>
      <c r="AI6" s="488"/>
      <c r="AJ6" s="488"/>
      <c r="AK6" s="488"/>
      <c r="AL6" s="488"/>
      <c r="AM6" s="488"/>
      <c r="AN6" s="488"/>
      <c r="AO6" s="488"/>
      <c r="AP6" s="488"/>
      <c r="AQ6" s="488"/>
      <c r="AR6" s="488"/>
      <c r="AS6" s="488"/>
      <c r="AT6" s="488"/>
      <c r="AU6" s="489"/>
      <c r="AV6" s="491"/>
      <c r="AW6" s="491"/>
      <c r="AX6" s="491"/>
    </row>
    <row r="7" spans="1:52" ht="15" customHeight="1">
      <c r="A7" s="487"/>
      <c r="B7" s="488"/>
      <c r="C7" s="489"/>
      <c r="D7" s="495"/>
      <c r="E7" s="496"/>
      <c r="F7" s="487"/>
      <c r="G7" s="489"/>
      <c r="H7" s="499" t="s">
        <v>15</v>
      </c>
      <c r="I7" s="478"/>
      <c r="J7" s="187"/>
      <c r="K7" s="487"/>
      <c r="L7" s="488"/>
      <c r="M7" s="488"/>
      <c r="N7" s="488"/>
      <c r="O7" s="488"/>
      <c r="P7" s="488"/>
      <c r="Q7" s="488"/>
      <c r="R7" s="488"/>
      <c r="S7" s="488"/>
      <c r="T7" s="488"/>
      <c r="U7" s="488"/>
      <c r="V7" s="347"/>
      <c r="W7" s="347"/>
      <c r="X7" s="347"/>
      <c r="Y7" s="347"/>
      <c r="Z7" s="347"/>
      <c r="AA7" s="347"/>
      <c r="AB7" s="347"/>
      <c r="AC7" s="347"/>
      <c r="AD7" s="347"/>
      <c r="AE7" s="347"/>
      <c r="AF7" s="347"/>
      <c r="AG7" s="348"/>
      <c r="AH7" s="487"/>
      <c r="AI7" s="488"/>
      <c r="AJ7" s="488"/>
      <c r="AK7" s="488"/>
      <c r="AL7" s="488"/>
      <c r="AM7" s="488"/>
      <c r="AN7" s="488"/>
      <c r="AO7" s="488"/>
      <c r="AP7" s="488"/>
      <c r="AQ7" s="488"/>
      <c r="AR7" s="488"/>
      <c r="AS7" s="488"/>
      <c r="AT7" s="488"/>
      <c r="AU7" s="489"/>
      <c r="AV7" s="491"/>
      <c r="AW7" s="491"/>
      <c r="AX7" s="491"/>
    </row>
    <row r="8" spans="1:52" ht="15" customHeight="1" thickBot="1">
      <c r="A8" s="483"/>
      <c r="B8" s="472"/>
      <c r="C8" s="473"/>
      <c r="D8" s="497"/>
      <c r="E8" s="498"/>
      <c r="F8" s="483"/>
      <c r="G8" s="473"/>
      <c r="H8" s="499" t="s">
        <v>8</v>
      </c>
      <c r="I8" s="478"/>
      <c r="J8" s="187" t="s">
        <v>16</v>
      </c>
      <c r="K8" s="483"/>
      <c r="L8" s="472"/>
      <c r="M8" s="472"/>
      <c r="N8" s="472"/>
      <c r="O8" s="472"/>
      <c r="P8" s="472"/>
      <c r="Q8" s="472"/>
      <c r="R8" s="472"/>
      <c r="S8" s="472"/>
      <c r="T8" s="472"/>
      <c r="U8" s="472"/>
      <c r="V8" s="349"/>
      <c r="W8" s="349"/>
      <c r="X8" s="349"/>
      <c r="Y8" s="349"/>
      <c r="Z8" s="349"/>
      <c r="AA8" s="349"/>
      <c r="AB8" s="349"/>
      <c r="AC8" s="349"/>
      <c r="AD8" s="349"/>
      <c r="AE8" s="349"/>
      <c r="AF8" s="349"/>
      <c r="AG8" s="350"/>
      <c r="AH8" s="487"/>
      <c r="AI8" s="488"/>
      <c r="AJ8" s="488"/>
      <c r="AK8" s="488"/>
      <c r="AL8" s="488"/>
      <c r="AM8" s="488"/>
      <c r="AN8" s="488"/>
      <c r="AO8" s="488"/>
      <c r="AP8" s="488"/>
      <c r="AQ8" s="488"/>
      <c r="AR8" s="488"/>
      <c r="AS8" s="488"/>
      <c r="AT8" s="488"/>
      <c r="AU8" s="489"/>
      <c r="AV8" s="491"/>
      <c r="AW8" s="491"/>
      <c r="AX8" s="491"/>
    </row>
    <row r="9" spans="1:52" ht="15" customHeight="1">
      <c r="A9" s="500" t="s">
        <v>17</v>
      </c>
      <c r="B9" s="472"/>
      <c r="C9" s="473"/>
      <c r="D9" s="501" t="s">
        <v>18</v>
      </c>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3"/>
      <c r="AH9" s="487"/>
      <c r="AI9" s="488"/>
      <c r="AJ9" s="488"/>
      <c r="AK9" s="488"/>
      <c r="AL9" s="488"/>
      <c r="AM9" s="488"/>
      <c r="AN9" s="488"/>
      <c r="AO9" s="488"/>
      <c r="AP9" s="488"/>
      <c r="AQ9" s="488"/>
      <c r="AR9" s="488"/>
      <c r="AS9" s="488"/>
      <c r="AT9" s="488"/>
      <c r="AU9" s="489"/>
      <c r="AV9" s="491"/>
      <c r="AW9" s="491"/>
      <c r="AX9" s="491"/>
    </row>
    <row r="10" spans="1:52" ht="15" customHeight="1">
      <c r="A10" s="502" t="s">
        <v>19</v>
      </c>
      <c r="B10" s="477"/>
      <c r="C10" s="478"/>
      <c r="D10" s="503" t="s">
        <v>20</v>
      </c>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8"/>
      <c r="AH10" s="483"/>
      <c r="AI10" s="472"/>
      <c r="AJ10" s="472"/>
      <c r="AK10" s="472"/>
      <c r="AL10" s="472"/>
      <c r="AM10" s="472"/>
      <c r="AN10" s="472"/>
      <c r="AO10" s="472"/>
      <c r="AP10" s="472"/>
      <c r="AQ10" s="472"/>
      <c r="AR10" s="472"/>
      <c r="AS10" s="472"/>
      <c r="AT10" s="472"/>
      <c r="AU10" s="473"/>
      <c r="AV10" s="491"/>
      <c r="AW10" s="491"/>
      <c r="AX10" s="491"/>
      <c r="AY10" s="469" t="s">
        <v>21</v>
      </c>
      <c r="AZ10" s="470"/>
    </row>
    <row r="11" spans="1:52" ht="39.75" customHeight="1">
      <c r="A11" s="504" t="s">
        <v>22</v>
      </c>
      <c r="B11" s="477"/>
      <c r="C11" s="477"/>
      <c r="D11" s="477"/>
      <c r="E11" s="477"/>
      <c r="F11" s="478"/>
      <c r="G11" s="504" t="s">
        <v>23</v>
      </c>
      <c r="H11" s="478"/>
      <c r="I11" s="490" t="s">
        <v>24</v>
      </c>
      <c r="J11" s="490" t="s">
        <v>25</v>
      </c>
      <c r="K11" s="490" t="s">
        <v>26</v>
      </c>
      <c r="L11" s="490" t="s">
        <v>27</v>
      </c>
      <c r="M11" s="490" t="s">
        <v>28</v>
      </c>
      <c r="N11" s="490" t="s">
        <v>29</v>
      </c>
      <c r="O11" s="504" t="s">
        <v>30</v>
      </c>
      <c r="P11" s="477"/>
      <c r="Q11" s="477"/>
      <c r="R11" s="477"/>
      <c r="S11" s="478"/>
      <c r="T11" s="490" t="s">
        <v>31</v>
      </c>
      <c r="U11" s="490" t="s">
        <v>32</v>
      </c>
      <c r="V11" s="505" t="s">
        <v>33</v>
      </c>
      <c r="W11" s="506"/>
      <c r="X11" s="506"/>
      <c r="Y11" s="506"/>
      <c r="Z11" s="506"/>
      <c r="AA11" s="506"/>
      <c r="AB11" s="506"/>
      <c r="AC11" s="506"/>
      <c r="AD11" s="506"/>
      <c r="AE11" s="506"/>
      <c r="AF11" s="506"/>
      <c r="AG11" s="507"/>
      <c r="AH11" s="505" t="s">
        <v>34</v>
      </c>
      <c r="AI11" s="506"/>
      <c r="AJ11" s="506"/>
      <c r="AK11" s="506"/>
      <c r="AL11" s="506"/>
      <c r="AM11" s="506"/>
      <c r="AN11" s="506"/>
      <c r="AO11" s="506"/>
      <c r="AP11" s="506"/>
      <c r="AQ11" s="506"/>
      <c r="AR11" s="506"/>
      <c r="AS11" s="507"/>
      <c r="AT11" s="504" t="s">
        <v>35</v>
      </c>
      <c r="AU11" s="478"/>
      <c r="AV11" s="491"/>
      <c r="AW11" s="491"/>
      <c r="AX11" s="491"/>
      <c r="AY11" s="469" t="s">
        <v>35</v>
      </c>
      <c r="AZ11" s="470"/>
    </row>
    <row r="12" spans="1:52" ht="42" customHeight="1">
      <c r="A12" s="188" t="s">
        <v>36</v>
      </c>
      <c r="B12" s="188" t="s">
        <v>37</v>
      </c>
      <c r="C12" s="188" t="s">
        <v>38</v>
      </c>
      <c r="D12" s="188" t="s">
        <v>39</v>
      </c>
      <c r="E12" s="188" t="s">
        <v>40</v>
      </c>
      <c r="F12" s="188" t="s">
        <v>41</v>
      </c>
      <c r="G12" s="188" t="s">
        <v>42</v>
      </c>
      <c r="H12" s="188" t="s">
        <v>43</v>
      </c>
      <c r="I12" s="492"/>
      <c r="J12" s="492"/>
      <c r="K12" s="492"/>
      <c r="L12" s="492"/>
      <c r="M12" s="492"/>
      <c r="N12" s="492"/>
      <c r="O12" s="188">
        <v>2020</v>
      </c>
      <c r="P12" s="188">
        <v>2021</v>
      </c>
      <c r="Q12" s="188">
        <v>2022</v>
      </c>
      <c r="R12" s="188">
        <v>2023</v>
      </c>
      <c r="S12" s="188">
        <v>2024</v>
      </c>
      <c r="T12" s="492"/>
      <c r="U12" s="519"/>
      <c r="V12" s="308" t="s">
        <v>44</v>
      </c>
      <c r="W12" s="308" t="s">
        <v>45</v>
      </c>
      <c r="X12" s="308" t="s">
        <v>46</v>
      </c>
      <c r="Y12" s="308" t="s">
        <v>47</v>
      </c>
      <c r="Z12" s="308" t="s">
        <v>48</v>
      </c>
      <c r="AA12" s="308" t="s">
        <v>49</v>
      </c>
      <c r="AB12" s="308" t="s">
        <v>50</v>
      </c>
      <c r="AC12" s="308" t="s">
        <v>51</v>
      </c>
      <c r="AD12" s="308" t="s">
        <v>52</v>
      </c>
      <c r="AE12" s="308" t="s">
        <v>53</v>
      </c>
      <c r="AF12" s="308" t="s">
        <v>54</v>
      </c>
      <c r="AG12" s="308" t="s">
        <v>55</v>
      </c>
      <c r="AH12" s="308" t="s">
        <v>44</v>
      </c>
      <c r="AI12" s="308" t="s">
        <v>45</v>
      </c>
      <c r="AJ12" s="308" t="s">
        <v>46</v>
      </c>
      <c r="AK12" s="308" t="s">
        <v>47</v>
      </c>
      <c r="AL12" s="308" t="s">
        <v>48</v>
      </c>
      <c r="AM12" s="308" t="s">
        <v>49</v>
      </c>
      <c r="AN12" s="308" t="s">
        <v>50</v>
      </c>
      <c r="AO12" s="308" t="s">
        <v>51</v>
      </c>
      <c r="AP12" s="308" t="s">
        <v>52</v>
      </c>
      <c r="AQ12" s="308" t="s">
        <v>53</v>
      </c>
      <c r="AR12" s="308" t="s">
        <v>54</v>
      </c>
      <c r="AS12" s="308" t="s">
        <v>55</v>
      </c>
      <c r="AT12" s="351" t="s">
        <v>56</v>
      </c>
      <c r="AU12" s="188" t="s">
        <v>57</v>
      </c>
      <c r="AV12" s="492"/>
      <c r="AW12" s="492"/>
      <c r="AX12" s="492"/>
      <c r="AY12" s="467" t="s">
        <v>56</v>
      </c>
      <c r="AZ12" s="468" t="s">
        <v>57</v>
      </c>
    </row>
    <row r="13" spans="1:52" ht="253.5" customHeight="1">
      <c r="A13" s="189">
        <v>52</v>
      </c>
      <c r="B13" s="190"/>
      <c r="C13" s="191"/>
      <c r="D13" s="190"/>
      <c r="E13" s="190"/>
      <c r="F13" s="191"/>
      <c r="G13" s="192"/>
      <c r="H13" s="192" t="s">
        <v>58</v>
      </c>
      <c r="I13" s="442" t="s">
        <v>59</v>
      </c>
      <c r="J13" s="442" t="s">
        <v>60</v>
      </c>
      <c r="K13" s="191" t="s">
        <v>61</v>
      </c>
      <c r="L13" s="191">
        <v>1</v>
      </c>
      <c r="M13" s="191" t="s">
        <v>62</v>
      </c>
      <c r="N13" s="442" t="s">
        <v>63</v>
      </c>
      <c r="O13" s="193">
        <v>0.3</v>
      </c>
      <c r="P13" s="193">
        <v>0.7</v>
      </c>
      <c r="Q13" s="193">
        <v>1</v>
      </c>
      <c r="R13" s="193">
        <v>1</v>
      </c>
      <c r="S13" s="193">
        <v>1</v>
      </c>
      <c r="T13" s="194" t="s">
        <v>64</v>
      </c>
      <c r="U13" s="442" t="s">
        <v>65</v>
      </c>
      <c r="V13" s="409">
        <v>0.75249999999999995</v>
      </c>
      <c r="W13" s="409">
        <v>0.80500000000000005</v>
      </c>
      <c r="X13" s="409">
        <v>0.85749999999999993</v>
      </c>
      <c r="Y13" s="409">
        <v>0.8866666666666666</v>
      </c>
      <c r="Z13" s="409">
        <v>0.91583333333333328</v>
      </c>
      <c r="AA13" s="409">
        <v>0.94499999999999995</v>
      </c>
      <c r="AB13" s="409">
        <v>0.96666666666666656</v>
      </c>
      <c r="AC13" s="409">
        <v>0.97333333333333327</v>
      </c>
      <c r="AD13" s="409">
        <v>0.98</v>
      </c>
      <c r="AE13" s="409">
        <v>0.98666666666666669</v>
      </c>
      <c r="AF13" s="409">
        <v>0.9933333333333334</v>
      </c>
      <c r="AG13" s="409">
        <v>1</v>
      </c>
      <c r="AH13" s="409">
        <f>+'[2]Metas 5'!D35</f>
        <v>0.75372499999999998</v>
      </c>
      <c r="AI13" s="409">
        <f>+'Metas 5'!E35</f>
        <v>0.79977500000000001</v>
      </c>
      <c r="AJ13" s="409">
        <f>+'Metas 5'!F35</f>
        <v>0.84582500000000005</v>
      </c>
      <c r="AK13" s="409">
        <v>0.88</v>
      </c>
      <c r="AL13" s="409">
        <v>0.91</v>
      </c>
      <c r="AM13" s="409"/>
      <c r="AN13" s="409"/>
      <c r="AO13" s="409"/>
      <c r="AP13" s="409"/>
      <c r="AQ13" s="409"/>
      <c r="AR13" s="409"/>
      <c r="AS13" s="409"/>
      <c r="AT13" s="410">
        <f>+AL13</f>
        <v>0.91</v>
      </c>
      <c r="AU13" s="195">
        <f>AT13/Q13</f>
        <v>0.91</v>
      </c>
      <c r="AV13" s="441" t="str">
        <f>+'Metas 5'!Q34</f>
        <v xml:space="preserve">Durante el mes de mayo se aprobaron los contenidos de los 13 talleres a virtualizarse de la Estrategía Pedagógica de Tranformación Cultural. Así mismo, se aprobaron los productos 2 "Carpeta con archivos editables que contengan las herramientas de medición y evaluación de los talleres y los contenidos de texto, sonoros, gráficos y audiovisuales " y producto 3 "Talleres virtualizados en la plataforma Moodle de la SDMujer", del contrato celebrado entre ITO y ONU Mujeres en el marco del Conveino "Asesoría técnica en la redacción de línea narrativa, diseño de experiencia de usuario y producción de contenidos audiovisuales para la virtualización de módulos de talleres virtuales de cambio cultural” firmado por la Secrtaría Distrital de la Mujer. 
</v>
      </c>
      <c r="AW13" s="442"/>
      <c r="AX13" s="442"/>
      <c r="AY13" s="199">
        <f>+AT13</f>
        <v>0.91</v>
      </c>
      <c r="AZ13" s="195">
        <f t="shared" ref="AZ13:AZ19" si="0">AY13/L13</f>
        <v>0.91</v>
      </c>
    </row>
    <row r="14" spans="1:52" ht="394.15" customHeight="1">
      <c r="A14" s="189">
        <v>53</v>
      </c>
      <c r="B14" s="190"/>
      <c r="C14" s="191"/>
      <c r="D14" s="190"/>
      <c r="E14" s="190"/>
      <c r="F14" s="191"/>
      <c r="G14" s="192"/>
      <c r="H14" s="192" t="s">
        <v>58</v>
      </c>
      <c r="I14" s="442" t="s">
        <v>66</v>
      </c>
      <c r="J14" s="442" t="s">
        <v>67</v>
      </c>
      <c r="K14" s="191" t="s">
        <v>68</v>
      </c>
      <c r="L14" s="191">
        <v>100</v>
      </c>
      <c r="M14" s="191" t="s">
        <v>69</v>
      </c>
      <c r="N14" s="442" t="s">
        <v>70</v>
      </c>
      <c r="O14" s="196">
        <v>7</v>
      </c>
      <c r="P14" s="196">
        <v>17.91</v>
      </c>
      <c r="Q14" s="196">
        <v>25.09</v>
      </c>
      <c r="R14" s="196">
        <v>25</v>
      </c>
      <c r="S14" s="196">
        <v>25</v>
      </c>
      <c r="T14" s="194" t="s">
        <v>64</v>
      </c>
      <c r="U14" s="442" t="s">
        <v>65</v>
      </c>
      <c r="V14" s="204">
        <f t="shared" ref="V14:AG14" si="1">25.09/12</f>
        <v>2.0908333333333333</v>
      </c>
      <c r="W14" s="204">
        <f t="shared" si="1"/>
        <v>2.0908333333333333</v>
      </c>
      <c r="X14" s="204">
        <f t="shared" si="1"/>
        <v>2.0908333333333333</v>
      </c>
      <c r="Y14" s="204">
        <f t="shared" si="1"/>
        <v>2.0908333333333333</v>
      </c>
      <c r="Z14" s="204">
        <f t="shared" si="1"/>
        <v>2.0908333333333333</v>
      </c>
      <c r="AA14" s="204">
        <f t="shared" si="1"/>
        <v>2.0908333333333333</v>
      </c>
      <c r="AB14" s="204">
        <f t="shared" si="1"/>
        <v>2.0908333333333333</v>
      </c>
      <c r="AC14" s="204">
        <f t="shared" si="1"/>
        <v>2.0908333333333333</v>
      </c>
      <c r="AD14" s="204">
        <f t="shared" si="1"/>
        <v>2.0908333333333333</v>
      </c>
      <c r="AE14" s="204">
        <f t="shared" si="1"/>
        <v>2.0908333333333333</v>
      </c>
      <c r="AF14" s="204">
        <f t="shared" si="1"/>
        <v>2.0908333333333333</v>
      </c>
      <c r="AG14" s="204">
        <f t="shared" si="1"/>
        <v>2.0908333333333333</v>
      </c>
      <c r="AH14" s="204">
        <v>0.72062999999999999</v>
      </c>
      <c r="AI14" s="204">
        <f>+(V14-AH14)+W14</f>
        <v>3.4610366666666668</v>
      </c>
      <c r="AJ14" s="204">
        <v>2</v>
      </c>
      <c r="AK14" s="204">
        <v>0.8</v>
      </c>
      <c r="AL14" s="204">
        <v>0.92</v>
      </c>
      <c r="AM14" s="204"/>
      <c r="AN14" s="204"/>
      <c r="AO14" s="204"/>
      <c r="AP14" s="204"/>
      <c r="AQ14" s="204"/>
      <c r="AR14" s="204"/>
      <c r="AS14" s="204"/>
      <c r="AT14" s="199">
        <f>SUM(AH14:AS14)</f>
        <v>7.9016666666666664</v>
      </c>
      <c r="AU14" s="195">
        <f t="shared" ref="AU14:AU21" si="2">AT14/Q14</f>
        <v>0.31493290819715691</v>
      </c>
      <c r="AV14" s="442" t="str">
        <f>+'Metas 1'!Q34</f>
        <v>En el marco del seguimiento y monitoreo del Sistema Distrital de Cuidado, durante el mes de mayo se emitió una circular 0010 a todos los Secretarios y Secretarias de Despacho que integran el Sistema de Cuidado de Bogotá sobre la puesta en marcha “Herramienta Intersectorial del Sistema de Cuidado” que permite la captura de información por población beneficiaria, en la cuál, se describen los lineamientos para las entidades que acogieron la herramienta, así como las que no la acogieron. Además, se liquido el contrato 815 de 2021,contando con los productos finales de: 1.Cronograma de actividades y productos.2. Propuesta de investigación mixta para el levantamiento de la línea base del Sistema Distrital de Cuidado,3. Batería de indicadores.4. Plan operativo, instrumentos y manuales de recolección de información cuantitativa y cualitativa. 5. Informe de levantamiento de línea base y análisis preliminar. 6. Soportes de las actividades de levantamiento de información.7. Resumen ejecutivo.8. Informe final de resultados. 9. Bases de datos, libro de códigos y anexos. 10. Documento final de recomendaciones y sugerencias metodológicas y técnicas para el seguimiento a la implementación de la línea base del Sistema Distrital de Cuidado. 11. Presentación del informe final de resultados y del documento final de recomendaciones y sugerencias metodológicas y técnicas para el seguimiento a la implementación de la línea base.12. Soporte de participación en los encuentros.13. Reporte de la información suministrada en encuentros.14. Reporte de requerimientos, peticiones, quejas, solicitudes y reclamos recibidos.15. Documento de estrategia de difusión y publicación de los resultados.</v>
      </c>
      <c r="AW14" s="442" t="s">
        <v>71</v>
      </c>
      <c r="AX14" s="443"/>
      <c r="AY14" s="199">
        <f>(O14+P14+AT14)</f>
        <v>32.811666666666667</v>
      </c>
      <c r="AZ14" s="195">
        <f t="shared" si="0"/>
        <v>0.32811666666666667</v>
      </c>
    </row>
    <row r="15" spans="1:52" ht="393.75" customHeight="1">
      <c r="A15" s="189">
        <v>56</v>
      </c>
      <c r="B15" s="190"/>
      <c r="C15" s="191"/>
      <c r="D15" s="190"/>
      <c r="E15" s="190"/>
      <c r="F15" s="191"/>
      <c r="G15" s="192"/>
      <c r="H15" s="192" t="s">
        <v>58</v>
      </c>
      <c r="I15" s="442" t="s">
        <v>72</v>
      </c>
      <c r="J15" s="442" t="s">
        <v>73</v>
      </c>
      <c r="K15" s="191" t="s">
        <v>68</v>
      </c>
      <c r="L15" s="191">
        <v>2</v>
      </c>
      <c r="M15" s="191" t="s">
        <v>62</v>
      </c>
      <c r="N15" s="442" t="s">
        <v>74</v>
      </c>
      <c r="O15" s="197">
        <v>0.1</v>
      </c>
      <c r="P15" s="197">
        <v>0.49</v>
      </c>
      <c r="Q15" s="198">
        <v>0.50900000000000001</v>
      </c>
      <c r="R15" s="197">
        <v>0.5</v>
      </c>
      <c r="S15" s="197">
        <v>0.4</v>
      </c>
      <c r="T15" s="194" t="s">
        <v>64</v>
      </c>
      <c r="U15" s="442" t="s">
        <v>75</v>
      </c>
      <c r="V15" s="409">
        <f t="shared" ref="V15:AG15" si="3">$Q$15/12</f>
        <v>4.2416666666666665E-2</v>
      </c>
      <c r="W15" s="409">
        <f t="shared" si="3"/>
        <v>4.2416666666666665E-2</v>
      </c>
      <c r="X15" s="409">
        <f t="shared" si="3"/>
        <v>4.2416666666666665E-2</v>
      </c>
      <c r="Y15" s="409">
        <f t="shared" si="3"/>
        <v>4.2416666666666665E-2</v>
      </c>
      <c r="Z15" s="409">
        <f t="shared" si="3"/>
        <v>4.2416666666666665E-2</v>
      </c>
      <c r="AA15" s="409">
        <f t="shared" si="3"/>
        <v>4.2416666666666665E-2</v>
      </c>
      <c r="AB15" s="409">
        <f t="shared" si="3"/>
        <v>4.2416666666666665E-2</v>
      </c>
      <c r="AC15" s="409">
        <f t="shared" si="3"/>
        <v>4.2416666666666665E-2</v>
      </c>
      <c r="AD15" s="409">
        <f t="shared" si="3"/>
        <v>4.2416666666666665E-2</v>
      </c>
      <c r="AE15" s="409">
        <f t="shared" si="3"/>
        <v>4.2416666666666665E-2</v>
      </c>
      <c r="AF15" s="409">
        <f t="shared" si="3"/>
        <v>4.2416666666666665E-2</v>
      </c>
      <c r="AG15" s="409">
        <f t="shared" si="3"/>
        <v>4.2416666666666665E-2</v>
      </c>
      <c r="AH15" s="409">
        <f>+'[2]Metas 7 (Unidades Moviles)'!D35+'[2]Metas 3'!D35</f>
        <v>1.8916666666666668E-2</v>
      </c>
      <c r="AI15" s="409">
        <f>+'Metas 3'!E35+'Metas 7 (Unidades Moviles)'!E35</f>
        <v>3.3333333333333333E-2</v>
      </c>
      <c r="AJ15" s="409">
        <f>+'Metas 3'!F35+'Metas 7 (Unidades Moviles)'!F35</f>
        <v>0.04</v>
      </c>
      <c r="AK15" s="409">
        <f>+'Metas 3'!G35+'Metas 7 (Unidades Moviles)'!G35</f>
        <v>3.3333333333333333E-2</v>
      </c>
      <c r="AL15" s="409">
        <f>+'Metas 3'!H35+'Metas 7 (Unidades Moviles)'!H35</f>
        <v>3.4333333333333334E-2</v>
      </c>
      <c r="AM15" s="409"/>
      <c r="AN15" s="409"/>
      <c r="AO15" s="409"/>
      <c r="AP15" s="409"/>
      <c r="AQ15" s="409"/>
      <c r="AR15" s="409"/>
      <c r="AS15" s="409"/>
      <c r="AT15" s="410">
        <f t="shared" ref="AT15:AT21" si="4">SUM(AH15:AS15)</f>
        <v>0.15991666666666665</v>
      </c>
      <c r="AU15" s="195">
        <f>AT15/Q15</f>
        <v>0.31417812704649634</v>
      </c>
      <c r="AV15" s="463" t="s">
        <v>76</v>
      </c>
      <c r="AW15" s="464" t="s">
        <v>77</v>
      </c>
      <c r="AX15" s="441"/>
      <c r="AY15" s="199">
        <f>(O15+P15+AT15)</f>
        <v>0.74991666666666656</v>
      </c>
      <c r="AZ15" s="195">
        <f t="shared" si="0"/>
        <v>0.37495833333333328</v>
      </c>
    </row>
    <row r="16" spans="1:52" ht="166.15" customHeight="1">
      <c r="A16" s="189"/>
      <c r="B16" s="191">
        <v>905</v>
      </c>
      <c r="C16" s="191"/>
      <c r="D16" s="190"/>
      <c r="E16" s="190"/>
      <c r="F16" s="191"/>
      <c r="G16" s="192"/>
      <c r="H16" s="192"/>
      <c r="I16" s="442" t="s">
        <v>78</v>
      </c>
      <c r="J16" s="442" t="s">
        <v>79</v>
      </c>
      <c r="K16" s="191"/>
      <c r="L16" s="456">
        <v>47.2</v>
      </c>
      <c r="M16" s="191" t="s">
        <v>69</v>
      </c>
      <c r="N16" s="442" t="s">
        <v>80</v>
      </c>
      <c r="O16" s="197">
        <v>0</v>
      </c>
      <c r="P16" s="197">
        <v>0</v>
      </c>
      <c r="Q16" s="197">
        <v>47.2</v>
      </c>
      <c r="R16" s="197">
        <v>0</v>
      </c>
      <c r="S16" s="197"/>
      <c r="T16" s="194" t="s">
        <v>81</v>
      </c>
      <c r="U16" s="444" t="s">
        <v>82</v>
      </c>
      <c r="V16" s="204">
        <v>0</v>
      </c>
      <c r="W16" s="204">
        <v>0</v>
      </c>
      <c r="X16" s="204">
        <v>0</v>
      </c>
      <c r="Y16" s="204"/>
      <c r="Z16" s="204"/>
      <c r="AA16" s="204"/>
      <c r="AB16" s="204"/>
      <c r="AC16" s="204"/>
      <c r="AD16" s="204"/>
      <c r="AE16" s="204"/>
      <c r="AF16" s="204"/>
      <c r="AG16" s="311">
        <v>47.2</v>
      </c>
      <c r="AH16" s="204">
        <v>0</v>
      </c>
      <c r="AI16" s="204">
        <v>0</v>
      </c>
      <c r="AJ16" s="204">
        <v>0</v>
      </c>
      <c r="AK16" s="204"/>
      <c r="AL16" s="460">
        <v>0.53300000000000003</v>
      </c>
      <c r="AM16" s="204"/>
      <c r="AN16" s="204"/>
      <c r="AO16" s="204"/>
      <c r="AP16" s="204"/>
      <c r="AQ16" s="204"/>
      <c r="AR16" s="204"/>
      <c r="AS16" s="204"/>
      <c r="AT16" s="195">
        <f>AL16</f>
        <v>0.53300000000000003</v>
      </c>
      <c r="AU16" s="195" t="e">
        <f>AT16/S16</f>
        <v>#DIV/0!</v>
      </c>
      <c r="AV16" s="442" t="s">
        <v>83</v>
      </c>
      <c r="AW16" s="442"/>
      <c r="AX16" s="443"/>
      <c r="AY16" s="199">
        <f>+AT16</f>
        <v>0.53300000000000003</v>
      </c>
      <c r="AZ16" s="195">
        <f t="shared" si="0"/>
        <v>1.1292372881355933E-2</v>
      </c>
    </row>
    <row r="17" spans="1:54" ht="115.15" customHeight="1">
      <c r="A17" s="189"/>
      <c r="B17" s="191">
        <v>906</v>
      </c>
      <c r="C17" s="191"/>
      <c r="D17" s="190"/>
      <c r="E17" s="190"/>
      <c r="F17" s="191"/>
      <c r="G17" s="192"/>
      <c r="H17" s="192"/>
      <c r="I17" s="442" t="s">
        <v>78</v>
      </c>
      <c r="J17" s="442" t="s">
        <v>84</v>
      </c>
      <c r="K17" s="191"/>
      <c r="L17" s="456">
        <v>48.8</v>
      </c>
      <c r="M17" s="191" t="s">
        <v>69</v>
      </c>
      <c r="N17" s="442" t="s">
        <v>85</v>
      </c>
      <c r="O17" s="197">
        <v>0</v>
      </c>
      <c r="P17" s="197">
        <v>0</v>
      </c>
      <c r="Q17" s="197">
        <v>48.8</v>
      </c>
      <c r="R17" s="197">
        <v>0</v>
      </c>
      <c r="S17" s="197"/>
      <c r="T17" s="194" t="s">
        <v>81</v>
      </c>
      <c r="U17" s="444" t="s">
        <v>82</v>
      </c>
      <c r="V17" s="204">
        <v>0</v>
      </c>
      <c r="W17" s="204">
        <v>0</v>
      </c>
      <c r="X17" s="204">
        <v>0</v>
      </c>
      <c r="Y17" s="204">
        <v>0</v>
      </c>
      <c r="Z17" s="204"/>
      <c r="AA17" s="204"/>
      <c r="AB17" s="204"/>
      <c r="AC17" s="204"/>
      <c r="AD17" s="204"/>
      <c r="AE17" s="204"/>
      <c r="AF17" s="204"/>
      <c r="AG17" s="311">
        <v>48.8</v>
      </c>
      <c r="AH17" s="204">
        <v>0</v>
      </c>
      <c r="AI17" s="204">
        <v>0</v>
      </c>
      <c r="AJ17" s="204">
        <v>0</v>
      </c>
      <c r="AK17" s="204"/>
      <c r="AL17" s="461">
        <v>0.52800000000000002</v>
      </c>
      <c r="AM17" s="461"/>
      <c r="AN17" s="461"/>
      <c r="AO17" s="461"/>
      <c r="AP17" s="461"/>
      <c r="AQ17" s="461"/>
      <c r="AR17" s="461"/>
      <c r="AS17" s="461"/>
      <c r="AT17" s="462">
        <v>0.52800000000000002</v>
      </c>
      <c r="AU17" s="195" t="e">
        <f>AT17/S17</f>
        <v>#DIV/0!</v>
      </c>
      <c r="AV17" s="442" t="s">
        <v>86</v>
      </c>
      <c r="AW17" s="442"/>
      <c r="AX17" s="443"/>
      <c r="AY17" s="199">
        <f>+AT17</f>
        <v>0.52800000000000002</v>
      </c>
      <c r="AZ17" s="195">
        <f t="shared" si="0"/>
        <v>1.0819672131147541E-2</v>
      </c>
    </row>
    <row r="18" spans="1:54" ht="271.14999999999998" customHeight="1">
      <c r="A18" s="190"/>
      <c r="B18" s="190"/>
      <c r="C18" s="190"/>
      <c r="D18" s="189">
        <v>43</v>
      </c>
      <c r="E18" s="190"/>
      <c r="F18" s="191"/>
      <c r="G18" s="192" t="s">
        <v>87</v>
      </c>
      <c r="H18" s="192" t="s">
        <v>58</v>
      </c>
      <c r="I18" s="442"/>
      <c r="J18" s="442" t="s">
        <v>88</v>
      </c>
      <c r="K18" s="191" t="s">
        <v>68</v>
      </c>
      <c r="L18" s="199">
        <v>12000</v>
      </c>
      <c r="M18" s="191" t="s">
        <v>89</v>
      </c>
      <c r="N18" s="442" t="s">
        <v>90</v>
      </c>
      <c r="O18" s="197">
        <v>0</v>
      </c>
      <c r="P18" s="200">
        <v>3000</v>
      </c>
      <c r="Q18" s="201">
        <v>3600</v>
      </c>
      <c r="R18" s="200">
        <v>3600</v>
      </c>
      <c r="S18" s="200">
        <v>1800</v>
      </c>
      <c r="T18" s="191" t="s">
        <v>91</v>
      </c>
      <c r="U18" s="442" t="s">
        <v>92</v>
      </c>
      <c r="V18" s="204">
        <v>0</v>
      </c>
      <c r="W18" s="204">
        <v>327.27272727272725</v>
      </c>
      <c r="X18" s="204">
        <v>327.27272727272725</v>
      </c>
      <c r="Y18" s="204">
        <v>327.27272727272725</v>
      </c>
      <c r="Z18" s="204">
        <v>327.27272727272725</v>
      </c>
      <c r="AA18" s="204">
        <v>327.27272727272725</v>
      </c>
      <c r="AB18" s="204">
        <v>327.27272727272725</v>
      </c>
      <c r="AC18" s="204">
        <v>327.27272727272725</v>
      </c>
      <c r="AD18" s="204">
        <v>327.27272727272725</v>
      </c>
      <c r="AE18" s="204">
        <v>327.27272727272725</v>
      </c>
      <c r="AF18" s="204">
        <v>327.27272727272725</v>
      </c>
      <c r="AG18" s="204">
        <v>327.27272727272725</v>
      </c>
      <c r="AH18" s="204">
        <v>0</v>
      </c>
      <c r="AI18" s="204">
        <f>+'Metas 4 (Contrato relevos)'!E49</f>
        <v>324</v>
      </c>
      <c r="AJ18" s="204">
        <f>+'Metas 4 (Contrato relevos)'!F49</f>
        <v>441</v>
      </c>
      <c r="AK18" s="204">
        <f>+'Metas 4 (Contrato relevos)'!G49</f>
        <v>624</v>
      </c>
      <c r="AL18" s="204">
        <v>637</v>
      </c>
      <c r="AM18" s="204"/>
      <c r="AN18" s="204"/>
      <c r="AO18" s="204"/>
      <c r="AP18" s="204"/>
      <c r="AQ18" s="204"/>
      <c r="AR18" s="204"/>
      <c r="AS18" s="204"/>
      <c r="AT18" s="199">
        <f t="shared" si="4"/>
        <v>2026</v>
      </c>
      <c r="AU18" s="195">
        <f t="shared" si="2"/>
        <v>0.56277777777777782</v>
      </c>
      <c r="AV18" s="441" t="str">
        <f>+'Metas 4 (Contrato relevos)'!Q38</f>
        <v>Programación y realización de 36 cursos de Formación Complementaria para mujeres cuidadoras distribuidos así: 19 cursos ofrecidos en el marco del Convenio 012 de 2021 suscrito por la Secretaría Distrital de la Mujer con el Servicio Nacional de Aprendizaje en materia de Ofimática (Word, Excel e internet), con una duración de 48 horas, 40 de las cuales implican ejercicio de acompañamiento permanente por parte del equipo de la Dirección del Sistema de Cuidado y 17 cursos en "Herramientas para cuidadoras en el reconocimiento de su trabajo de cuidado", programa de 10 horas cuyos contenidos fueron elaborados por la Universidad Nacional de Colombia en la vigencia anterior y a los que se acede a través del Aula Virtual de la Secretaría Distrital de la Mujer con el apoyo de las 19 tutoras territoriales vinculadas al Componente de Formación de la Estrategia Cuidado a Cuidadoras. El número total de cuidadoras graduadas en el mes de mayo ascendió a 637. La distribución por localidad de prestación del servicio expresa el siguiente comportamiento: Ciudad Bolívar 119; Tunjuelito 41; Puente Aranda 27; Suba 12; Antonio Nariño:40; Los Mártires 37; Bosa: 35; Usaquén 24; Usme 35; Teusaquillo 22; San Cristóbal 62; Fontibón 22; Barrios Unidos 40; Kennedy 41; Chapinero 33; Santa Fe 11; Rafael Uribe 19 y La Candelaria 17.
Adicionalmente para el mes de mayo, se generaron avances en el proceso de Homologación de Saberes, con un total de 144 cuidadoras certificadas por el Servicio Nacional de Aprendizaje en el mes de referencia, con el acompañamiento permanente de la Secretaría Distrital de la Mujeres y la Dirección del Sistema de Cuidado, a través de tres enfermeras evaluadoras quienes operan a nivel distrital.</v>
      </c>
      <c r="AW18" s="441"/>
      <c r="AX18" s="442"/>
      <c r="AY18" s="199">
        <f>+AT18+3680</f>
        <v>5706</v>
      </c>
      <c r="AZ18" s="195">
        <f t="shared" si="0"/>
        <v>0.47549999999999998</v>
      </c>
    </row>
    <row r="19" spans="1:54" ht="231.6" customHeight="1">
      <c r="A19" s="190"/>
      <c r="B19" s="190"/>
      <c r="C19" s="190"/>
      <c r="D19" s="189">
        <v>45</v>
      </c>
      <c r="E19" s="190"/>
      <c r="F19" s="191"/>
      <c r="G19" s="192" t="s">
        <v>87</v>
      </c>
      <c r="H19" s="192" t="s">
        <v>58</v>
      </c>
      <c r="I19" s="442"/>
      <c r="J19" s="442" t="s">
        <v>93</v>
      </c>
      <c r="K19" s="191" t="s">
        <v>68</v>
      </c>
      <c r="L19" s="199">
        <v>41000</v>
      </c>
      <c r="M19" s="191" t="s">
        <v>94</v>
      </c>
      <c r="N19" s="442" t="s">
        <v>95</v>
      </c>
      <c r="O19" s="197">
        <v>0</v>
      </c>
      <c r="P19" s="202">
        <v>1000</v>
      </c>
      <c r="Q19" s="203">
        <f>SUM(V19:AG19)</f>
        <v>16000</v>
      </c>
      <c r="R19" s="203">
        <f>+Q19</f>
        <v>16000</v>
      </c>
      <c r="S19" s="203">
        <v>8000</v>
      </c>
      <c r="T19" s="191" t="s">
        <v>91</v>
      </c>
      <c r="U19" s="442" t="s">
        <v>92</v>
      </c>
      <c r="V19" s="204">
        <v>2000</v>
      </c>
      <c r="W19" s="204">
        <v>2000</v>
      </c>
      <c r="X19" s="204">
        <v>2000</v>
      </c>
      <c r="Y19" s="204">
        <v>2000</v>
      </c>
      <c r="Z19" s="204">
        <v>1000</v>
      </c>
      <c r="AA19" s="204">
        <v>1000</v>
      </c>
      <c r="AB19" s="204">
        <v>1000</v>
      </c>
      <c r="AC19" s="204">
        <v>1000</v>
      </c>
      <c r="AD19" s="204">
        <v>1000</v>
      </c>
      <c r="AE19" s="204">
        <v>1000</v>
      </c>
      <c r="AF19" s="204">
        <v>1000</v>
      </c>
      <c r="AG19" s="204">
        <v>1000</v>
      </c>
      <c r="AH19" s="204">
        <v>0</v>
      </c>
      <c r="AI19" s="311">
        <v>1312</v>
      </c>
      <c r="AJ19" s="204">
        <v>612</v>
      </c>
      <c r="AK19" s="204">
        <v>387</v>
      </c>
      <c r="AL19" s="204">
        <v>1148</v>
      </c>
      <c r="AM19" s="204"/>
      <c r="AN19" s="204"/>
      <c r="AO19" s="204"/>
      <c r="AP19" s="204"/>
      <c r="AQ19" s="204"/>
      <c r="AR19" s="204"/>
      <c r="AS19" s="204"/>
      <c r="AT19" s="199">
        <f t="shared" si="4"/>
        <v>3459</v>
      </c>
      <c r="AU19" s="195">
        <f t="shared" si="2"/>
        <v>0.2161875</v>
      </c>
      <c r="AV19" s="441" t="str">
        <f>+'Metas 4 (Contrato relevos)'!Q42</f>
        <v>Se desarrollaron 8 reuniones de seguimiento al plan de facturación y radicación después de terminado el contrato 847-2021, donde la Supervisión hizo monitoreo semanal de la radicación total de 2.297 soportes de visitas domiciliarias y del avance en la radicación de 585 carpetas de beneficiarias con soportes de servicios prestados hasta el 30 de abril, los cuales están bajo revisión de la entidad a este corte. Adicionalmente, se han propuesto estrategias para superar las dificultades de subsanación de los soportes, de tal manera que facilite la radicación completa de los mismos ante la entidad. La fecha límite para radicar los soprotes pendientes acordada con el operador es del 17 de junio del 2022.</v>
      </c>
      <c r="AW19" s="441"/>
      <c r="AX19" s="442"/>
      <c r="AY19" s="199">
        <f>+AT19+1039</f>
        <v>4498</v>
      </c>
      <c r="AZ19" s="195">
        <f t="shared" si="0"/>
        <v>0.10970731707317073</v>
      </c>
      <c r="BA19" s="186">
        <v>1039</v>
      </c>
      <c r="BB19" s="310">
        <f>+AI19+AJ19+BA19</f>
        <v>2963</v>
      </c>
    </row>
    <row r="20" spans="1:54" ht="354" customHeight="1">
      <c r="A20" s="190"/>
      <c r="B20" s="190"/>
      <c r="C20" s="190"/>
      <c r="D20" s="189">
        <v>46</v>
      </c>
      <c r="E20" s="205"/>
      <c r="F20" s="191"/>
      <c r="G20" s="192" t="s">
        <v>87</v>
      </c>
      <c r="H20" s="192" t="s">
        <v>58</v>
      </c>
      <c r="I20" s="442"/>
      <c r="J20" s="442" t="s">
        <v>96</v>
      </c>
      <c r="K20" s="191" t="s">
        <v>68</v>
      </c>
      <c r="L20" s="199">
        <v>16500</v>
      </c>
      <c r="M20" s="191" t="s">
        <v>97</v>
      </c>
      <c r="N20" s="442" t="s">
        <v>98</v>
      </c>
      <c r="O20" s="197">
        <v>0</v>
      </c>
      <c r="P20" s="200">
        <v>4500</v>
      </c>
      <c r="Q20" s="200">
        <v>4000</v>
      </c>
      <c r="R20" s="200">
        <v>4000</v>
      </c>
      <c r="S20" s="200">
        <v>4000</v>
      </c>
      <c r="T20" s="191" t="s">
        <v>91</v>
      </c>
      <c r="U20" s="442" t="s">
        <v>92</v>
      </c>
      <c r="V20" s="199"/>
      <c r="W20" s="199">
        <v>196</v>
      </c>
      <c r="X20" s="204">
        <v>196</v>
      </c>
      <c r="Y20" s="204">
        <v>196</v>
      </c>
      <c r="Z20" s="204">
        <v>196</v>
      </c>
      <c r="AA20" s="204">
        <v>196</v>
      </c>
      <c r="AB20" s="204">
        <v>604</v>
      </c>
      <c r="AC20" s="204">
        <v>604</v>
      </c>
      <c r="AD20" s="204">
        <v>604</v>
      </c>
      <c r="AE20" s="204">
        <v>604</v>
      </c>
      <c r="AF20" s="204">
        <v>604</v>
      </c>
      <c r="AG20" s="204"/>
      <c r="AH20" s="311">
        <v>0</v>
      </c>
      <c r="AI20" s="311">
        <f>+'Metas 6 (ONU Mujeres)'!E54</f>
        <v>181</v>
      </c>
      <c r="AJ20" s="204">
        <v>469</v>
      </c>
      <c r="AK20" s="204">
        <v>336</v>
      </c>
      <c r="AL20" s="204">
        <v>691</v>
      </c>
      <c r="AM20" s="204"/>
      <c r="AN20" s="204"/>
      <c r="AO20" s="204"/>
      <c r="AP20" s="204"/>
      <c r="AQ20" s="204"/>
      <c r="AR20" s="204"/>
      <c r="AS20" s="204"/>
      <c r="AT20" s="199">
        <f t="shared" si="4"/>
        <v>1677</v>
      </c>
      <c r="AU20" s="195">
        <f t="shared" si="2"/>
        <v>0.41925000000000001</v>
      </c>
      <c r="AV20" s="441" t="str">
        <f>+'Metas 6 (ONU Mujeres)'!Q34</f>
        <v>Durante el año 2022, se han  1.677 (548 hombres, 2 intersexuales, 1103 mujeres y sin información 24) personas, de las cuales, durante el mes de mayo, se sensibilizaron un total de 691 personas. Esto se realizó por medio de los talleres de "A cuidar se Aprende" (959 peresonas), y "Cuidamos a las que nos Cuidan"(718 personas). Por otra parte, en el marco de la expansión de la Red de Alianzas del Cuidado, durante el mes de mayo se realizó un taller de articulación externa con la Vicaría de Tunjuelito que contó con la participación de siete mujeres cuidadoras, así mismo, el 24 de mayo se llevó a cabo la primera mesa de transformación cultural con el siguiente orden del día: 1. Presentación de la Estrategia Pedagógica y de Cambio Cultural en el marco del Plan de Desarrollo Distrital 2020-2024 y 2. Contexto institucional de la Mesa de Trabajo de Transformación Cultural. Participaron representantes del Idartes; SDIS; IDPAC; SCRD; SDEducación y SDMujer</v>
      </c>
      <c r="AW20" s="441"/>
      <c r="AX20" s="442"/>
      <c r="AY20" s="199">
        <f>+AT20+5123</f>
        <v>6800</v>
      </c>
      <c r="AZ20" s="195">
        <f t="shared" ref="AZ20:AZ21" si="5">AY20/L20</f>
        <v>0.41212121212121211</v>
      </c>
    </row>
    <row r="21" spans="1:54" ht="143.1" customHeight="1">
      <c r="A21" s="191">
        <v>56</v>
      </c>
      <c r="B21" s="191"/>
      <c r="C21" s="191"/>
      <c r="D21" s="191"/>
      <c r="E21" s="191"/>
      <c r="F21" s="191"/>
      <c r="G21" s="191"/>
      <c r="H21" s="191"/>
      <c r="I21" s="442"/>
      <c r="J21" s="442" t="s">
        <v>99</v>
      </c>
      <c r="K21" s="206" t="s">
        <v>68</v>
      </c>
      <c r="L21" s="207">
        <v>19</v>
      </c>
      <c r="M21" s="191" t="s">
        <v>100</v>
      </c>
      <c r="N21" s="442" t="s">
        <v>101</v>
      </c>
      <c r="O21" s="190">
        <v>2</v>
      </c>
      <c r="P21" s="190">
        <v>5</v>
      </c>
      <c r="Q21" s="190">
        <v>7</v>
      </c>
      <c r="R21" s="190">
        <v>5</v>
      </c>
      <c r="S21" s="190">
        <v>0</v>
      </c>
      <c r="T21" s="191" t="s">
        <v>91</v>
      </c>
      <c r="U21" s="442" t="s">
        <v>92</v>
      </c>
      <c r="V21" s="199"/>
      <c r="W21" s="199">
        <v>1</v>
      </c>
      <c r="X21" s="204">
        <v>1</v>
      </c>
      <c r="Y21" s="204">
        <v>1</v>
      </c>
      <c r="Z21" s="204"/>
      <c r="AA21" s="204">
        <v>1</v>
      </c>
      <c r="AB21" s="204"/>
      <c r="AC21" s="204">
        <v>1</v>
      </c>
      <c r="AD21" s="204"/>
      <c r="AE21" s="204">
        <v>1</v>
      </c>
      <c r="AF21" s="204"/>
      <c r="AG21" s="204">
        <v>1</v>
      </c>
      <c r="AH21" s="311">
        <v>0</v>
      </c>
      <c r="AI21" s="311">
        <f>+'Metas 3'!E53</f>
        <v>1</v>
      </c>
      <c r="AJ21" s="204">
        <v>1</v>
      </c>
      <c r="AK21" s="204">
        <v>0</v>
      </c>
      <c r="AL21" s="204">
        <v>0</v>
      </c>
      <c r="AM21" s="204"/>
      <c r="AN21" s="204"/>
      <c r="AO21" s="204"/>
      <c r="AP21" s="204"/>
      <c r="AQ21" s="204"/>
      <c r="AR21" s="204"/>
      <c r="AS21" s="204"/>
      <c r="AT21" s="199">
        <f t="shared" si="4"/>
        <v>2</v>
      </c>
      <c r="AU21" s="195">
        <f t="shared" si="2"/>
        <v>0.2857142857142857</v>
      </c>
      <c r="AV21" s="441" t="s">
        <v>742</v>
      </c>
      <c r="AW21" s="441"/>
      <c r="AX21" s="442" t="s">
        <v>102</v>
      </c>
      <c r="AY21" s="199">
        <f>+O21+P21+AT21</f>
        <v>9</v>
      </c>
      <c r="AZ21" s="195">
        <f t="shared" si="5"/>
        <v>0.47368421052631576</v>
      </c>
    </row>
    <row r="22" spans="1:54" ht="13.5" customHeight="1">
      <c r="A22" s="503" t="s">
        <v>103</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c r="AT22" s="477"/>
      <c r="AU22" s="477"/>
      <c r="AV22" s="477"/>
      <c r="AW22" s="477"/>
      <c r="AX22" s="478"/>
    </row>
    <row r="23" spans="1:54" ht="76.5" customHeight="1">
      <c r="A23" s="508" t="s">
        <v>104</v>
      </c>
      <c r="B23" s="481"/>
      <c r="C23" s="482"/>
      <c r="D23" s="484" t="s">
        <v>105</v>
      </c>
      <c r="E23" s="477"/>
      <c r="F23" s="477"/>
      <c r="G23" s="477"/>
      <c r="H23" s="477"/>
      <c r="I23" s="478"/>
      <c r="J23" s="508" t="s">
        <v>106</v>
      </c>
      <c r="K23" s="481"/>
      <c r="L23" s="481"/>
      <c r="M23" s="481"/>
      <c r="N23" s="481"/>
      <c r="O23" s="482"/>
      <c r="P23" s="484" t="s">
        <v>105</v>
      </c>
      <c r="Q23" s="477"/>
      <c r="R23" s="477"/>
      <c r="S23" s="477"/>
      <c r="T23" s="477"/>
      <c r="U23" s="478"/>
      <c r="V23" s="509" t="s">
        <v>105</v>
      </c>
      <c r="W23" s="506"/>
      <c r="X23" s="506"/>
      <c r="Y23" s="506"/>
      <c r="Z23" s="506"/>
      <c r="AA23" s="506"/>
      <c r="AB23" s="506"/>
      <c r="AC23" s="507"/>
      <c r="AD23" s="509" t="s">
        <v>105</v>
      </c>
      <c r="AE23" s="506"/>
      <c r="AF23" s="506"/>
      <c r="AG23" s="506"/>
      <c r="AH23" s="506"/>
      <c r="AI23" s="506"/>
      <c r="AJ23" s="506"/>
      <c r="AK23" s="506"/>
      <c r="AL23" s="506"/>
      <c r="AM23" s="506"/>
      <c r="AN23" s="506"/>
      <c r="AO23" s="507"/>
      <c r="AP23" s="510" t="s">
        <v>107</v>
      </c>
      <c r="AQ23" s="511"/>
      <c r="AR23" s="511"/>
      <c r="AS23" s="512"/>
      <c r="AT23" s="484" t="s">
        <v>108</v>
      </c>
      <c r="AU23" s="477"/>
      <c r="AV23" s="477"/>
      <c r="AW23" s="477"/>
      <c r="AX23" s="478"/>
    </row>
    <row r="24" spans="1:54" ht="25.15" customHeight="1">
      <c r="A24" s="487"/>
      <c r="B24" s="488"/>
      <c r="C24" s="489"/>
      <c r="D24" s="484" t="s">
        <v>109</v>
      </c>
      <c r="E24" s="477"/>
      <c r="F24" s="477"/>
      <c r="G24" s="477"/>
      <c r="H24" s="477"/>
      <c r="I24" s="478"/>
      <c r="J24" s="487"/>
      <c r="K24" s="488"/>
      <c r="L24" s="488"/>
      <c r="M24" s="488"/>
      <c r="N24" s="488"/>
      <c r="O24" s="489"/>
      <c r="P24" s="484" t="s">
        <v>110</v>
      </c>
      <c r="Q24" s="477"/>
      <c r="R24" s="477"/>
      <c r="S24" s="477"/>
      <c r="T24" s="477"/>
      <c r="U24" s="478"/>
      <c r="V24" s="509" t="s">
        <v>111</v>
      </c>
      <c r="W24" s="506"/>
      <c r="X24" s="506"/>
      <c r="Y24" s="506"/>
      <c r="Z24" s="506"/>
      <c r="AA24" s="506"/>
      <c r="AB24" s="506"/>
      <c r="AC24" s="507"/>
      <c r="AD24" s="509" t="s">
        <v>112</v>
      </c>
      <c r="AE24" s="506"/>
      <c r="AF24" s="506"/>
      <c r="AG24" s="506"/>
      <c r="AH24" s="506"/>
      <c r="AI24" s="506"/>
      <c r="AJ24" s="506"/>
      <c r="AK24" s="506"/>
      <c r="AL24" s="506"/>
      <c r="AM24" s="506"/>
      <c r="AN24" s="506"/>
      <c r="AO24" s="507"/>
      <c r="AP24" s="513"/>
      <c r="AQ24" s="514"/>
      <c r="AR24" s="514"/>
      <c r="AS24" s="515"/>
      <c r="AT24" s="484" t="s">
        <v>113</v>
      </c>
      <c r="AU24" s="477"/>
      <c r="AV24" s="477"/>
      <c r="AW24" s="477"/>
      <c r="AX24" s="478"/>
    </row>
    <row r="25" spans="1:54" ht="15.75" customHeight="1">
      <c r="A25" s="483"/>
      <c r="B25" s="472"/>
      <c r="C25" s="473"/>
      <c r="D25" s="484" t="s">
        <v>114</v>
      </c>
      <c r="E25" s="477"/>
      <c r="F25" s="477"/>
      <c r="G25" s="477"/>
      <c r="H25" s="477"/>
      <c r="I25" s="478"/>
      <c r="J25" s="483"/>
      <c r="K25" s="472"/>
      <c r="L25" s="472"/>
      <c r="M25" s="472"/>
      <c r="N25" s="472"/>
      <c r="O25" s="473"/>
      <c r="P25" s="484" t="s">
        <v>115</v>
      </c>
      <c r="Q25" s="477"/>
      <c r="R25" s="477"/>
      <c r="S25" s="477"/>
      <c r="T25" s="477"/>
      <c r="U25" s="478"/>
      <c r="V25" s="509" t="s">
        <v>116</v>
      </c>
      <c r="W25" s="506"/>
      <c r="X25" s="506"/>
      <c r="Y25" s="506"/>
      <c r="Z25" s="506"/>
      <c r="AA25" s="506"/>
      <c r="AB25" s="506"/>
      <c r="AC25" s="507"/>
      <c r="AD25" s="509" t="s">
        <v>117</v>
      </c>
      <c r="AE25" s="506"/>
      <c r="AF25" s="506"/>
      <c r="AG25" s="506"/>
      <c r="AH25" s="506"/>
      <c r="AI25" s="506"/>
      <c r="AJ25" s="506"/>
      <c r="AK25" s="506"/>
      <c r="AL25" s="506"/>
      <c r="AM25" s="506"/>
      <c r="AN25" s="506"/>
      <c r="AO25" s="507"/>
      <c r="AP25" s="516"/>
      <c r="AQ25" s="517"/>
      <c r="AR25" s="517"/>
      <c r="AS25" s="518"/>
      <c r="AT25" s="484" t="s">
        <v>118</v>
      </c>
      <c r="AU25" s="477"/>
      <c r="AV25" s="477"/>
      <c r="AW25" s="477"/>
      <c r="AX25" s="478"/>
    </row>
    <row r="26" spans="1:54" ht="13.5" customHeight="1">
      <c r="A26" s="208"/>
      <c r="B26" s="208"/>
      <c r="C26" s="208"/>
      <c r="D26" s="208"/>
      <c r="E26" s="208"/>
      <c r="F26" s="208"/>
      <c r="G26" s="208"/>
      <c r="H26" s="208"/>
      <c r="I26" s="208"/>
      <c r="J26" s="208"/>
      <c r="K26" s="208"/>
      <c r="L26" s="208"/>
      <c r="M26" s="208"/>
      <c r="N26" s="208"/>
      <c r="O26" s="208"/>
      <c r="P26" s="208"/>
      <c r="Q26" s="208"/>
      <c r="R26" s="208"/>
      <c r="S26" s="208"/>
      <c r="T26" s="208"/>
      <c r="U26" s="210"/>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208"/>
      <c r="AV26" s="208"/>
      <c r="AW26" s="208"/>
      <c r="AX26" s="208"/>
    </row>
    <row r="27" spans="1:54" ht="13.5" hidden="1" customHeight="1">
      <c r="A27" s="208"/>
      <c r="B27" s="208"/>
      <c r="C27" s="208"/>
      <c r="D27" s="208"/>
      <c r="E27" s="208"/>
      <c r="F27" s="208"/>
      <c r="G27" s="208"/>
      <c r="H27" s="208"/>
      <c r="I27" s="208"/>
      <c r="J27" s="208"/>
      <c r="K27" s="208"/>
      <c r="L27" s="208"/>
      <c r="M27" s="208"/>
      <c r="N27" s="208"/>
      <c r="O27" s="208"/>
      <c r="P27" s="208"/>
      <c r="Q27" s="208"/>
      <c r="R27" s="209"/>
      <c r="S27" s="208"/>
      <c r="T27" s="208"/>
      <c r="U27" s="210">
        <v>5123</v>
      </c>
      <c r="V27" s="309">
        <v>2021</v>
      </c>
      <c r="W27" s="309">
        <v>1039</v>
      </c>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208"/>
      <c r="AV27" s="208"/>
      <c r="AW27" s="208"/>
      <c r="AX27" s="208"/>
    </row>
    <row r="28" spans="1:54" ht="13.5" hidden="1" customHeight="1">
      <c r="A28" s="208"/>
      <c r="B28" s="208"/>
      <c r="C28" s="208"/>
      <c r="D28" s="208"/>
      <c r="E28" s="208"/>
      <c r="F28" s="208"/>
      <c r="G28" s="208"/>
      <c r="H28" s="208"/>
      <c r="I28" s="208"/>
      <c r="J28" s="208"/>
      <c r="K28" s="208"/>
      <c r="L28" s="208"/>
      <c r="M28" s="208"/>
      <c r="N28" s="208"/>
      <c r="O28" s="208"/>
      <c r="P28" s="208"/>
      <c r="Q28" s="208"/>
      <c r="R28" s="208"/>
      <c r="S28" s="208"/>
      <c r="T28" s="208"/>
      <c r="U28" s="210">
        <v>4000</v>
      </c>
      <c r="V28" s="309">
        <v>2022</v>
      </c>
      <c r="W28" s="309">
        <v>20000</v>
      </c>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208"/>
      <c r="AV28" s="208"/>
      <c r="AW28" s="208"/>
      <c r="AX28" s="208"/>
    </row>
    <row r="29" spans="1:54" ht="13.5" hidden="1" customHeight="1">
      <c r="A29" s="208"/>
      <c r="B29" s="208"/>
      <c r="C29" s="208"/>
      <c r="D29" s="208"/>
      <c r="E29" s="208"/>
      <c r="F29" s="208"/>
      <c r="G29" s="208"/>
      <c r="H29" s="208"/>
      <c r="I29" s="208"/>
      <c r="J29" s="208"/>
      <c r="K29" s="208"/>
      <c r="L29" s="208"/>
      <c r="M29" s="208"/>
      <c r="N29" s="208"/>
      <c r="O29" s="208"/>
      <c r="P29" s="208"/>
      <c r="Q29" s="208"/>
      <c r="R29" s="208"/>
      <c r="S29" s="208"/>
      <c r="T29" s="208"/>
      <c r="U29" s="210">
        <v>4000</v>
      </c>
      <c r="V29" s="309">
        <v>2023</v>
      </c>
      <c r="W29" s="309">
        <v>20000</v>
      </c>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208"/>
      <c r="AV29" s="208"/>
      <c r="AW29" s="208"/>
      <c r="AX29" s="208"/>
    </row>
    <row r="30" spans="1:54" ht="13.5" hidden="1" customHeight="1">
      <c r="A30" s="208"/>
      <c r="B30" s="208"/>
      <c r="C30" s="208"/>
      <c r="D30" s="208"/>
      <c r="E30" s="208"/>
      <c r="F30" s="208"/>
      <c r="G30" s="208"/>
      <c r="H30" s="208"/>
      <c r="I30" s="208"/>
      <c r="J30" s="208"/>
      <c r="K30" s="208"/>
      <c r="L30" s="208"/>
      <c r="M30" s="208"/>
      <c r="N30" s="208"/>
      <c r="O30" s="208"/>
      <c r="P30" s="208"/>
      <c r="Q30" s="208"/>
      <c r="R30" s="208"/>
      <c r="S30" s="208"/>
      <c r="T30" s="208"/>
      <c r="U30" s="210">
        <v>4000</v>
      </c>
      <c r="V30" s="309">
        <v>2024</v>
      </c>
      <c r="W30" s="309">
        <v>10000</v>
      </c>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208"/>
      <c r="AV30" s="208"/>
      <c r="AW30" s="208"/>
      <c r="AX30" s="208"/>
    </row>
    <row r="31" spans="1:54" ht="13.5" hidden="1" customHeight="1">
      <c r="A31" s="208"/>
      <c r="B31" s="208"/>
      <c r="C31" s="208"/>
      <c r="D31" s="208"/>
      <c r="E31" s="208"/>
      <c r="F31" s="208"/>
      <c r="G31" s="208"/>
      <c r="H31" s="208"/>
      <c r="I31" s="208"/>
      <c r="J31" s="208"/>
      <c r="K31" s="208"/>
      <c r="L31" s="208"/>
      <c r="M31" s="208"/>
      <c r="N31" s="208"/>
      <c r="O31" s="208"/>
      <c r="P31" s="208"/>
      <c r="Q31" s="208"/>
      <c r="R31" s="208"/>
      <c r="S31" s="208"/>
      <c r="T31" s="208"/>
      <c r="U31" s="210">
        <f>SUM(U27:U30)</f>
        <v>17123</v>
      </c>
      <c r="V31" s="309"/>
      <c r="W31" s="309">
        <f>SUM(W27:W30)</f>
        <v>51039</v>
      </c>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208"/>
      <c r="AV31" s="208"/>
      <c r="AW31" s="208"/>
      <c r="AX31" s="208"/>
    </row>
    <row r="32" spans="1:54" ht="13.5" customHeight="1">
      <c r="A32" s="208"/>
      <c r="B32" s="208"/>
      <c r="C32" s="208"/>
      <c r="D32" s="208"/>
      <c r="E32" s="208"/>
      <c r="F32" s="208"/>
      <c r="G32" s="208"/>
      <c r="H32" s="208"/>
      <c r="I32" s="208"/>
      <c r="J32" s="208"/>
      <c r="K32" s="208"/>
      <c r="L32" s="208"/>
      <c r="M32" s="208"/>
      <c r="N32" s="208"/>
      <c r="O32" s="208"/>
      <c r="P32" s="208"/>
      <c r="Q32" s="208"/>
      <c r="R32" s="208"/>
      <c r="S32" s="208"/>
      <c r="T32" s="208"/>
      <c r="U32" s="210"/>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208"/>
      <c r="AV32" s="208"/>
      <c r="AW32" s="208"/>
      <c r="AX32" s="208"/>
    </row>
    <row r="33" spans="1:50" ht="13.5" customHeight="1">
      <c r="A33" s="208"/>
      <c r="B33" s="208"/>
      <c r="C33" s="208"/>
      <c r="D33" s="208"/>
      <c r="E33" s="208"/>
      <c r="F33" s="208"/>
      <c r="G33" s="208"/>
      <c r="H33" s="208"/>
      <c r="I33" s="208"/>
      <c r="J33" s="208"/>
      <c r="K33" s="208"/>
      <c r="L33" s="208"/>
      <c r="M33" s="208"/>
      <c r="N33" s="208"/>
      <c r="O33" s="208"/>
      <c r="P33" s="208"/>
      <c r="Q33" s="208"/>
      <c r="R33" s="208"/>
      <c r="S33" s="208"/>
      <c r="T33" s="208"/>
      <c r="U33" s="210"/>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208"/>
      <c r="AV33" s="208"/>
      <c r="AW33" s="208"/>
      <c r="AX33" s="208"/>
    </row>
    <row r="34" spans="1:50" ht="13.5" customHeight="1">
      <c r="A34" s="208"/>
      <c r="B34" s="208"/>
      <c r="C34" s="208"/>
      <c r="D34" s="208"/>
      <c r="E34" s="208"/>
      <c r="F34" s="208"/>
      <c r="G34" s="208"/>
      <c r="H34" s="208"/>
      <c r="I34" s="208"/>
      <c r="J34" s="208"/>
      <c r="K34" s="208"/>
      <c r="L34" s="208"/>
      <c r="M34" s="208"/>
      <c r="N34" s="208"/>
      <c r="O34" s="208"/>
      <c r="P34" s="208"/>
      <c r="Q34" s="208"/>
      <c r="R34" s="208"/>
      <c r="S34" s="208"/>
      <c r="T34" s="208"/>
      <c r="U34" s="210"/>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208"/>
      <c r="AV34" s="208"/>
      <c r="AW34" s="208"/>
      <c r="AX34" s="208"/>
    </row>
    <row r="35" spans="1:50" ht="13.5" customHeight="1">
      <c r="A35" s="208"/>
      <c r="B35" s="208"/>
      <c r="C35" s="208"/>
      <c r="D35" s="208"/>
      <c r="E35" s="208"/>
      <c r="F35" s="208"/>
      <c r="G35" s="208"/>
      <c r="H35" s="208"/>
      <c r="I35" s="208"/>
      <c r="J35" s="208"/>
      <c r="K35" s="208"/>
      <c r="L35" s="208"/>
      <c r="M35" s="208"/>
      <c r="N35" s="208"/>
      <c r="O35" s="208"/>
      <c r="P35" s="208"/>
      <c r="Q35" s="208"/>
      <c r="R35" s="208"/>
      <c r="S35" s="208"/>
      <c r="T35" s="208"/>
      <c r="U35" s="210"/>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208"/>
      <c r="AV35" s="208"/>
      <c r="AW35" s="208"/>
      <c r="AX35" s="208"/>
    </row>
    <row r="36" spans="1:50" ht="13.5" customHeight="1">
      <c r="A36" s="208"/>
      <c r="B36" s="208"/>
      <c r="C36" s="208"/>
      <c r="D36" s="208"/>
      <c r="E36" s="208"/>
      <c r="F36" s="208"/>
      <c r="G36" s="208"/>
      <c r="H36" s="208"/>
      <c r="I36" s="208"/>
      <c r="J36" s="208"/>
      <c r="K36" s="208"/>
      <c r="L36" s="208"/>
      <c r="M36" s="208"/>
      <c r="N36" s="208"/>
      <c r="O36" s="208"/>
      <c r="P36" s="208"/>
      <c r="Q36" s="208"/>
      <c r="R36" s="208"/>
      <c r="S36" s="208"/>
      <c r="T36" s="208"/>
      <c r="U36" s="210"/>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208"/>
      <c r="AV36" s="208"/>
      <c r="AW36" s="208"/>
      <c r="AX36" s="208"/>
    </row>
    <row r="37" spans="1:50" ht="13.5" customHeight="1">
      <c r="A37" s="208"/>
      <c r="B37" s="208"/>
      <c r="C37" s="208"/>
      <c r="D37" s="208"/>
      <c r="E37" s="208"/>
      <c r="F37" s="208"/>
      <c r="G37" s="208"/>
      <c r="H37" s="208"/>
      <c r="I37" s="208"/>
      <c r="J37" s="208"/>
      <c r="K37" s="208"/>
      <c r="L37" s="208"/>
      <c r="M37" s="208"/>
      <c r="N37" s="208"/>
      <c r="O37" s="208"/>
      <c r="P37" s="208"/>
      <c r="Q37" s="208"/>
      <c r="R37" s="208"/>
      <c r="S37" s="208"/>
      <c r="T37" s="208"/>
      <c r="U37" s="210"/>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208"/>
      <c r="AV37" s="208"/>
      <c r="AW37" s="208"/>
      <c r="AX37" s="208"/>
    </row>
    <row r="38" spans="1:50" ht="13.5" customHeight="1">
      <c r="A38" s="208"/>
      <c r="B38" s="208"/>
      <c r="C38" s="208"/>
      <c r="D38" s="208"/>
      <c r="E38" s="208"/>
      <c r="F38" s="208"/>
      <c r="G38" s="208"/>
      <c r="H38" s="208"/>
      <c r="I38" s="208"/>
      <c r="J38" s="208"/>
      <c r="K38" s="208"/>
      <c r="L38" s="208"/>
      <c r="M38" s="208"/>
      <c r="N38" s="208"/>
      <c r="O38" s="208"/>
      <c r="P38" s="208"/>
      <c r="Q38" s="208"/>
      <c r="R38" s="208"/>
      <c r="S38" s="208"/>
      <c r="T38" s="208"/>
      <c r="U38" s="210"/>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208"/>
      <c r="AV38" s="208"/>
      <c r="AW38" s="208"/>
      <c r="AX38" s="208"/>
    </row>
    <row r="39" spans="1:50" ht="13.5" customHeight="1">
      <c r="A39" s="208"/>
      <c r="B39" s="208"/>
      <c r="C39" s="208"/>
      <c r="D39" s="208"/>
      <c r="E39" s="208"/>
      <c r="F39" s="208"/>
      <c r="G39" s="208"/>
      <c r="H39" s="208"/>
      <c r="I39" s="208"/>
      <c r="J39" s="208"/>
      <c r="K39" s="208"/>
      <c r="L39" s="208"/>
      <c r="M39" s="208"/>
      <c r="N39" s="208"/>
      <c r="O39" s="208"/>
      <c r="P39" s="208"/>
      <c r="Q39" s="208"/>
      <c r="R39" s="208"/>
      <c r="S39" s="208"/>
      <c r="T39" s="208"/>
      <c r="U39" s="210"/>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208"/>
      <c r="AV39" s="208"/>
      <c r="AW39" s="208"/>
      <c r="AX39" s="208"/>
    </row>
    <row r="40" spans="1:50" ht="13.5" customHeight="1">
      <c r="A40" s="208"/>
      <c r="B40" s="208"/>
      <c r="C40" s="208"/>
      <c r="D40" s="208"/>
      <c r="E40" s="208"/>
      <c r="F40" s="208"/>
      <c r="G40" s="208"/>
      <c r="H40" s="208"/>
      <c r="I40" s="208"/>
      <c r="J40"/>
      <c r="K40" s="208"/>
      <c r="L40" s="208"/>
      <c r="M40" s="208"/>
      <c r="N40" s="208"/>
      <c r="O40" s="208"/>
      <c r="P40" s="208"/>
      <c r="Q40" s="208"/>
      <c r="R40" s="208"/>
      <c r="S40" s="208"/>
      <c r="T40" s="208"/>
      <c r="U40" s="210"/>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208"/>
      <c r="AV40" s="208"/>
      <c r="AW40" s="208"/>
      <c r="AX40" s="208"/>
    </row>
    <row r="41" spans="1:50" ht="13.5" customHeight="1">
      <c r="A41" s="208"/>
      <c r="B41" s="208"/>
      <c r="C41" s="208"/>
      <c r="D41" s="208"/>
      <c r="E41" s="208"/>
      <c r="F41" s="208"/>
      <c r="G41" s="208"/>
      <c r="H41" s="208"/>
      <c r="I41" s="208"/>
      <c r="J41" s="208"/>
      <c r="K41" s="208"/>
      <c r="L41" s="208"/>
      <c r="M41" s="208"/>
      <c r="N41" s="208"/>
      <c r="O41" s="208"/>
      <c r="P41" s="208"/>
      <c r="Q41" s="208"/>
      <c r="R41" s="208"/>
      <c r="S41" s="208"/>
      <c r="T41" s="208"/>
      <c r="U41" s="210"/>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208"/>
      <c r="AV41" s="208"/>
      <c r="AW41" s="208"/>
      <c r="AX41" s="208"/>
    </row>
    <row r="42" spans="1:50" ht="13.5" customHeight="1">
      <c r="A42" s="208"/>
      <c r="B42" s="208"/>
      <c r="C42" s="208"/>
      <c r="D42" s="208"/>
      <c r="E42" s="208"/>
      <c r="F42" s="208"/>
      <c r="G42" s="208"/>
      <c r="H42" s="208"/>
      <c r="I42" s="208"/>
      <c r="J42" s="208"/>
      <c r="K42" s="208"/>
      <c r="L42" s="208"/>
      <c r="M42" s="208"/>
      <c r="N42" s="208"/>
      <c r="O42" s="208"/>
      <c r="P42" s="208"/>
      <c r="Q42" s="208"/>
      <c r="R42" s="208"/>
      <c r="S42" s="208"/>
      <c r="T42" s="208"/>
      <c r="U42" s="210"/>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208"/>
      <c r="AV42" s="208"/>
      <c r="AW42" s="208"/>
      <c r="AX42" s="208"/>
    </row>
    <row r="43" spans="1:50" ht="13.5" customHeight="1">
      <c r="A43" s="208"/>
      <c r="B43" s="208"/>
      <c r="C43" s="208"/>
      <c r="D43" s="208"/>
      <c r="E43" s="208"/>
      <c r="F43" s="208"/>
      <c r="G43" s="208"/>
      <c r="H43" s="208"/>
      <c r="I43" s="208"/>
      <c r="J43" s="208"/>
      <c r="K43" s="208"/>
      <c r="L43" s="208"/>
      <c r="M43" s="208"/>
      <c r="N43" s="208"/>
      <c r="O43" s="208"/>
      <c r="P43" s="208"/>
      <c r="Q43" s="208"/>
      <c r="R43" s="208"/>
      <c r="S43" s="208"/>
      <c r="T43" s="208"/>
      <c r="U43" s="210"/>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208"/>
      <c r="AV43" s="208"/>
      <c r="AW43" s="208"/>
      <c r="AX43" s="208"/>
    </row>
    <row r="44" spans="1:50" ht="13.5" customHeight="1">
      <c r="A44" s="208"/>
      <c r="B44" s="208"/>
      <c r="C44" s="208"/>
      <c r="D44" s="208"/>
      <c r="E44" s="208"/>
      <c r="F44" s="208"/>
      <c r="G44" s="208"/>
      <c r="H44" s="208"/>
      <c r="I44" s="208"/>
      <c r="J44" s="208"/>
      <c r="K44" s="208"/>
      <c r="L44" s="208"/>
      <c r="M44" s="208"/>
      <c r="N44" s="208"/>
      <c r="O44" s="208"/>
      <c r="P44" s="208"/>
      <c r="Q44" s="208"/>
      <c r="R44" s="208"/>
      <c r="S44" s="208"/>
      <c r="T44" s="208"/>
      <c r="U44" s="210"/>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208"/>
      <c r="AV44" s="208"/>
      <c r="AW44" s="208"/>
      <c r="AX44" s="208"/>
    </row>
    <row r="45" spans="1:50" ht="13.5" customHeight="1">
      <c r="A45" s="208"/>
      <c r="B45" s="208"/>
      <c r="C45" s="208"/>
      <c r="D45" s="208"/>
      <c r="E45" s="208"/>
      <c r="F45" s="208"/>
      <c r="G45" s="208"/>
      <c r="H45" s="208"/>
      <c r="I45" s="208"/>
      <c r="J45" s="208"/>
      <c r="K45" s="208"/>
      <c r="L45" s="208"/>
      <c r="M45" s="208"/>
      <c r="N45" s="208"/>
      <c r="O45" s="208"/>
      <c r="P45" s="208"/>
      <c r="Q45" s="208"/>
      <c r="R45" s="208"/>
      <c r="S45" s="208"/>
      <c r="T45" s="208"/>
      <c r="U45" s="210"/>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208"/>
      <c r="AV45" s="208"/>
      <c r="AW45" s="208"/>
      <c r="AX45" s="208"/>
    </row>
    <row r="46" spans="1:50" ht="13.5" customHeight="1">
      <c r="A46" s="208"/>
      <c r="B46" s="208"/>
      <c r="C46" s="208"/>
      <c r="D46" s="208"/>
      <c r="E46" s="208"/>
      <c r="F46" s="208"/>
      <c r="G46" s="208"/>
      <c r="H46" s="208"/>
      <c r="I46" s="208"/>
      <c r="J46" s="208"/>
      <c r="K46" s="208"/>
      <c r="L46" s="208"/>
      <c r="M46" s="208"/>
      <c r="N46" s="208"/>
      <c r="O46" s="208"/>
      <c r="P46" s="208"/>
      <c r="Q46" s="208"/>
      <c r="R46" s="208"/>
      <c r="S46" s="208"/>
      <c r="T46" s="208"/>
      <c r="U46" s="210"/>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208"/>
      <c r="AV46" s="208"/>
      <c r="AW46" s="208"/>
      <c r="AX46" s="208"/>
    </row>
    <row r="47" spans="1:50" ht="13.5" customHeight="1">
      <c r="A47" s="208"/>
      <c r="B47" s="208"/>
      <c r="C47" s="208"/>
      <c r="D47" s="208"/>
      <c r="E47" s="208"/>
      <c r="F47" s="208"/>
      <c r="G47" s="208"/>
      <c r="H47" s="208"/>
      <c r="I47" s="208"/>
      <c r="J47" s="208"/>
      <c r="K47" s="208"/>
      <c r="L47" s="208"/>
      <c r="M47" s="208"/>
      <c r="N47" s="208"/>
      <c r="O47" s="208"/>
      <c r="P47" s="208"/>
      <c r="Q47" s="208"/>
      <c r="R47" s="208"/>
      <c r="S47" s="208"/>
      <c r="T47" s="208"/>
      <c r="U47" s="210"/>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208"/>
      <c r="AV47" s="208"/>
      <c r="AW47" s="208"/>
      <c r="AX47" s="208"/>
    </row>
    <row r="48" spans="1:50" ht="13.5" customHeight="1">
      <c r="A48" s="208"/>
      <c r="B48" s="208"/>
      <c r="C48" s="208"/>
      <c r="D48" s="208"/>
      <c r="E48" s="208"/>
      <c r="F48" s="208"/>
      <c r="G48" s="208"/>
      <c r="H48" s="208"/>
      <c r="I48" s="208"/>
      <c r="J48" s="208"/>
      <c r="K48" s="208"/>
      <c r="L48" s="208"/>
      <c r="M48" s="208"/>
      <c r="N48" s="208"/>
      <c r="O48" s="208"/>
      <c r="P48" s="208"/>
      <c r="Q48" s="208"/>
      <c r="R48" s="208"/>
      <c r="S48" s="208"/>
      <c r="T48" s="208"/>
      <c r="U48" s="210"/>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208"/>
      <c r="AV48" s="208"/>
      <c r="AW48" s="208"/>
      <c r="AX48" s="208"/>
    </row>
    <row r="49" spans="1:50" ht="13.5" customHeight="1">
      <c r="A49" s="208"/>
      <c r="B49" s="208"/>
      <c r="C49" s="208"/>
      <c r="D49" s="208"/>
      <c r="E49" s="208"/>
      <c r="F49" s="208"/>
      <c r="G49" s="208"/>
      <c r="H49" s="208"/>
      <c r="I49" s="208"/>
      <c r="J49" s="208"/>
      <c r="K49" s="208"/>
      <c r="L49" s="208"/>
      <c r="M49" s="208"/>
      <c r="N49" s="208"/>
      <c r="O49" s="208"/>
      <c r="P49" s="208"/>
      <c r="Q49" s="208"/>
      <c r="R49" s="208"/>
      <c r="S49" s="208"/>
      <c r="T49" s="208"/>
      <c r="U49" s="210"/>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208"/>
      <c r="AV49" s="208"/>
      <c r="AW49" s="208"/>
      <c r="AX49" s="208"/>
    </row>
    <row r="50" spans="1:50" ht="13.5" customHeight="1">
      <c r="A50" s="208"/>
      <c r="B50" s="208"/>
      <c r="C50" s="208"/>
      <c r="D50" s="208"/>
      <c r="E50" s="208"/>
      <c r="F50" s="208"/>
      <c r="G50" s="208"/>
      <c r="H50" s="208"/>
      <c r="I50" s="208"/>
      <c r="J50" s="208"/>
      <c r="K50" s="208"/>
      <c r="L50" s="208"/>
      <c r="M50" s="208"/>
      <c r="N50" s="208"/>
      <c r="O50" s="208"/>
      <c r="P50" s="208"/>
      <c r="Q50" s="208"/>
      <c r="R50" s="208"/>
      <c r="S50" s="208"/>
      <c r="T50" s="208"/>
      <c r="U50" s="210"/>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208"/>
      <c r="AV50" s="208"/>
      <c r="AW50" s="208"/>
      <c r="AX50" s="208"/>
    </row>
    <row r="51" spans="1:50" ht="13.5" customHeight="1">
      <c r="A51" s="208"/>
      <c r="B51" s="208"/>
      <c r="C51" s="208"/>
      <c r="D51" s="208"/>
      <c r="E51" s="208"/>
      <c r="F51" s="208"/>
      <c r="G51" s="208"/>
      <c r="H51" s="208"/>
      <c r="I51" s="208"/>
      <c r="J51" s="208"/>
      <c r="K51" s="208"/>
      <c r="L51" s="208"/>
      <c r="M51" s="208"/>
      <c r="N51" s="208"/>
      <c r="O51" s="208"/>
      <c r="P51" s="208"/>
      <c r="Q51" s="208"/>
      <c r="R51" s="208"/>
      <c r="S51" s="208"/>
      <c r="T51" s="208"/>
      <c r="U51" s="210"/>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208"/>
      <c r="AV51" s="208"/>
      <c r="AW51" s="208"/>
      <c r="AX51" s="208"/>
    </row>
    <row r="52" spans="1:50" ht="13.5" customHeight="1">
      <c r="A52" s="208"/>
      <c r="B52" s="208"/>
      <c r="C52" s="208"/>
      <c r="D52" s="208"/>
      <c r="E52" s="208"/>
      <c r="F52" s="208"/>
      <c r="G52" s="208"/>
      <c r="H52" s="208"/>
      <c r="I52" s="208"/>
      <c r="J52" s="208"/>
      <c r="K52" s="208"/>
      <c r="L52" s="208"/>
      <c r="M52" s="208"/>
      <c r="N52" s="208"/>
      <c r="O52" s="208"/>
      <c r="P52" s="208"/>
      <c r="Q52" s="208"/>
      <c r="R52" s="208"/>
      <c r="S52" s="208"/>
      <c r="T52" s="208"/>
      <c r="U52" s="210"/>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208"/>
      <c r="AV52" s="208"/>
      <c r="AW52" s="208"/>
      <c r="AX52" s="208"/>
    </row>
    <row r="53" spans="1:50" ht="13.5" customHeight="1">
      <c r="A53" s="208"/>
      <c r="B53" s="208"/>
      <c r="C53" s="208"/>
      <c r="D53" s="208"/>
      <c r="E53" s="208"/>
      <c r="F53" s="208"/>
      <c r="G53" s="208"/>
      <c r="H53" s="208"/>
      <c r="I53" s="208"/>
      <c r="J53" s="208"/>
      <c r="K53" s="208"/>
      <c r="L53" s="208"/>
      <c r="M53" s="208"/>
      <c r="N53" s="208"/>
      <c r="O53" s="208"/>
      <c r="P53" s="208"/>
      <c r="Q53" s="208"/>
      <c r="R53" s="208"/>
      <c r="S53" s="208"/>
      <c r="T53" s="208"/>
      <c r="U53" s="210"/>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208"/>
      <c r="AV53" s="208"/>
      <c r="AW53" s="208"/>
      <c r="AX53" s="208"/>
    </row>
    <row r="54" spans="1:50" ht="13.5" customHeight="1">
      <c r="A54" s="208"/>
      <c r="B54" s="208"/>
      <c r="C54" s="208"/>
      <c r="D54" s="208"/>
      <c r="E54" s="208"/>
      <c r="F54" s="208"/>
      <c r="G54" s="208"/>
      <c r="H54" s="208"/>
      <c r="I54" s="208"/>
      <c r="J54" s="208"/>
      <c r="K54" s="208"/>
      <c r="L54" s="208"/>
      <c r="M54" s="208"/>
      <c r="N54" s="208"/>
      <c r="O54" s="208"/>
      <c r="P54" s="208"/>
      <c r="Q54" s="208"/>
      <c r="R54" s="208"/>
      <c r="S54" s="208"/>
      <c r="T54" s="208"/>
      <c r="U54" s="210"/>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208"/>
      <c r="AV54" s="208"/>
      <c r="AW54" s="208"/>
      <c r="AX54" s="208"/>
    </row>
    <row r="55" spans="1:50" ht="13.5" customHeight="1">
      <c r="A55" s="208"/>
      <c r="B55" s="208"/>
      <c r="C55" s="208"/>
      <c r="D55" s="208"/>
      <c r="E55" s="208"/>
      <c r="F55" s="208"/>
      <c r="G55" s="208"/>
      <c r="H55" s="208"/>
      <c r="I55" s="208"/>
      <c r="J55" s="208"/>
      <c r="K55" s="208"/>
      <c r="L55" s="208"/>
      <c r="M55" s="208"/>
      <c r="N55" s="208"/>
      <c r="O55" s="208"/>
      <c r="P55" s="208"/>
      <c r="Q55" s="208"/>
      <c r="R55" s="208"/>
      <c r="S55" s="208"/>
      <c r="T55" s="208"/>
      <c r="U55" s="210"/>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208"/>
      <c r="AV55" s="208"/>
      <c r="AW55" s="208"/>
      <c r="AX55" s="208"/>
    </row>
    <row r="56" spans="1:50" ht="13.5" customHeight="1">
      <c r="A56" s="208"/>
      <c r="B56" s="208"/>
      <c r="C56" s="208"/>
      <c r="D56" s="208"/>
      <c r="E56" s="208"/>
      <c r="F56" s="208"/>
      <c r="G56" s="208"/>
      <c r="H56" s="208"/>
      <c r="I56" s="208"/>
      <c r="J56" s="208"/>
      <c r="K56" s="208"/>
      <c r="L56" s="208"/>
      <c r="M56" s="208"/>
      <c r="N56" s="208"/>
      <c r="O56" s="208"/>
      <c r="P56" s="208"/>
      <c r="Q56" s="208"/>
      <c r="R56" s="208"/>
      <c r="S56" s="208"/>
      <c r="T56" s="208"/>
      <c r="U56" s="210"/>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208"/>
      <c r="AV56" s="208"/>
      <c r="AW56" s="208"/>
      <c r="AX56" s="208"/>
    </row>
    <row r="57" spans="1:50" ht="13.5" customHeight="1">
      <c r="A57" s="208"/>
      <c r="B57" s="208"/>
      <c r="C57" s="208"/>
      <c r="D57" s="208"/>
      <c r="E57" s="208"/>
      <c r="F57" s="208"/>
      <c r="G57" s="208"/>
      <c r="H57" s="208"/>
      <c r="I57" s="208"/>
      <c r="J57" s="208"/>
      <c r="K57" s="208"/>
      <c r="L57" s="208"/>
      <c r="M57" s="208"/>
      <c r="N57" s="208"/>
      <c r="O57" s="208"/>
      <c r="P57" s="208"/>
      <c r="Q57" s="208"/>
      <c r="R57" s="208"/>
      <c r="S57" s="208"/>
      <c r="T57" s="208"/>
      <c r="U57" s="210"/>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208"/>
      <c r="AV57" s="208"/>
      <c r="AW57" s="208"/>
      <c r="AX57" s="208"/>
    </row>
    <row r="58" spans="1:50" ht="13.5" customHeight="1">
      <c r="A58" s="208"/>
      <c r="B58" s="208"/>
      <c r="C58" s="208"/>
      <c r="D58" s="208"/>
      <c r="E58" s="208"/>
      <c r="F58" s="208"/>
      <c r="G58" s="208"/>
      <c r="H58" s="208"/>
      <c r="I58" s="208"/>
      <c r="J58" s="208"/>
      <c r="K58" s="208"/>
      <c r="L58" s="208"/>
      <c r="M58" s="208"/>
      <c r="N58" s="208"/>
      <c r="O58" s="208"/>
      <c r="P58" s="208"/>
      <c r="Q58" s="208"/>
      <c r="R58" s="208"/>
      <c r="S58" s="208"/>
      <c r="T58" s="208"/>
      <c r="U58" s="210"/>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208"/>
      <c r="AV58" s="208"/>
      <c r="AW58" s="208"/>
      <c r="AX58" s="208"/>
    </row>
    <row r="59" spans="1:50" ht="13.5" customHeight="1">
      <c r="A59" s="208"/>
      <c r="B59" s="208"/>
      <c r="C59" s="208"/>
      <c r="D59" s="208"/>
      <c r="E59" s="208"/>
      <c r="F59" s="208"/>
      <c r="G59" s="208"/>
      <c r="H59" s="208"/>
      <c r="I59" s="208"/>
      <c r="J59" s="208"/>
      <c r="K59" s="208"/>
      <c r="L59" s="208"/>
      <c r="M59" s="208"/>
      <c r="N59" s="208"/>
      <c r="O59" s="208"/>
      <c r="P59" s="208"/>
      <c r="Q59" s="208"/>
      <c r="R59" s="208"/>
      <c r="S59" s="208"/>
      <c r="T59" s="208"/>
      <c r="U59" s="210"/>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208"/>
      <c r="AV59" s="208"/>
      <c r="AW59" s="208"/>
      <c r="AX59" s="208"/>
    </row>
    <row r="60" spans="1:50" ht="13.5" customHeight="1">
      <c r="A60" s="208"/>
      <c r="B60" s="208"/>
      <c r="C60" s="208"/>
      <c r="D60" s="208"/>
      <c r="E60" s="208"/>
      <c r="F60" s="208"/>
      <c r="G60" s="208"/>
      <c r="H60" s="208"/>
      <c r="I60" s="208"/>
      <c r="J60" s="208"/>
      <c r="K60" s="208"/>
      <c r="L60" s="208"/>
      <c r="M60" s="208"/>
      <c r="N60" s="208"/>
      <c r="O60" s="208"/>
      <c r="P60" s="208"/>
      <c r="Q60" s="208"/>
      <c r="R60" s="208"/>
      <c r="S60" s="208"/>
      <c r="T60" s="208"/>
      <c r="U60" s="210"/>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208"/>
      <c r="AV60" s="208"/>
      <c r="AW60" s="208"/>
      <c r="AX60" s="208"/>
    </row>
    <row r="61" spans="1:50" ht="13.5" customHeight="1">
      <c r="A61" s="208"/>
      <c r="B61" s="208"/>
      <c r="C61" s="208"/>
      <c r="D61" s="208"/>
      <c r="E61" s="208"/>
      <c r="F61" s="208"/>
      <c r="G61" s="208"/>
      <c r="H61" s="208"/>
      <c r="I61" s="208"/>
      <c r="J61" s="208"/>
      <c r="K61" s="208"/>
      <c r="L61" s="208"/>
      <c r="M61" s="208"/>
      <c r="N61" s="208"/>
      <c r="O61" s="208"/>
      <c r="P61" s="208"/>
      <c r="Q61" s="208"/>
      <c r="R61" s="208"/>
      <c r="S61" s="208"/>
      <c r="T61" s="208"/>
      <c r="U61" s="210"/>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208"/>
      <c r="AV61" s="208"/>
      <c r="AW61" s="208"/>
      <c r="AX61" s="208"/>
    </row>
    <row r="62" spans="1:50" ht="13.5" customHeight="1">
      <c r="A62" s="208"/>
      <c r="B62" s="208"/>
      <c r="C62" s="208"/>
      <c r="D62" s="208"/>
      <c r="E62" s="208"/>
      <c r="F62" s="208"/>
      <c r="G62" s="208"/>
      <c r="H62" s="208"/>
      <c r="I62" s="208"/>
      <c r="J62" s="208"/>
      <c r="K62" s="208"/>
      <c r="L62" s="208"/>
      <c r="M62" s="208"/>
      <c r="N62" s="208"/>
      <c r="O62" s="208"/>
      <c r="P62" s="208"/>
      <c r="Q62" s="208"/>
      <c r="R62" s="208"/>
      <c r="S62" s="208"/>
      <c r="T62" s="208"/>
      <c r="U62" s="210"/>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208"/>
      <c r="AV62" s="208"/>
      <c r="AW62" s="208"/>
      <c r="AX62" s="208"/>
    </row>
    <row r="63" spans="1:50" ht="13.5" customHeight="1">
      <c r="A63" s="208"/>
      <c r="B63" s="208"/>
      <c r="C63" s="208"/>
      <c r="D63" s="208"/>
      <c r="E63" s="208"/>
      <c r="F63" s="208"/>
      <c r="G63" s="208"/>
      <c r="H63" s="208"/>
      <c r="I63" s="208"/>
      <c r="J63" s="208"/>
      <c r="K63" s="208"/>
      <c r="L63" s="208"/>
      <c r="M63" s="208"/>
      <c r="N63" s="208"/>
      <c r="O63" s="208"/>
      <c r="P63" s="208"/>
      <c r="Q63" s="208"/>
      <c r="R63" s="208"/>
      <c r="S63" s="208"/>
      <c r="T63" s="208"/>
      <c r="U63" s="210"/>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208"/>
      <c r="AV63" s="208"/>
      <c r="AW63" s="208"/>
      <c r="AX63" s="208"/>
    </row>
    <row r="64" spans="1:50" ht="13.5" customHeight="1">
      <c r="A64" s="208"/>
      <c r="B64" s="208"/>
      <c r="C64" s="208"/>
      <c r="D64" s="208"/>
      <c r="E64" s="208"/>
      <c r="F64" s="208"/>
      <c r="G64" s="208"/>
      <c r="H64" s="208"/>
      <c r="I64" s="208"/>
      <c r="J64" s="208"/>
      <c r="K64" s="208"/>
      <c r="L64" s="208"/>
      <c r="M64" s="208"/>
      <c r="N64" s="208"/>
      <c r="O64" s="208"/>
      <c r="P64" s="208"/>
      <c r="Q64" s="208"/>
      <c r="R64" s="208"/>
      <c r="S64" s="208"/>
      <c r="T64" s="208"/>
      <c r="U64" s="210"/>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208"/>
      <c r="AV64" s="208"/>
      <c r="AW64" s="208"/>
      <c r="AX64" s="208"/>
    </row>
    <row r="65" spans="1:50" ht="13.5" customHeight="1">
      <c r="A65" s="208"/>
      <c r="B65" s="208"/>
      <c r="C65" s="208"/>
      <c r="D65" s="208"/>
      <c r="E65" s="208"/>
      <c r="F65" s="208"/>
      <c r="G65" s="208"/>
      <c r="H65" s="208"/>
      <c r="I65" s="208"/>
      <c r="J65" s="208"/>
      <c r="K65" s="208"/>
      <c r="L65" s="208"/>
      <c r="M65" s="208"/>
      <c r="N65" s="208"/>
      <c r="O65" s="208"/>
      <c r="P65" s="208"/>
      <c r="Q65" s="208"/>
      <c r="R65" s="208"/>
      <c r="S65" s="208"/>
      <c r="T65" s="208"/>
      <c r="U65" s="210"/>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208"/>
      <c r="AV65" s="208"/>
      <c r="AW65" s="208"/>
      <c r="AX65" s="208"/>
    </row>
    <row r="66" spans="1:50" ht="13.5" customHeight="1">
      <c r="A66" s="208"/>
      <c r="B66" s="208"/>
      <c r="C66" s="208"/>
      <c r="D66" s="208"/>
      <c r="E66" s="208"/>
      <c r="F66" s="208"/>
      <c r="G66" s="208"/>
      <c r="H66" s="208"/>
      <c r="I66" s="208"/>
      <c r="J66" s="208"/>
      <c r="K66" s="208"/>
      <c r="L66" s="208"/>
      <c r="M66" s="208"/>
      <c r="N66" s="208"/>
      <c r="O66" s="208"/>
      <c r="P66" s="208"/>
      <c r="Q66" s="208"/>
      <c r="R66" s="208"/>
      <c r="S66" s="208"/>
      <c r="T66" s="208"/>
      <c r="U66" s="210"/>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208"/>
      <c r="AV66" s="208"/>
      <c r="AW66" s="208"/>
      <c r="AX66" s="208"/>
    </row>
    <row r="67" spans="1:50" ht="13.5" customHeight="1">
      <c r="A67" s="208"/>
      <c r="B67" s="208"/>
      <c r="C67" s="208"/>
      <c r="D67" s="208"/>
      <c r="E67" s="208"/>
      <c r="F67" s="208"/>
      <c r="G67" s="208"/>
      <c r="H67" s="208"/>
      <c r="I67" s="208"/>
      <c r="J67" s="208"/>
      <c r="K67" s="208"/>
      <c r="L67" s="208"/>
      <c r="M67" s="208"/>
      <c r="N67" s="208"/>
      <c r="O67" s="208"/>
      <c r="P67" s="208"/>
      <c r="Q67" s="208"/>
      <c r="R67" s="208"/>
      <c r="S67" s="208"/>
      <c r="T67" s="208"/>
      <c r="U67" s="210"/>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208"/>
      <c r="AV67" s="208"/>
      <c r="AW67" s="208"/>
      <c r="AX67" s="208"/>
    </row>
    <row r="68" spans="1:50" ht="13.5" customHeight="1">
      <c r="A68" s="208"/>
      <c r="B68" s="208"/>
      <c r="C68" s="208"/>
      <c r="D68" s="208"/>
      <c r="E68" s="208"/>
      <c r="F68" s="208"/>
      <c r="G68" s="208"/>
      <c r="H68" s="208"/>
      <c r="I68" s="208"/>
      <c r="J68" s="208"/>
      <c r="K68" s="208"/>
      <c r="L68" s="208"/>
      <c r="M68" s="208"/>
      <c r="N68" s="208"/>
      <c r="O68" s="208"/>
      <c r="P68" s="208"/>
      <c r="Q68" s="208"/>
      <c r="R68" s="208"/>
      <c r="S68" s="208"/>
      <c r="T68" s="208"/>
      <c r="U68" s="210"/>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208"/>
      <c r="AV68" s="208"/>
      <c r="AW68" s="208"/>
      <c r="AX68" s="208"/>
    </row>
    <row r="69" spans="1:50" ht="13.5" customHeight="1">
      <c r="A69" s="208"/>
      <c r="B69" s="208"/>
      <c r="C69" s="208"/>
      <c r="D69" s="208"/>
      <c r="E69" s="208"/>
      <c r="F69" s="208"/>
      <c r="G69" s="208"/>
      <c r="H69" s="208"/>
      <c r="I69" s="208"/>
      <c r="J69" s="208"/>
      <c r="K69" s="208"/>
      <c r="L69" s="208"/>
      <c r="M69" s="208"/>
      <c r="N69" s="208"/>
      <c r="O69" s="208"/>
      <c r="P69" s="208"/>
      <c r="Q69" s="208"/>
      <c r="R69" s="208"/>
      <c r="S69" s="208"/>
      <c r="T69" s="208"/>
      <c r="U69" s="210"/>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208"/>
      <c r="AV69" s="208"/>
      <c r="AW69" s="208"/>
      <c r="AX69" s="208"/>
    </row>
    <row r="70" spans="1:50" ht="13.5" customHeight="1">
      <c r="A70" s="208"/>
      <c r="B70" s="208"/>
      <c r="C70" s="208"/>
      <c r="D70" s="208"/>
      <c r="E70" s="208"/>
      <c r="F70" s="208"/>
      <c r="G70" s="208"/>
      <c r="H70" s="208"/>
      <c r="I70" s="208"/>
      <c r="J70" s="208"/>
      <c r="K70" s="208"/>
      <c r="L70" s="208"/>
      <c r="M70" s="208"/>
      <c r="N70" s="208"/>
      <c r="O70" s="208"/>
      <c r="P70" s="208"/>
      <c r="Q70" s="208"/>
      <c r="R70" s="208"/>
      <c r="S70" s="208"/>
      <c r="T70" s="208"/>
      <c r="U70" s="210"/>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208"/>
      <c r="AV70" s="208"/>
      <c r="AW70" s="208"/>
      <c r="AX70" s="208"/>
    </row>
    <row r="71" spans="1:50" ht="13.5" customHeight="1">
      <c r="A71" s="208"/>
      <c r="B71" s="208"/>
      <c r="C71" s="208"/>
      <c r="D71" s="208"/>
      <c r="E71" s="208"/>
      <c r="F71" s="208"/>
      <c r="G71" s="208"/>
      <c r="H71" s="208"/>
      <c r="I71" s="208"/>
      <c r="J71" s="208"/>
      <c r="K71" s="208"/>
      <c r="L71" s="208"/>
      <c r="M71" s="208"/>
      <c r="N71" s="208"/>
      <c r="O71" s="208"/>
      <c r="P71" s="208"/>
      <c r="Q71" s="208"/>
      <c r="R71" s="208"/>
      <c r="S71" s="208"/>
      <c r="T71" s="208"/>
      <c r="U71" s="210"/>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208"/>
      <c r="AV71" s="208"/>
      <c r="AW71" s="208"/>
      <c r="AX71" s="208"/>
    </row>
    <row r="72" spans="1:50" ht="13.5" customHeight="1">
      <c r="A72" s="208"/>
      <c r="B72" s="208"/>
      <c r="C72" s="208"/>
      <c r="D72" s="208"/>
      <c r="E72" s="208"/>
      <c r="F72" s="208"/>
      <c r="G72" s="208"/>
      <c r="H72" s="208"/>
      <c r="I72" s="208"/>
      <c r="J72" s="208"/>
      <c r="K72" s="208"/>
      <c r="L72" s="208"/>
      <c r="M72" s="208"/>
      <c r="N72" s="208"/>
      <c r="O72" s="208"/>
      <c r="P72" s="208"/>
      <c r="Q72" s="208"/>
      <c r="R72" s="208"/>
      <c r="S72" s="208"/>
      <c r="T72" s="208"/>
      <c r="U72" s="210"/>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208"/>
      <c r="AV72" s="208"/>
      <c r="AW72" s="208"/>
      <c r="AX72" s="208"/>
    </row>
    <row r="73" spans="1:50" ht="13.5" customHeight="1">
      <c r="A73" s="208"/>
      <c r="B73" s="208"/>
      <c r="C73" s="208"/>
      <c r="D73" s="208"/>
      <c r="E73" s="208"/>
      <c r="F73" s="208"/>
      <c r="G73" s="208"/>
      <c r="H73" s="208"/>
      <c r="I73" s="208"/>
      <c r="J73" s="208"/>
      <c r="K73" s="208"/>
      <c r="L73" s="208"/>
      <c r="M73" s="208"/>
      <c r="N73" s="208"/>
      <c r="O73" s="208"/>
      <c r="P73" s="208"/>
      <c r="Q73" s="208"/>
      <c r="R73" s="208"/>
      <c r="S73" s="208"/>
      <c r="T73" s="208"/>
      <c r="U73" s="210"/>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208"/>
      <c r="AV73" s="208"/>
      <c r="AW73" s="208"/>
      <c r="AX73" s="208"/>
    </row>
    <row r="74" spans="1:50" ht="13.5" customHeight="1">
      <c r="A74" s="208"/>
      <c r="B74" s="208"/>
      <c r="C74" s="208"/>
      <c r="D74" s="208"/>
      <c r="E74" s="208"/>
      <c r="F74" s="208"/>
      <c r="G74" s="208"/>
      <c r="H74" s="208"/>
      <c r="I74" s="208"/>
      <c r="J74" s="208"/>
      <c r="K74" s="208"/>
      <c r="L74" s="208"/>
      <c r="M74" s="208"/>
      <c r="N74" s="208"/>
      <c r="O74" s="208"/>
      <c r="P74" s="208"/>
      <c r="Q74" s="208"/>
      <c r="R74" s="208"/>
      <c r="S74" s="208"/>
      <c r="T74" s="208"/>
      <c r="U74" s="210"/>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208"/>
      <c r="AV74" s="208"/>
      <c r="AW74" s="208"/>
      <c r="AX74" s="208"/>
    </row>
    <row r="75" spans="1:50" ht="13.5" customHeight="1">
      <c r="A75" s="208"/>
      <c r="B75" s="208"/>
      <c r="C75" s="208"/>
      <c r="D75" s="208"/>
      <c r="E75" s="208"/>
      <c r="F75" s="208"/>
      <c r="G75" s="208"/>
      <c r="H75" s="208"/>
      <c r="I75" s="208"/>
      <c r="J75" s="208"/>
      <c r="K75" s="208"/>
      <c r="L75" s="208"/>
      <c r="M75" s="208"/>
      <c r="N75" s="208"/>
      <c r="O75" s="208"/>
      <c r="P75" s="208"/>
      <c r="Q75" s="208"/>
      <c r="R75" s="208"/>
      <c r="S75" s="208"/>
      <c r="T75" s="208"/>
      <c r="U75" s="210"/>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208"/>
      <c r="AV75" s="208"/>
      <c r="AW75" s="208"/>
      <c r="AX75" s="208"/>
    </row>
    <row r="76" spans="1:50" ht="13.5" customHeight="1">
      <c r="A76" s="208"/>
      <c r="B76" s="208"/>
      <c r="C76" s="208"/>
      <c r="D76" s="208"/>
      <c r="E76" s="208"/>
      <c r="F76" s="208"/>
      <c r="G76" s="208"/>
      <c r="H76" s="208"/>
      <c r="I76" s="208"/>
      <c r="J76" s="208"/>
      <c r="K76" s="208"/>
      <c r="L76" s="208"/>
      <c r="M76" s="208"/>
      <c r="N76" s="208"/>
      <c r="O76" s="208"/>
      <c r="P76" s="208"/>
      <c r="Q76" s="208"/>
      <c r="R76" s="208"/>
      <c r="S76" s="208"/>
      <c r="T76" s="208"/>
      <c r="U76" s="210"/>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208"/>
      <c r="AV76" s="208"/>
      <c r="AW76" s="208"/>
      <c r="AX76" s="208"/>
    </row>
    <row r="77" spans="1:50" ht="13.5" customHeight="1">
      <c r="A77" s="208"/>
      <c r="B77" s="208"/>
      <c r="C77" s="208"/>
      <c r="D77" s="208"/>
      <c r="E77" s="208"/>
      <c r="F77" s="208"/>
      <c r="G77" s="208"/>
      <c r="H77" s="208"/>
      <c r="I77" s="208"/>
      <c r="J77" s="208"/>
      <c r="K77" s="208"/>
      <c r="L77" s="208"/>
      <c r="M77" s="208"/>
      <c r="N77" s="208"/>
      <c r="O77" s="208"/>
      <c r="P77" s="208"/>
      <c r="Q77" s="208"/>
      <c r="R77" s="208"/>
      <c r="S77" s="208"/>
      <c r="T77" s="208"/>
      <c r="U77" s="210"/>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208"/>
      <c r="AV77" s="208"/>
      <c r="AW77" s="208"/>
      <c r="AX77" s="208"/>
    </row>
    <row r="78" spans="1:50" ht="13.5" customHeight="1">
      <c r="A78" s="208"/>
      <c r="B78" s="208"/>
      <c r="C78" s="208"/>
      <c r="D78" s="208"/>
      <c r="E78" s="208"/>
      <c r="F78" s="208"/>
      <c r="G78" s="208"/>
      <c r="H78" s="208"/>
      <c r="I78" s="208"/>
      <c r="J78" s="208"/>
      <c r="K78" s="208"/>
      <c r="L78" s="208"/>
      <c r="M78" s="208"/>
      <c r="N78" s="208"/>
      <c r="O78" s="208"/>
      <c r="P78" s="208"/>
      <c r="Q78" s="208"/>
      <c r="R78" s="208"/>
      <c r="S78" s="208"/>
      <c r="T78" s="208"/>
      <c r="U78" s="210"/>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208"/>
      <c r="AV78" s="208"/>
      <c r="AW78" s="208"/>
      <c r="AX78" s="208"/>
    </row>
    <row r="79" spans="1:50" ht="13.5" customHeight="1">
      <c r="A79" s="208"/>
      <c r="B79" s="208"/>
      <c r="C79" s="208"/>
      <c r="D79" s="208"/>
      <c r="E79" s="208"/>
      <c r="F79" s="208"/>
      <c r="G79" s="208"/>
      <c r="H79" s="208"/>
      <c r="I79" s="208"/>
      <c r="J79" s="208"/>
      <c r="K79" s="208"/>
      <c r="L79" s="208"/>
      <c r="M79" s="208"/>
      <c r="N79" s="208"/>
      <c r="O79" s="208"/>
      <c r="P79" s="208"/>
      <c r="Q79" s="208"/>
      <c r="R79" s="208"/>
      <c r="S79" s="208"/>
      <c r="T79" s="208"/>
      <c r="U79" s="210"/>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208"/>
      <c r="AV79" s="208"/>
      <c r="AW79" s="208"/>
      <c r="AX79" s="208"/>
    </row>
    <row r="80" spans="1:50" ht="13.5" customHeight="1">
      <c r="A80" s="208"/>
      <c r="B80" s="208"/>
      <c r="C80" s="208"/>
      <c r="D80" s="208"/>
      <c r="E80" s="208"/>
      <c r="F80" s="208"/>
      <c r="G80" s="208"/>
      <c r="H80" s="208"/>
      <c r="I80" s="208"/>
      <c r="J80" s="208"/>
      <c r="K80" s="208"/>
      <c r="L80" s="208"/>
      <c r="M80" s="208"/>
      <c r="N80" s="208"/>
      <c r="O80" s="208"/>
      <c r="P80" s="208"/>
      <c r="Q80" s="208"/>
      <c r="R80" s="208"/>
      <c r="S80" s="208"/>
      <c r="T80" s="208"/>
      <c r="U80" s="210"/>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208"/>
      <c r="AV80" s="208"/>
      <c r="AW80" s="208"/>
      <c r="AX80" s="208"/>
    </row>
    <row r="81" spans="1:50" ht="13.5" customHeight="1">
      <c r="A81" s="208"/>
      <c r="B81" s="208"/>
      <c r="C81" s="208"/>
      <c r="D81" s="208"/>
      <c r="E81" s="208"/>
      <c r="F81" s="208"/>
      <c r="G81" s="208"/>
      <c r="H81" s="208"/>
      <c r="I81" s="208"/>
      <c r="J81" s="208"/>
      <c r="K81" s="208"/>
      <c r="L81" s="208"/>
      <c r="M81" s="208"/>
      <c r="N81" s="208"/>
      <c r="O81" s="208"/>
      <c r="P81" s="208"/>
      <c r="Q81" s="208"/>
      <c r="R81" s="208"/>
      <c r="S81" s="208"/>
      <c r="T81" s="208"/>
      <c r="U81" s="210"/>
      <c r="V81" s="309"/>
      <c r="W81" s="309"/>
      <c r="X81" s="309"/>
      <c r="Y81" s="309"/>
      <c r="Z81" s="309"/>
      <c r="AA81" s="309"/>
      <c r="AB81" s="309"/>
      <c r="AC81" s="309"/>
      <c r="AD81" s="309"/>
      <c r="AE81" s="309"/>
      <c r="AF81" s="309"/>
      <c r="AG81" s="309"/>
      <c r="AH81" s="309"/>
      <c r="AI81" s="309"/>
      <c r="AJ81" s="309"/>
      <c r="AK81" s="309"/>
      <c r="AL81" s="309"/>
      <c r="AM81" s="309"/>
      <c r="AN81" s="309"/>
      <c r="AO81" s="309"/>
      <c r="AP81" s="309"/>
      <c r="AQ81" s="309"/>
      <c r="AR81" s="309"/>
      <c r="AS81" s="309"/>
      <c r="AT81" s="309"/>
      <c r="AU81" s="208"/>
      <c r="AV81" s="208"/>
      <c r="AW81" s="208"/>
      <c r="AX81" s="208"/>
    </row>
    <row r="82" spans="1:50" ht="13.5" customHeight="1">
      <c r="A82" s="208"/>
      <c r="B82" s="208"/>
      <c r="C82" s="208"/>
      <c r="D82" s="208"/>
      <c r="E82" s="208"/>
      <c r="F82" s="208"/>
      <c r="G82" s="208"/>
      <c r="H82" s="208"/>
      <c r="I82" s="208"/>
      <c r="J82" s="208"/>
      <c r="K82" s="208"/>
      <c r="L82" s="208"/>
      <c r="M82" s="208"/>
      <c r="N82" s="208"/>
      <c r="O82" s="208"/>
      <c r="P82" s="208"/>
      <c r="Q82" s="208"/>
      <c r="R82" s="208"/>
      <c r="S82" s="208"/>
      <c r="T82" s="208"/>
      <c r="U82" s="210"/>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208"/>
      <c r="AV82" s="208"/>
      <c r="AW82" s="208"/>
      <c r="AX82" s="208"/>
    </row>
    <row r="83" spans="1:50" ht="13.5" customHeight="1">
      <c r="A83" s="208"/>
      <c r="B83" s="208"/>
      <c r="C83" s="208"/>
      <c r="D83" s="208"/>
      <c r="E83" s="208"/>
      <c r="F83" s="208"/>
      <c r="G83" s="208"/>
      <c r="H83" s="208"/>
      <c r="I83" s="208"/>
      <c r="J83" s="208"/>
      <c r="K83" s="208"/>
      <c r="L83" s="208"/>
      <c r="M83" s="208"/>
      <c r="N83" s="208"/>
      <c r="O83" s="208"/>
      <c r="P83" s="208"/>
      <c r="Q83" s="208"/>
      <c r="R83" s="208"/>
      <c r="S83" s="208"/>
      <c r="T83" s="208"/>
      <c r="U83" s="210"/>
      <c r="V83" s="309"/>
      <c r="W83" s="309"/>
      <c r="X83" s="309"/>
      <c r="Y83" s="309"/>
      <c r="Z83" s="309"/>
      <c r="AA83" s="309"/>
      <c r="AB83" s="309"/>
      <c r="AC83" s="309"/>
      <c r="AD83" s="309"/>
      <c r="AE83" s="309"/>
      <c r="AF83" s="309"/>
      <c r="AG83" s="309"/>
      <c r="AH83" s="309"/>
      <c r="AI83" s="309"/>
      <c r="AJ83" s="309"/>
      <c r="AK83" s="309"/>
      <c r="AL83" s="309"/>
      <c r="AM83" s="309"/>
      <c r="AN83" s="309"/>
      <c r="AO83" s="309"/>
      <c r="AP83" s="309"/>
      <c r="AQ83" s="309"/>
      <c r="AR83" s="309"/>
      <c r="AS83" s="309"/>
      <c r="AT83" s="309"/>
      <c r="AU83" s="208"/>
      <c r="AV83" s="208"/>
      <c r="AW83" s="208"/>
      <c r="AX83" s="208"/>
    </row>
    <row r="84" spans="1:50" ht="13.5" customHeight="1">
      <c r="A84" s="208"/>
      <c r="B84" s="208"/>
      <c r="C84" s="208"/>
      <c r="D84" s="208"/>
      <c r="E84" s="208"/>
      <c r="F84" s="208"/>
      <c r="G84" s="208"/>
      <c r="H84" s="208"/>
      <c r="I84" s="208"/>
      <c r="J84" s="208"/>
      <c r="K84" s="208"/>
      <c r="L84" s="208"/>
      <c r="M84" s="208"/>
      <c r="N84" s="208"/>
      <c r="O84" s="208"/>
      <c r="P84" s="208"/>
      <c r="Q84" s="208"/>
      <c r="R84" s="208"/>
      <c r="S84" s="208"/>
      <c r="T84" s="208"/>
      <c r="U84" s="210"/>
      <c r="V84" s="309"/>
      <c r="W84" s="309"/>
      <c r="X84" s="309"/>
      <c r="Y84" s="309"/>
      <c r="Z84" s="309"/>
      <c r="AA84" s="309"/>
      <c r="AB84" s="309"/>
      <c r="AC84" s="309"/>
      <c r="AD84" s="309"/>
      <c r="AE84" s="309"/>
      <c r="AF84" s="309"/>
      <c r="AG84" s="309"/>
      <c r="AH84" s="309"/>
      <c r="AI84" s="309"/>
      <c r="AJ84" s="309"/>
      <c r="AK84" s="309"/>
      <c r="AL84" s="309"/>
      <c r="AM84" s="309"/>
      <c r="AN84" s="309"/>
      <c r="AO84" s="309"/>
      <c r="AP84" s="309"/>
      <c r="AQ84" s="309"/>
      <c r="AR84" s="309"/>
      <c r="AS84" s="309"/>
      <c r="AT84" s="309"/>
      <c r="AU84" s="208"/>
      <c r="AV84" s="208"/>
      <c r="AW84" s="208"/>
      <c r="AX84" s="208"/>
    </row>
    <row r="85" spans="1:50" ht="13.5" customHeight="1">
      <c r="A85" s="208"/>
      <c r="B85" s="208"/>
      <c r="C85" s="208"/>
      <c r="D85" s="208"/>
      <c r="E85" s="208"/>
      <c r="F85" s="208"/>
      <c r="G85" s="208"/>
      <c r="H85" s="208"/>
      <c r="I85" s="208"/>
      <c r="J85" s="208"/>
      <c r="K85" s="208"/>
      <c r="L85" s="208"/>
      <c r="M85" s="208"/>
      <c r="N85" s="208"/>
      <c r="O85" s="208"/>
      <c r="P85" s="208"/>
      <c r="Q85" s="208"/>
      <c r="R85" s="208"/>
      <c r="S85" s="208"/>
      <c r="T85" s="208"/>
      <c r="U85" s="210"/>
      <c r="V85" s="309"/>
      <c r="W85" s="309"/>
      <c r="X85" s="309"/>
      <c r="Y85" s="309"/>
      <c r="Z85" s="309"/>
      <c r="AA85" s="309"/>
      <c r="AB85" s="309"/>
      <c r="AC85" s="309"/>
      <c r="AD85" s="309"/>
      <c r="AE85" s="309"/>
      <c r="AF85" s="309"/>
      <c r="AG85" s="309"/>
      <c r="AH85" s="309"/>
      <c r="AI85" s="309"/>
      <c r="AJ85" s="309"/>
      <c r="AK85" s="309"/>
      <c r="AL85" s="309"/>
      <c r="AM85" s="309"/>
      <c r="AN85" s="309"/>
      <c r="AO85" s="309"/>
      <c r="AP85" s="309"/>
      <c r="AQ85" s="309"/>
      <c r="AR85" s="309"/>
      <c r="AS85" s="309"/>
      <c r="AT85" s="309"/>
      <c r="AU85" s="208"/>
      <c r="AV85" s="208"/>
      <c r="AW85" s="208"/>
      <c r="AX85" s="208"/>
    </row>
    <row r="86" spans="1:50" ht="13.5" customHeight="1">
      <c r="A86" s="208"/>
      <c r="B86" s="208"/>
      <c r="C86" s="208"/>
      <c r="D86" s="208"/>
      <c r="E86" s="208"/>
      <c r="F86" s="208"/>
      <c r="G86" s="208"/>
      <c r="H86" s="208"/>
      <c r="I86" s="208"/>
      <c r="J86" s="208"/>
      <c r="K86" s="208"/>
      <c r="L86" s="208"/>
      <c r="M86" s="208"/>
      <c r="N86" s="208"/>
      <c r="O86" s="208"/>
      <c r="P86" s="208"/>
      <c r="Q86" s="208"/>
      <c r="R86" s="208"/>
      <c r="S86" s="208"/>
      <c r="T86" s="208"/>
      <c r="U86" s="210"/>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208"/>
      <c r="AV86" s="208"/>
      <c r="AW86" s="208"/>
      <c r="AX86" s="208"/>
    </row>
    <row r="87" spans="1:50" ht="13.5" customHeight="1">
      <c r="A87" s="208"/>
      <c r="B87" s="208"/>
      <c r="C87" s="208"/>
      <c r="D87" s="208"/>
      <c r="E87" s="208"/>
      <c r="F87" s="208"/>
      <c r="G87" s="208"/>
      <c r="H87" s="208"/>
      <c r="I87" s="208"/>
      <c r="J87" s="208"/>
      <c r="K87" s="208"/>
      <c r="L87" s="208"/>
      <c r="M87" s="208"/>
      <c r="N87" s="208"/>
      <c r="O87" s="208"/>
      <c r="P87" s="208"/>
      <c r="Q87" s="208"/>
      <c r="R87" s="208"/>
      <c r="S87" s="208"/>
      <c r="T87" s="208"/>
      <c r="U87" s="210"/>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208"/>
      <c r="AV87" s="208"/>
      <c r="AW87" s="208"/>
      <c r="AX87" s="208"/>
    </row>
    <row r="88" spans="1:50" ht="13.5" customHeight="1">
      <c r="A88" s="208"/>
      <c r="B88" s="208"/>
      <c r="C88" s="208"/>
      <c r="D88" s="208"/>
      <c r="E88" s="208"/>
      <c r="F88" s="208"/>
      <c r="G88" s="208"/>
      <c r="H88" s="208"/>
      <c r="I88" s="208"/>
      <c r="J88" s="208"/>
      <c r="K88" s="208"/>
      <c r="L88" s="208"/>
      <c r="M88" s="208"/>
      <c r="N88" s="208"/>
      <c r="O88" s="208"/>
      <c r="P88" s="208"/>
      <c r="Q88" s="208"/>
      <c r="R88" s="208"/>
      <c r="S88" s="208"/>
      <c r="T88" s="208"/>
      <c r="U88" s="210"/>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208"/>
      <c r="AV88" s="208"/>
      <c r="AW88" s="208"/>
      <c r="AX88" s="208"/>
    </row>
    <row r="89" spans="1:50" ht="13.5" customHeight="1">
      <c r="A89" s="208"/>
      <c r="B89" s="208"/>
      <c r="C89" s="208"/>
      <c r="D89" s="208"/>
      <c r="E89" s="208"/>
      <c r="F89" s="208"/>
      <c r="G89" s="208"/>
      <c r="H89" s="208"/>
      <c r="I89" s="208"/>
      <c r="J89" s="208"/>
      <c r="K89" s="208"/>
      <c r="L89" s="208"/>
      <c r="M89" s="208"/>
      <c r="N89" s="208"/>
      <c r="O89" s="208"/>
      <c r="P89" s="208"/>
      <c r="Q89" s="208"/>
      <c r="R89" s="208"/>
      <c r="S89" s="208"/>
      <c r="T89" s="208"/>
      <c r="U89" s="210"/>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208"/>
      <c r="AV89" s="208"/>
      <c r="AW89" s="208"/>
      <c r="AX89" s="208"/>
    </row>
    <row r="90" spans="1:50" ht="13.5" customHeight="1">
      <c r="A90" s="208"/>
      <c r="B90" s="208"/>
      <c r="C90" s="208"/>
      <c r="D90" s="208"/>
      <c r="E90" s="208"/>
      <c r="F90" s="208"/>
      <c r="G90" s="208"/>
      <c r="H90" s="208"/>
      <c r="I90" s="208"/>
      <c r="J90" s="208"/>
      <c r="K90" s="208"/>
      <c r="L90" s="208"/>
      <c r="M90" s="208"/>
      <c r="N90" s="208"/>
      <c r="O90" s="208"/>
      <c r="P90" s="208"/>
      <c r="Q90" s="208"/>
      <c r="R90" s="208"/>
      <c r="S90" s="208"/>
      <c r="T90" s="208"/>
      <c r="U90" s="210"/>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208"/>
      <c r="AV90" s="208"/>
      <c r="AW90" s="208"/>
      <c r="AX90" s="208"/>
    </row>
    <row r="91" spans="1:50" ht="13.5" customHeight="1">
      <c r="A91" s="208"/>
      <c r="B91" s="208"/>
      <c r="C91" s="208"/>
      <c r="D91" s="208"/>
      <c r="E91" s="208"/>
      <c r="F91" s="208"/>
      <c r="G91" s="208"/>
      <c r="H91" s="208"/>
      <c r="I91" s="208"/>
      <c r="J91" s="208"/>
      <c r="K91" s="208"/>
      <c r="L91" s="208"/>
      <c r="M91" s="208"/>
      <c r="N91" s="208"/>
      <c r="O91" s="208"/>
      <c r="P91" s="208"/>
      <c r="Q91" s="208"/>
      <c r="R91" s="208"/>
      <c r="S91" s="208"/>
      <c r="T91" s="208"/>
      <c r="U91" s="210"/>
      <c r="V91" s="309"/>
      <c r="W91" s="309"/>
      <c r="X91" s="309"/>
      <c r="Y91" s="309"/>
      <c r="Z91" s="309"/>
      <c r="AA91" s="309"/>
      <c r="AB91" s="309"/>
      <c r="AC91" s="309"/>
      <c r="AD91" s="309"/>
      <c r="AE91" s="309"/>
      <c r="AF91" s="309"/>
      <c r="AG91" s="309"/>
      <c r="AH91" s="309"/>
      <c r="AI91" s="309"/>
      <c r="AJ91" s="309"/>
      <c r="AK91" s="309"/>
      <c r="AL91" s="309"/>
      <c r="AM91" s="309"/>
      <c r="AN91" s="309"/>
      <c r="AO91" s="309"/>
      <c r="AP91" s="309"/>
      <c r="AQ91" s="309"/>
      <c r="AR91" s="309"/>
      <c r="AS91" s="309"/>
      <c r="AT91" s="309"/>
      <c r="AU91" s="208"/>
      <c r="AV91" s="208"/>
      <c r="AW91" s="208"/>
      <c r="AX91" s="208"/>
    </row>
    <row r="92" spans="1:50" ht="13.5" customHeight="1">
      <c r="A92" s="208"/>
      <c r="B92" s="208"/>
      <c r="C92" s="208"/>
      <c r="D92" s="208"/>
      <c r="E92" s="208"/>
      <c r="F92" s="208"/>
      <c r="G92" s="208"/>
      <c r="H92" s="208"/>
      <c r="I92" s="208"/>
      <c r="J92" s="208"/>
      <c r="K92" s="208"/>
      <c r="L92" s="208"/>
      <c r="M92" s="208"/>
      <c r="N92" s="208"/>
      <c r="O92" s="208"/>
      <c r="P92" s="208"/>
      <c r="Q92" s="208"/>
      <c r="R92" s="208"/>
      <c r="S92" s="208"/>
      <c r="T92" s="208"/>
      <c r="U92" s="210"/>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208"/>
      <c r="AV92" s="208"/>
      <c r="AW92" s="208"/>
      <c r="AX92" s="208"/>
    </row>
    <row r="93" spans="1:50" ht="13.5" customHeight="1">
      <c r="A93" s="208"/>
      <c r="B93" s="208"/>
      <c r="C93" s="208"/>
      <c r="D93" s="208"/>
      <c r="E93" s="208"/>
      <c r="F93" s="208"/>
      <c r="G93" s="208"/>
      <c r="H93" s="208"/>
      <c r="I93" s="208"/>
      <c r="J93" s="208"/>
      <c r="K93" s="208"/>
      <c r="L93" s="208"/>
      <c r="M93" s="208"/>
      <c r="N93" s="208"/>
      <c r="O93" s="208"/>
      <c r="P93" s="208"/>
      <c r="Q93" s="208"/>
      <c r="R93" s="208"/>
      <c r="S93" s="208"/>
      <c r="T93" s="208"/>
      <c r="U93" s="210"/>
      <c r="V93" s="309"/>
      <c r="W93" s="309"/>
      <c r="X93" s="309"/>
      <c r="Y93" s="309"/>
      <c r="Z93" s="309"/>
      <c r="AA93" s="309"/>
      <c r="AB93" s="309"/>
      <c r="AC93" s="309"/>
      <c r="AD93" s="309"/>
      <c r="AE93" s="309"/>
      <c r="AF93" s="309"/>
      <c r="AG93" s="309"/>
      <c r="AH93" s="309"/>
      <c r="AI93" s="309"/>
      <c r="AJ93" s="309"/>
      <c r="AK93" s="309"/>
      <c r="AL93" s="309"/>
      <c r="AM93" s="309"/>
      <c r="AN93" s="309"/>
      <c r="AO93" s="309"/>
      <c r="AP93" s="309"/>
      <c r="AQ93" s="309"/>
      <c r="AR93" s="309"/>
      <c r="AS93" s="309"/>
      <c r="AT93" s="309"/>
      <c r="AU93" s="208"/>
      <c r="AV93" s="208"/>
      <c r="AW93" s="208"/>
      <c r="AX93" s="208"/>
    </row>
    <row r="94" spans="1:50" ht="13.5" customHeight="1">
      <c r="A94" s="208"/>
      <c r="B94" s="208"/>
      <c r="C94" s="208"/>
      <c r="D94" s="208"/>
      <c r="E94" s="208"/>
      <c r="F94" s="208"/>
      <c r="G94" s="208"/>
      <c r="H94" s="208"/>
      <c r="I94" s="208"/>
      <c r="J94" s="208"/>
      <c r="K94" s="208"/>
      <c r="L94" s="208"/>
      <c r="M94" s="208"/>
      <c r="N94" s="208"/>
      <c r="O94" s="208"/>
      <c r="P94" s="208"/>
      <c r="Q94" s="208"/>
      <c r="R94" s="208"/>
      <c r="S94" s="208"/>
      <c r="T94" s="208"/>
      <c r="U94" s="210"/>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208"/>
      <c r="AV94" s="208"/>
      <c r="AW94" s="208"/>
      <c r="AX94" s="208"/>
    </row>
    <row r="95" spans="1:50" ht="13.5" customHeight="1">
      <c r="A95" s="208"/>
      <c r="B95" s="208"/>
      <c r="C95" s="208"/>
      <c r="D95" s="208"/>
      <c r="E95" s="208"/>
      <c r="F95" s="208"/>
      <c r="G95" s="208"/>
      <c r="H95" s="208"/>
      <c r="I95" s="208"/>
      <c r="J95" s="208"/>
      <c r="K95" s="208"/>
      <c r="L95" s="208"/>
      <c r="M95" s="208"/>
      <c r="N95" s="208"/>
      <c r="O95" s="208"/>
      <c r="P95" s="208"/>
      <c r="Q95" s="208"/>
      <c r="R95" s="208"/>
      <c r="S95" s="208"/>
      <c r="T95" s="208"/>
      <c r="U95" s="210"/>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208"/>
      <c r="AV95" s="208"/>
      <c r="AW95" s="208"/>
      <c r="AX95" s="208"/>
    </row>
    <row r="96" spans="1:50" ht="13.5" customHeight="1">
      <c r="A96" s="208"/>
      <c r="B96" s="208"/>
      <c r="C96" s="208"/>
      <c r="D96" s="208"/>
      <c r="E96" s="208"/>
      <c r="F96" s="208"/>
      <c r="G96" s="208"/>
      <c r="H96" s="208"/>
      <c r="I96" s="208"/>
      <c r="J96" s="208"/>
      <c r="K96" s="208"/>
      <c r="L96" s="208"/>
      <c r="M96" s="208"/>
      <c r="N96" s="208"/>
      <c r="O96" s="208"/>
      <c r="P96" s="208"/>
      <c r="Q96" s="208"/>
      <c r="R96" s="208"/>
      <c r="S96" s="208"/>
      <c r="T96" s="208"/>
      <c r="U96" s="210"/>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208"/>
      <c r="AV96" s="208"/>
      <c r="AW96" s="208"/>
      <c r="AX96" s="208"/>
    </row>
    <row r="97" spans="1:50" ht="13.5" customHeight="1">
      <c r="A97" s="208"/>
      <c r="B97" s="208"/>
      <c r="C97" s="208"/>
      <c r="D97" s="208"/>
      <c r="E97" s="208"/>
      <c r="F97" s="208"/>
      <c r="G97" s="208"/>
      <c r="H97" s="208"/>
      <c r="I97" s="208"/>
      <c r="J97" s="208"/>
      <c r="K97" s="208"/>
      <c r="L97" s="208"/>
      <c r="M97" s="208"/>
      <c r="N97" s="208"/>
      <c r="O97" s="208"/>
      <c r="P97" s="208"/>
      <c r="Q97" s="208"/>
      <c r="R97" s="208"/>
      <c r="S97" s="208"/>
      <c r="T97" s="208"/>
      <c r="U97" s="210"/>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208"/>
      <c r="AV97" s="208"/>
      <c r="AW97" s="208"/>
      <c r="AX97" s="208"/>
    </row>
    <row r="98" spans="1:50" ht="13.5" customHeight="1">
      <c r="A98" s="208"/>
      <c r="B98" s="208"/>
      <c r="C98" s="208"/>
      <c r="D98" s="208"/>
      <c r="E98" s="208"/>
      <c r="F98" s="208"/>
      <c r="G98" s="208"/>
      <c r="H98" s="208"/>
      <c r="I98" s="208"/>
      <c r="J98" s="208"/>
      <c r="K98" s="208"/>
      <c r="L98" s="208"/>
      <c r="M98" s="208"/>
      <c r="N98" s="208"/>
      <c r="O98" s="208"/>
      <c r="P98" s="208"/>
      <c r="Q98" s="208"/>
      <c r="R98" s="208"/>
      <c r="S98" s="208"/>
      <c r="T98" s="208"/>
      <c r="U98" s="210"/>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208"/>
      <c r="AV98" s="208"/>
      <c r="AW98" s="208"/>
      <c r="AX98" s="208"/>
    </row>
    <row r="99" spans="1:50" ht="13.5" customHeight="1">
      <c r="A99" s="208"/>
      <c r="B99" s="208"/>
      <c r="C99" s="208"/>
      <c r="D99" s="208"/>
      <c r="E99" s="208"/>
      <c r="F99" s="208"/>
      <c r="G99" s="208"/>
      <c r="H99" s="208"/>
      <c r="I99" s="208"/>
      <c r="J99" s="208"/>
      <c r="K99" s="208"/>
      <c r="L99" s="208"/>
      <c r="M99" s="208"/>
      <c r="N99" s="208"/>
      <c r="O99" s="208"/>
      <c r="P99" s="208"/>
      <c r="Q99" s="208"/>
      <c r="R99" s="208"/>
      <c r="S99" s="208"/>
      <c r="T99" s="208"/>
      <c r="U99" s="210"/>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208"/>
      <c r="AV99" s="208"/>
      <c r="AW99" s="208"/>
      <c r="AX99" s="208"/>
    </row>
  </sheetData>
  <mergeCells count="58">
    <mergeCell ref="D25:I25"/>
    <mergeCell ref="P25:U25"/>
    <mergeCell ref="V25:AC25"/>
    <mergeCell ref="AD25:AO25"/>
    <mergeCell ref="AT25:AX25"/>
    <mergeCell ref="AT23:AX23"/>
    <mergeCell ref="D24:I24"/>
    <mergeCell ref="P24:U24"/>
    <mergeCell ref="V24:AC24"/>
    <mergeCell ref="AD24:AO24"/>
    <mergeCell ref="AT24:AX24"/>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9:C9"/>
    <mergeCell ref="D9:AG9"/>
    <mergeCell ref="A10:C10"/>
    <mergeCell ref="D10:AG10"/>
    <mergeCell ref="A11:F11"/>
    <mergeCell ref="G11:H11"/>
    <mergeCell ref="I11:I12"/>
    <mergeCell ref="J11:J12"/>
    <mergeCell ref="K11:K12"/>
    <mergeCell ref="F6:G8"/>
    <mergeCell ref="H6:I6"/>
    <mergeCell ref="K6:U8"/>
    <mergeCell ref="L11:L12"/>
    <mergeCell ref="H7:I7"/>
    <mergeCell ref="H8:I8"/>
    <mergeCell ref="AY11:AZ11"/>
    <mergeCell ref="AY10:AZ10"/>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s>
  <printOptions horizontalCentered="1" verticalCentered="1"/>
  <pageMargins left="0" right="0.19685039370078741" top="0.74803149606299213" bottom="0.74803149606299213" header="0" footer="0"/>
  <pageSetup scale="19"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7109375" customWidth="1"/>
    <col min="4" max="4" width="8.7109375" customWidth="1"/>
    <col min="5" max="5" width="10.7109375" customWidth="1"/>
    <col min="6" max="14" width="10" customWidth="1"/>
  </cols>
  <sheetData>
    <row r="1" spans="1:14" ht="14.25" customHeight="1">
      <c r="B1" t="s">
        <v>721</v>
      </c>
      <c r="C1" s="899" t="s">
        <v>722</v>
      </c>
      <c r="D1" s="561"/>
      <c r="E1" s="561"/>
      <c r="F1" s="561"/>
      <c r="G1" s="900" t="s">
        <v>723</v>
      </c>
      <c r="H1" s="600"/>
      <c r="I1" s="600"/>
      <c r="J1" s="494"/>
      <c r="K1" s="898" t="s">
        <v>724</v>
      </c>
      <c r="L1" s="601"/>
      <c r="M1" s="601"/>
      <c r="N1" s="601"/>
    </row>
    <row r="2" spans="1:14" ht="14.25" customHeight="1">
      <c r="C2" s="287"/>
      <c r="D2" s="287"/>
      <c r="E2" s="287"/>
      <c r="F2" s="287" t="s">
        <v>725</v>
      </c>
      <c r="G2" s="94"/>
      <c r="H2" s="287"/>
      <c r="I2" s="287"/>
      <c r="J2" s="288" t="s">
        <v>725</v>
      </c>
      <c r="K2" s="287"/>
      <c r="L2" s="287"/>
      <c r="M2" s="287"/>
      <c r="N2" s="287" t="s">
        <v>725</v>
      </c>
    </row>
    <row r="3" spans="1:14" ht="14.25" customHeight="1">
      <c r="A3" s="895" t="s">
        <v>726</v>
      </c>
      <c r="B3" s="95">
        <v>1</v>
      </c>
      <c r="C3" s="96">
        <v>0.05</v>
      </c>
      <c r="D3" s="96">
        <v>0.05</v>
      </c>
      <c r="E3" s="96">
        <v>0.1</v>
      </c>
      <c r="F3" s="97">
        <f t="shared" ref="F3:F7" si="0">(C3+D3+E3)</f>
        <v>0.2</v>
      </c>
      <c r="G3" s="98">
        <v>0.1</v>
      </c>
      <c r="H3" s="96">
        <v>0.1</v>
      </c>
      <c r="I3" s="96">
        <v>0.1</v>
      </c>
      <c r="J3" s="99">
        <f t="shared" ref="J3:J7" si="1">(G3+H3+I3)</f>
        <v>0.30000000000000004</v>
      </c>
      <c r="K3" s="100">
        <v>0.1</v>
      </c>
      <c r="L3" s="100">
        <v>0.1</v>
      </c>
      <c r="M3" s="100">
        <v>0.1</v>
      </c>
      <c r="N3" s="289">
        <f t="shared" ref="N3:N4" si="2">K3+L3+M3</f>
        <v>0.30000000000000004</v>
      </c>
    </row>
    <row r="4" spans="1:14" ht="14.25" customHeight="1">
      <c r="A4" s="782"/>
      <c r="B4" s="95">
        <v>2</v>
      </c>
      <c r="C4" s="96">
        <v>0.05</v>
      </c>
      <c r="D4" s="96">
        <v>0.05</v>
      </c>
      <c r="E4" s="96">
        <v>0.1</v>
      </c>
      <c r="F4" s="97">
        <f t="shared" si="0"/>
        <v>0.2</v>
      </c>
      <c r="G4" s="98">
        <v>0.1</v>
      </c>
      <c r="H4" s="96">
        <v>0.1</v>
      </c>
      <c r="I4" s="96">
        <v>0.1</v>
      </c>
      <c r="J4" s="99">
        <f t="shared" si="1"/>
        <v>0.30000000000000004</v>
      </c>
      <c r="K4" s="100">
        <v>0.1</v>
      </c>
      <c r="L4" s="100">
        <v>0.1</v>
      </c>
      <c r="M4" s="100">
        <v>0.1</v>
      </c>
      <c r="N4" s="289">
        <f t="shared" si="2"/>
        <v>0.30000000000000004</v>
      </c>
    </row>
    <row r="5" spans="1:14" ht="14.25" customHeight="1">
      <c r="A5" s="782"/>
      <c r="B5" s="95">
        <v>3</v>
      </c>
      <c r="C5" s="96">
        <v>0.05</v>
      </c>
      <c r="D5" s="96">
        <v>0.05</v>
      </c>
      <c r="E5" s="96">
        <v>0.1</v>
      </c>
      <c r="F5" s="97">
        <f t="shared" si="0"/>
        <v>0.2</v>
      </c>
      <c r="G5" s="98">
        <v>0.1</v>
      </c>
      <c r="H5" s="96">
        <v>0.1</v>
      </c>
      <c r="I5" s="96">
        <v>0.1</v>
      </c>
      <c r="J5" s="99">
        <f t="shared" si="1"/>
        <v>0.30000000000000004</v>
      </c>
      <c r="K5" s="101"/>
      <c r="L5" s="95"/>
      <c r="M5" s="95"/>
      <c r="N5" s="95"/>
    </row>
    <row r="6" spans="1:14" ht="14.25" customHeight="1">
      <c r="A6" s="782"/>
      <c r="B6" s="95">
        <v>4</v>
      </c>
      <c r="C6" s="96">
        <v>0.1</v>
      </c>
      <c r="D6" s="96">
        <v>0.1</v>
      </c>
      <c r="E6" s="96">
        <v>0.2</v>
      </c>
      <c r="F6" s="97">
        <f t="shared" si="0"/>
        <v>0.4</v>
      </c>
      <c r="G6" s="98">
        <v>0</v>
      </c>
      <c r="H6" s="96">
        <v>0</v>
      </c>
      <c r="I6" s="96">
        <v>0.1</v>
      </c>
      <c r="J6" s="99">
        <f t="shared" si="1"/>
        <v>0.1</v>
      </c>
      <c r="K6" s="101"/>
      <c r="L6" s="95"/>
      <c r="M6" s="95"/>
      <c r="N6" s="95"/>
    </row>
    <row r="7" spans="1:14" ht="14.25" customHeight="1">
      <c r="A7" s="782"/>
      <c r="B7" s="95">
        <v>5</v>
      </c>
      <c r="C7" s="96">
        <v>0</v>
      </c>
      <c r="D7" s="96">
        <v>0</v>
      </c>
      <c r="E7" s="96">
        <v>0</v>
      </c>
      <c r="F7" s="97">
        <f t="shared" si="0"/>
        <v>0</v>
      </c>
      <c r="G7" s="98">
        <v>0</v>
      </c>
      <c r="H7" s="96">
        <v>0</v>
      </c>
      <c r="I7" s="96">
        <v>0</v>
      </c>
      <c r="J7" s="99">
        <f t="shared" si="1"/>
        <v>0</v>
      </c>
      <c r="K7" s="101"/>
      <c r="L7" s="95"/>
      <c r="M7" s="95"/>
      <c r="N7" s="95"/>
    </row>
    <row r="8" spans="1:14" ht="14.25" customHeight="1">
      <c r="A8" s="895" t="s">
        <v>727</v>
      </c>
      <c r="B8" s="102">
        <v>6</v>
      </c>
      <c r="C8" s="103">
        <v>0.1</v>
      </c>
      <c r="D8" s="103">
        <v>0.1</v>
      </c>
      <c r="E8" s="103">
        <v>0.1</v>
      </c>
      <c r="F8" s="104">
        <f>C8+D8+E8</f>
        <v>0.30000000000000004</v>
      </c>
      <c r="G8" s="105"/>
      <c r="H8" s="102"/>
      <c r="I8" s="102"/>
      <c r="J8" s="106"/>
      <c r="K8" s="107"/>
      <c r="L8" s="102"/>
      <c r="M8" s="102"/>
      <c r="N8" s="102"/>
    </row>
    <row r="9" spans="1:14" ht="14.25" customHeight="1">
      <c r="A9" s="782"/>
      <c r="B9" s="102">
        <v>7</v>
      </c>
      <c r="C9" s="102"/>
      <c r="D9" s="102"/>
      <c r="E9" s="102"/>
      <c r="F9" s="108"/>
      <c r="G9" s="109"/>
      <c r="H9" s="102"/>
      <c r="I9" s="102"/>
      <c r="J9" s="106"/>
      <c r="K9" s="107"/>
      <c r="L9" s="102"/>
      <c r="M9" s="102"/>
      <c r="N9" s="102"/>
    </row>
    <row r="10" spans="1:14" ht="14.25" customHeight="1">
      <c r="A10" s="782"/>
      <c r="B10" s="102">
        <v>8</v>
      </c>
      <c r="C10" s="102"/>
      <c r="D10" s="102"/>
      <c r="E10" s="102"/>
      <c r="F10" s="108"/>
      <c r="G10" s="109"/>
      <c r="H10" s="102"/>
      <c r="I10" s="102"/>
      <c r="J10" s="106"/>
      <c r="K10" s="107"/>
      <c r="L10" s="102"/>
      <c r="M10" s="102"/>
      <c r="N10" s="102"/>
    </row>
    <row r="11" spans="1:14" ht="14.25" customHeight="1">
      <c r="A11" s="782"/>
      <c r="B11" s="102">
        <v>9</v>
      </c>
      <c r="C11" s="102"/>
      <c r="D11" s="102"/>
      <c r="E11" s="102"/>
      <c r="F11" s="108"/>
      <c r="G11" s="109"/>
      <c r="H11" s="102"/>
      <c r="I11" s="102"/>
      <c r="J11" s="106"/>
      <c r="K11" s="107"/>
      <c r="L11" s="102"/>
      <c r="M11" s="102"/>
      <c r="N11" s="102"/>
    </row>
    <row r="12" spans="1:14" ht="14.25" customHeight="1">
      <c r="A12" s="895" t="s">
        <v>728</v>
      </c>
      <c r="B12" s="110">
        <v>10</v>
      </c>
      <c r="C12" s="110"/>
      <c r="D12" s="110"/>
      <c r="E12" s="110"/>
      <c r="F12" s="111"/>
      <c r="G12" s="112"/>
      <c r="H12" s="110"/>
      <c r="I12" s="110"/>
      <c r="J12" s="113"/>
      <c r="K12" s="114"/>
      <c r="L12" s="110"/>
      <c r="M12" s="110"/>
      <c r="N12" s="110"/>
    </row>
    <row r="13" spans="1:14" ht="14.25" customHeight="1">
      <c r="A13" s="782"/>
      <c r="B13" s="110">
        <v>11</v>
      </c>
      <c r="C13" s="110"/>
      <c r="D13" s="110"/>
      <c r="E13" s="110"/>
      <c r="F13" s="111"/>
      <c r="G13" s="112"/>
      <c r="H13" s="110"/>
      <c r="I13" s="110"/>
      <c r="J13" s="113"/>
      <c r="K13" s="114"/>
      <c r="L13" s="110"/>
      <c r="M13" s="110"/>
      <c r="N13" s="110"/>
    </row>
    <row r="14" spans="1:14" ht="14.25" customHeight="1">
      <c r="A14" s="782"/>
      <c r="B14" s="110">
        <v>12</v>
      </c>
      <c r="C14" s="110"/>
      <c r="D14" s="110"/>
      <c r="E14" s="110"/>
      <c r="F14" s="111"/>
      <c r="G14" s="112"/>
      <c r="H14" s="110"/>
      <c r="I14" s="110"/>
      <c r="J14" s="113"/>
      <c r="K14" s="114"/>
      <c r="L14" s="110"/>
      <c r="M14" s="110"/>
      <c r="N14" s="110"/>
    </row>
    <row r="15" spans="1:14" ht="14.25" customHeight="1">
      <c r="A15" s="782"/>
      <c r="B15" s="110">
        <v>13</v>
      </c>
      <c r="C15" s="110"/>
      <c r="D15" s="110"/>
      <c r="E15" s="110"/>
      <c r="F15" s="111"/>
      <c r="G15" s="112"/>
      <c r="H15" s="110"/>
      <c r="I15" s="110"/>
      <c r="J15" s="113"/>
      <c r="K15" s="114"/>
      <c r="L15" s="110"/>
      <c r="M15" s="110"/>
      <c r="N15" s="110"/>
    </row>
    <row r="16" spans="1:14" ht="14.25" customHeight="1">
      <c r="A16" s="895" t="s">
        <v>729</v>
      </c>
      <c r="B16" s="115">
        <v>14</v>
      </c>
      <c r="C16" s="115"/>
      <c r="D16" s="115"/>
      <c r="E16" s="115"/>
      <c r="F16" s="116"/>
      <c r="G16" s="117"/>
      <c r="H16" s="115"/>
      <c r="I16" s="115"/>
      <c r="J16" s="118"/>
      <c r="K16" s="119"/>
      <c r="L16" s="115"/>
      <c r="M16" s="115"/>
      <c r="N16" s="115"/>
    </row>
    <row r="17" spans="1:14" ht="14.25" customHeight="1">
      <c r="A17" s="782"/>
      <c r="B17" s="115">
        <v>15</v>
      </c>
      <c r="C17" s="115"/>
      <c r="D17" s="115"/>
      <c r="E17" s="115"/>
      <c r="F17" s="116"/>
      <c r="G17" s="117"/>
      <c r="H17" s="115"/>
      <c r="I17" s="115"/>
      <c r="J17" s="118"/>
      <c r="K17" s="119"/>
      <c r="L17" s="115"/>
      <c r="M17" s="115"/>
      <c r="N17" s="115"/>
    </row>
    <row r="18" spans="1:14" ht="14.25" customHeight="1">
      <c r="A18" s="782"/>
      <c r="B18" s="115">
        <v>16</v>
      </c>
      <c r="C18" s="115"/>
      <c r="D18" s="115"/>
      <c r="E18" s="115"/>
      <c r="F18" s="116"/>
      <c r="G18" s="117"/>
      <c r="H18" s="115"/>
      <c r="I18" s="115"/>
      <c r="J18" s="118"/>
      <c r="K18" s="119"/>
      <c r="L18" s="115"/>
      <c r="M18" s="115"/>
      <c r="N18" s="115"/>
    </row>
    <row r="19" spans="1:14" ht="14.25" customHeight="1">
      <c r="A19" s="895" t="s">
        <v>730</v>
      </c>
      <c r="B19" s="120">
        <v>17</v>
      </c>
      <c r="C19" s="120"/>
      <c r="D19" s="120"/>
      <c r="E19" s="120"/>
      <c r="F19" s="121"/>
      <c r="G19" s="122"/>
      <c r="H19" s="120"/>
      <c r="I19" s="120"/>
      <c r="J19" s="123"/>
      <c r="K19" s="124"/>
      <c r="L19" s="120"/>
      <c r="M19" s="120"/>
      <c r="N19" s="120"/>
    </row>
    <row r="20" spans="1:14" ht="14.25" customHeight="1">
      <c r="A20" s="782"/>
      <c r="B20" s="120">
        <v>18</v>
      </c>
      <c r="C20" s="120"/>
      <c r="D20" s="120"/>
      <c r="E20" s="120"/>
      <c r="F20" s="121"/>
      <c r="G20" s="122"/>
      <c r="H20" s="120"/>
      <c r="I20" s="120"/>
      <c r="J20" s="123"/>
      <c r="K20" s="124"/>
      <c r="L20" s="120"/>
      <c r="M20" s="120"/>
      <c r="N20" s="120"/>
    </row>
    <row r="21" spans="1:14" ht="14.25" customHeight="1">
      <c r="A21" s="782"/>
      <c r="B21" s="120">
        <v>19</v>
      </c>
      <c r="C21" s="120"/>
      <c r="D21" s="120"/>
      <c r="E21" s="120"/>
      <c r="F21" s="121"/>
      <c r="G21" s="122"/>
      <c r="H21" s="120"/>
      <c r="I21" s="120"/>
      <c r="J21" s="123"/>
      <c r="K21" s="124"/>
      <c r="L21" s="120"/>
      <c r="M21" s="120"/>
      <c r="N21" s="120"/>
    </row>
    <row r="22" spans="1:14" ht="14.25" customHeight="1">
      <c r="A22" s="782"/>
      <c r="B22" s="120">
        <v>20</v>
      </c>
      <c r="C22" s="120"/>
      <c r="D22" s="120"/>
      <c r="E22" s="120"/>
      <c r="F22" s="121"/>
      <c r="G22" s="122"/>
      <c r="H22" s="120"/>
      <c r="I22" s="120"/>
      <c r="J22" s="123"/>
      <c r="K22" s="124"/>
      <c r="L22" s="120"/>
      <c r="M22" s="120"/>
      <c r="N22" s="120"/>
    </row>
    <row r="23" spans="1:14" ht="14.25" customHeight="1">
      <c r="A23" s="895" t="s">
        <v>731</v>
      </c>
      <c r="B23" s="125">
        <v>21</v>
      </c>
      <c r="C23" s="125"/>
      <c r="D23" s="125"/>
      <c r="E23" s="125"/>
      <c r="F23" s="126"/>
      <c r="G23" s="127"/>
      <c r="H23" s="125"/>
      <c r="I23" s="125"/>
      <c r="J23" s="128"/>
      <c r="K23" s="129"/>
      <c r="L23" s="125"/>
      <c r="M23" s="125"/>
      <c r="N23" s="125"/>
    </row>
    <row r="24" spans="1:14" ht="14.25" customHeight="1">
      <c r="A24" s="782"/>
      <c r="B24" s="125">
        <v>22</v>
      </c>
      <c r="C24" s="125"/>
      <c r="D24" s="125"/>
      <c r="E24" s="125"/>
      <c r="F24" s="126"/>
      <c r="G24" s="127"/>
      <c r="H24" s="125"/>
      <c r="I24" s="125"/>
      <c r="J24" s="128"/>
      <c r="K24" s="129"/>
      <c r="L24" s="125"/>
      <c r="M24" s="125"/>
      <c r="N24" s="125"/>
    </row>
    <row r="25" spans="1:14" ht="14.25" customHeight="1">
      <c r="A25" s="782"/>
      <c r="B25" s="125">
        <v>23</v>
      </c>
      <c r="C25" s="125"/>
      <c r="D25" s="125"/>
      <c r="E25" s="125"/>
      <c r="F25" s="126"/>
      <c r="G25" s="127"/>
      <c r="H25" s="125"/>
      <c r="I25" s="125"/>
      <c r="J25" s="128"/>
      <c r="K25" s="129"/>
      <c r="L25" s="125"/>
      <c r="M25" s="125"/>
      <c r="N25" s="125"/>
    </row>
    <row r="26" spans="1:14" ht="14.25" customHeight="1">
      <c r="A26" s="782"/>
      <c r="B26" s="125">
        <v>24</v>
      </c>
      <c r="C26" s="125"/>
      <c r="D26" s="125"/>
      <c r="E26" s="125"/>
      <c r="F26" s="126"/>
      <c r="G26" s="127"/>
      <c r="H26" s="125"/>
      <c r="I26" s="125"/>
      <c r="J26" s="128"/>
      <c r="K26" s="129"/>
      <c r="L26" s="125"/>
      <c r="M26" s="125"/>
      <c r="N26" s="125"/>
    </row>
    <row r="27" spans="1:14" ht="14.25" customHeight="1">
      <c r="A27" s="895" t="s">
        <v>732</v>
      </c>
      <c r="B27" s="102">
        <v>25</v>
      </c>
      <c r="C27" s="102"/>
      <c r="D27" s="102"/>
      <c r="E27" s="102"/>
      <c r="F27" s="102"/>
      <c r="G27" s="102"/>
      <c r="H27" s="102"/>
      <c r="I27" s="102"/>
      <c r="J27" s="102"/>
      <c r="K27" s="102"/>
      <c r="L27" s="102"/>
      <c r="M27" s="102"/>
      <c r="N27" s="102"/>
    </row>
    <row r="28" spans="1:14" ht="14.25" customHeight="1">
      <c r="A28" s="782"/>
      <c r="B28" s="102">
        <v>26</v>
      </c>
      <c r="C28" s="102"/>
      <c r="D28" s="102"/>
      <c r="E28" s="102"/>
      <c r="F28" s="102"/>
      <c r="G28" s="102"/>
      <c r="H28" s="102"/>
      <c r="I28" s="102"/>
      <c r="J28" s="102"/>
      <c r="K28" s="102"/>
      <c r="L28" s="102"/>
      <c r="M28" s="102"/>
      <c r="N28" s="102"/>
    </row>
    <row r="29" spans="1:14" ht="14.25" customHeight="1">
      <c r="A29" s="782"/>
      <c r="B29" s="102">
        <v>27</v>
      </c>
      <c r="C29" s="102"/>
      <c r="D29" s="102"/>
      <c r="E29" s="102"/>
      <c r="F29" s="102"/>
      <c r="G29" s="102"/>
      <c r="H29" s="102"/>
      <c r="I29" s="102"/>
      <c r="J29" s="102"/>
      <c r="K29" s="102"/>
      <c r="L29" s="102"/>
      <c r="M29" s="102"/>
      <c r="N29" s="102"/>
    </row>
    <row r="30" spans="1:14" ht="14.25" customHeight="1">
      <c r="A30" s="782"/>
      <c r="B30" s="102">
        <v>28</v>
      </c>
      <c r="C30" s="102"/>
      <c r="D30" s="102"/>
      <c r="E30" s="102"/>
      <c r="F30" s="102"/>
      <c r="G30" s="102"/>
      <c r="H30" s="102"/>
      <c r="I30" s="102"/>
      <c r="J30" s="102"/>
      <c r="K30" s="102"/>
      <c r="L30" s="102"/>
      <c r="M30" s="102"/>
      <c r="N30" s="102"/>
    </row>
    <row r="31" spans="1:14" ht="14.25" customHeight="1">
      <c r="A31" s="782"/>
      <c r="B31" s="102">
        <v>29</v>
      </c>
      <c r="C31" s="102"/>
      <c r="D31" s="102"/>
      <c r="E31" s="102"/>
      <c r="F31" s="102"/>
      <c r="G31" s="102"/>
      <c r="H31" s="102"/>
      <c r="I31" s="102"/>
      <c r="J31" s="102"/>
      <c r="K31" s="102"/>
      <c r="L31" s="102"/>
      <c r="M31" s="102"/>
      <c r="N31" s="102"/>
    </row>
    <row r="32" spans="1:14" ht="14.25" customHeight="1">
      <c r="A32" s="895" t="s">
        <v>733</v>
      </c>
      <c r="B32" s="130">
        <v>30</v>
      </c>
      <c r="C32" s="130"/>
      <c r="D32" s="130"/>
      <c r="E32" s="130"/>
      <c r="F32" s="130"/>
      <c r="G32" s="130"/>
      <c r="H32" s="130"/>
      <c r="I32" s="130"/>
      <c r="J32" s="130"/>
      <c r="K32" s="130"/>
      <c r="L32" s="130"/>
      <c r="M32" s="130"/>
      <c r="N32" s="130"/>
    </row>
    <row r="33" spans="1:14" ht="14.25" customHeight="1">
      <c r="A33" s="782"/>
      <c r="B33" s="130">
        <v>31</v>
      </c>
      <c r="C33" s="130"/>
      <c r="D33" s="130"/>
      <c r="E33" s="130"/>
      <c r="F33" s="130"/>
      <c r="G33" s="130"/>
      <c r="H33" s="130"/>
      <c r="I33" s="130"/>
      <c r="J33" s="130"/>
      <c r="K33" s="130"/>
      <c r="L33" s="130"/>
      <c r="M33" s="130"/>
      <c r="N33" s="130"/>
    </row>
    <row r="34" spans="1:14" ht="14.25" customHeight="1">
      <c r="A34" s="782"/>
      <c r="B34" s="130">
        <v>32</v>
      </c>
      <c r="C34" s="130"/>
      <c r="D34" s="130"/>
      <c r="E34" s="130"/>
      <c r="F34" s="130"/>
      <c r="G34" s="130"/>
      <c r="H34" s="130"/>
      <c r="I34" s="130"/>
      <c r="J34" s="130"/>
      <c r="K34" s="130"/>
      <c r="L34" s="130"/>
      <c r="M34" s="130"/>
      <c r="N34" s="130"/>
    </row>
    <row r="35" spans="1:14" ht="14.25" customHeight="1">
      <c r="A35" s="895" t="s">
        <v>734</v>
      </c>
      <c r="B35" s="131">
        <v>33</v>
      </c>
      <c r="C35" s="110"/>
      <c r="D35" s="110"/>
      <c r="E35" s="110"/>
      <c r="F35" s="110"/>
      <c r="G35" s="110"/>
      <c r="H35" s="110"/>
      <c r="I35" s="110"/>
      <c r="J35" s="110"/>
      <c r="K35" s="110"/>
      <c r="L35" s="110"/>
      <c r="M35" s="110"/>
      <c r="N35" s="110"/>
    </row>
    <row r="36" spans="1:14" ht="14.25" customHeight="1">
      <c r="A36" s="782"/>
      <c r="B36" s="110">
        <v>34</v>
      </c>
      <c r="C36" s="110"/>
      <c r="D36" s="110"/>
      <c r="E36" s="110"/>
      <c r="F36" s="110"/>
      <c r="G36" s="110"/>
      <c r="H36" s="110"/>
      <c r="I36" s="110"/>
      <c r="J36" s="110"/>
      <c r="K36" s="110"/>
      <c r="L36" s="110"/>
      <c r="M36" s="110"/>
      <c r="N36" s="110"/>
    </row>
    <row r="37" spans="1:14" ht="14.25" customHeight="1">
      <c r="A37" s="782"/>
      <c r="B37" s="132">
        <v>35</v>
      </c>
      <c r="C37" s="110"/>
      <c r="D37" s="110"/>
      <c r="E37" s="110"/>
      <c r="F37" s="110"/>
      <c r="G37" s="110"/>
      <c r="H37" s="110"/>
      <c r="I37" s="110"/>
      <c r="J37" s="110"/>
      <c r="K37" s="110"/>
      <c r="L37" s="110"/>
      <c r="M37" s="110"/>
      <c r="N37" s="110"/>
    </row>
    <row r="38" spans="1:14" ht="14.25" customHeight="1">
      <c r="A38" s="895" t="s">
        <v>735</v>
      </c>
      <c r="B38" s="133">
        <v>36</v>
      </c>
      <c r="C38" s="133"/>
      <c r="D38" s="133"/>
      <c r="E38" s="133"/>
      <c r="F38" s="133"/>
      <c r="G38" s="133"/>
      <c r="H38" s="133"/>
      <c r="I38" s="133"/>
      <c r="J38" s="133"/>
      <c r="K38" s="133"/>
      <c r="L38" s="133"/>
      <c r="M38" s="133"/>
      <c r="N38" s="133"/>
    </row>
    <row r="39" spans="1:14" ht="14.25" customHeight="1">
      <c r="A39" s="782"/>
      <c r="B39" s="133">
        <v>37</v>
      </c>
      <c r="C39" s="133"/>
      <c r="D39" s="133"/>
      <c r="E39" s="133"/>
      <c r="F39" s="133"/>
      <c r="G39" s="133"/>
      <c r="H39" s="133"/>
      <c r="I39" s="133"/>
      <c r="J39" s="133"/>
      <c r="K39" s="133"/>
      <c r="L39" s="133"/>
      <c r="M39" s="133"/>
      <c r="N39" s="133"/>
    </row>
    <row r="40" spans="1:14" ht="14.25" customHeight="1">
      <c r="A40" s="782"/>
      <c r="B40" s="133">
        <v>38</v>
      </c>
      <c r="C40" s="133"/>
      <c r="D40" s="133"/>
      <c r="E40" s="133"/>
      <c r="F40" s="133"/>
      <c r="G40" s="133"/>
      <c r="H40" s="133"/>
      <c r="I40" s="133"/>
      <c r="J40" s="133"/>
      <c r="K40" s="133"/>
      <c r="L40" s="133"/>
      <c r="M40" s="133"/>
      <c r="N40" s="133"/>
    </row>
    <row r="41" spans="1:14" ht="14.25" customHeight="1">
      <c r="A41" s="896" t="s">
        <v>736</v>
      </c>
      <c r="B41" s="134">
        <v>39</v>
      </c>
      <c r="C41" s="135"/>
      <c r="D41" s="135"/>
      <c r="E41" s="135"/>
      <c r="F41" s="135"/>
      <c r="G41" s="135"/>
      <c r="H41" s="135"/>
      <c r="I41" s="135"/>
      <c r="J41" s="135"/>
      <c r="K41" s="135"/>
      <c r="L41" s="135"/>
      <c r="M41" s="135"/>
      <c r="N41" s="135"/>
    </row>
    <row r="42" spans="1:14" ht="14.25" customHeight="1">
      <c r="A42" s="782"/>
      <c r="B42" s="135">
        <v>40</v>
      </c>
      <c r="C42" s="135"/>
      <c r="D42" s="135"/>
      <c r="E42" s="135"/>
      <c r="F42" s="135"/>
      <c r="G42" s="135"/>
      <c r="H42" s="135"/>
      <c r="I42" s="135"/>
      <c r="J42" s="135"/>
      <c r="K42" s="135"/>
      <c r="L42" s="135"/>
      <c r="M42" s="135"/>
      <c r="N42" s="135"/>
    </row>
    <row r="43" spans="1:14" ht="14.25" customHeight="1">
      <c r="A43" s="782"/>
      <c r="B43" s="135">
        <v>41</v>
      </c>
      <c r="C43" s="135"/>
      <c r="D43" s="135"/>
      <c r="E43" s="135"/>
      <c r="F43" s="135"/>
      <c r="G43" s="135"/>
      <c r="H43" s="135"/>
      <c r="I43" s="135"/>
      <c r="J43" s="135"/>
      <c r="K43" s="135"/>
      <c r="L43" s="135"/>
      <c r="M43" s="135"/>
      <c r="N43" s="135"/>
    </row>
    <row r="44" spans="1:14" ht="14.25" customHeight="1">
      <c r="A44" s="782"/>
      <c r="B44" s="136">
        <v>42</v>
      </c>
      <c r="C44" s="135"/>
      <c r="D44" s="135"/>
      <c r="E44" s="135"/>
      <c r="F44" s="135"/>
      <c r="G44" s="135"/>
      <c r="H44" s="135"/>
      <c r="I44" s="135"/>
      <c r="J44" s="135"/>
      <c r="K44" s="135"/>
      <c r="L44" s="135"/>
      <c r="M44" s="135"/>
      <c r="N44" s="135"/>
    </row>
    <row r="45" spans="1:14" ht="14.25" customHeight="1">
      <c r="A45" s="897" t="s">
        <v>737</v>
      </c>
      <c r="B45" s="137">
        <v>43</v>
      </c>
      <c r="C45" s="137"/>
      <c r="D45" s="137"/>
      <c r="E45" s="137"/>
      <c r="F45" s="137"/>
      <c r="G45" s="137"/>
      <c r="H45" s="137"/>
      <c r="I45" s="137"/>
      <c r="J45" s="137"/>
      <c r="K45" s="137"/>
      <c r="L45" s="137"/>
      <c r="M45" s="137"/>
      <c r="N45" s="137"/>
    </row>
    <row r="46" spans="1:14" ht="14.25" customHeight="1">
      <c r="A46" s="528"/>
      <c r="B46" s="137">
        <v>44</v>
      </c>
      <c r="C46" s="137"/>
      <c r="D46" s="137"/>
      <c r="E46" s="137"/>
      <c r="F46" s="137"/>
      <c r="G46" s="137"/>
      <c r="H46" s="137"/>
      <c r="I46" s="137"/>
      <c r="J46" s="137"/>
      <c r="K46" s="137"/>
      <c r="L46" s="137"/>
      <c r="M46" s="137"/>
      <c r="N46" s="1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view="pageBreakPreview" topLeftCell="A28" zoomScale="55" zoomScaleNormal="30" zoomScaleSheetLayoutView="55" workbookViewId="0">
      <selection activeCell="I7" sqref="I7:J9"/>
    </sheetView>
  </sheetViews>
  <sheetFormatPr baseColWidth="10" defaultColWidth="14.42578125" defaultRowHeight="15" customHeight="1"/>
  <cols>
    <col min="1" max="1" width="38.42578125" customWidth="1"/>
    <col min="2" max="2" width="17" customWidth="1"/>
    <col min="3" max="3" width="13.42578125" customWidth="1"/>
    <col min="4" max="4" width="12.42578125" customWidth="1"/>
    <col min="5" max="5" width="13.7109375" customWidth="1"/>
    <col min="6" max="6" width="16.28515625" customWidth="1"/>
    <col min="7" max="7" width="13.7109375" bestFit="1" customWidth="1"/>
    <col min="8" max="11" width="12.42578125" customWidth="1"/>
    <col min="12" max="14" width="14" customWidth="1"/>
    <col min="15" max="15" width="14.7109375" customWidth="1"/>
    <col min="16" max="16" width="14.28515625" customWidth="1"/>
    <col min="17" max="21" width="14" customWidth="1"/>
    <col min="22" max="28" width="14.42578125" customWidth="1"/>
    <col min="29" max="29" width="16.42578125" bestFit="1" customWidth="1"/>
    <col min="30" max="30" width="14.42578125" customWidth="1"/>
    <col min="31" max="31" width="9.71093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5.650000000000006"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131</v>
      </c>
      <c r="D17" s="573"/>
      <c r="E17" s="573"/>
      <c r="F17" s="573"/>
      <c r="G17" s="573"/>
      <c r="H17" s="573"/>
      <c r="I17" s="573"/>
      <c r="J17" s="573"/>
      <c r="K17" s="573"/>
      <c r="L17" s="573"/>
      <c r="M17" s="573"/>
      <c r="N17" s="573"/>
      <c r="O17" s="573"/>
      <c r="P17" s="573"/>
      <c r="Q17" s="565"/>
      <c r="R17" s="574" t="s">
        <v>132</v>
      </c>
      <c r="S17" s="573"/>
      <c r="T17" s="573"/>
      <c r="U17" s="573"/>
      <c r="V17" s="565"/>
      <c r="W17" s="571">
        <v>1</v>
      </c>
      <c r="X17" s="565"/>
      <c r="Y17" s="572" t="s">
        <v>133</v>
      </c>
      <c r="Z17" s="573"/>
      <c r="AA17" s="573"/>
      <c r="AB17" s="565"/>
      <c r="AC17" s="594">
        <f>+B34</f>
        <v>0.1</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569" t="s">
        <v>138</v>
      </c>
      <c r="B22" s="570"/>
      <c r="C22" s="22"/>
      <c r="D22" s="23"/>
      <c r="E22" s="23"/>
      <c r="F22" s="23"/>
      <c r="G22" s="23"/>
      <c r="H22" s="23"/>
      <c r="I22" s="23"/>
      <c r="J22" s="23"/>
      <c r="K22" s="23"/>
      <c r="L22" s="23"/>
      <c r="M22" s="23"/>
      <c r="N22" s="23"/>
      <c r="O22" s="142">
        <f t="shared" ref="O22:O25" si="0">SUM(C22:N22)</f>
        <v>0</v>
      </c>
      <c r="P22" s="247"/>
      <c r="Q22" s="141">
        <v>291713963</v>
      </c>
      <c r="R22" s="72"/>
      <c r="S22" s="72"/>
      <c r="T22" s="72"/>
      <c r="U22" s="72">
        <v>14000000</v>
      </c>
      <c r="V22" s="72"/>
      <c r="W22" s="72"/>
      <c r="X22" s="72">
        <v>35000000</v>
      </c>
      <c r="Y22" s="72"/>
      <c r="Z22" s="72"/>
      <c r="AA22" s="72"/>
      <c r="AB22" s="72"/>
      <c r="AC22" s="142">
        <f t="shared" ref="AC22:AC23" si="1">SUM(Q22:AB22)</f>
        <v>340713963</v>
      </c>
      <c r="AD22" s="24"/>
      <c r="AE22" s="18"/>
      <c r="AF22" s="18"/>
      <c r="AG22" s="1"/>
      <c r="AH22" s="1"/>
      <c r="AI22" s="1"/>
      <c r="AJ22" s="1"/>
      <c r="AK22" s="1"/>
      <c r="AL22" s="1"/>
      <c r="AM22" s="1"/>
      <c r="AN22" s="1"/>
      <c r="AO22" s="1"/>
    </row>
    <row r="23" spans="1:41" ht="31.5" customHeight="1">
      <c r="A23" s="563" t="s">
        <v>139</v>
      </c>
      <c r="B23" s="535"/>
      <c r="C23" s="25">
        <v>706330045</v>
      </c>
      <c r="D23" s="26"/>
      <c r="E23" s="26">
        <v>-2744000</v>
      </c>
      <c r="F23" s="26">
        <v>0</v>
      </c>
      <c r="G23" s="447">
        <v>-179378</v>
      </c>
      <c r="H23" s="26"/>
      <c r="I23" s="26"/>
      <c r="J23" s="26"/>
      <c r="K23" s="26"/>
      <c r="L23" s="26"/>
      <c r="M23" s="26"/>
      <c r="N23" s="26"/>
      <c r="O23" s="27">
        <f t="shared" si="0"/>
        <v>703406667</v>
      </c>
      <c r="P23" s="155"/>
      <c r="Q23" s="154">
        <v>291713963</v>
      </c>
      <c r="R23" s="28">
        <v>0</v>
      </c>
      <c r="S23" s="427">
        <v>-5124327</v>
      </c>
      <c r="T23" s="427">
        <v>-1608166</v>
      </c>
      <c r="U23" s="26">
        <v>18226536</v>
      </c>
      <c r="V23" s="28"/>
      <c r="W23" s="28"/>
      <c r="X23" s="28"/>
      <c r="Y23" s="28"/>
      <c r="Z23" s="28"/>
      <c r="AA23" s="28"/>
      <c r="AB23" s="28"/>
      <c r="AC23" s="27">
        <f t="shared" si="1"/>
        <v>303208006</v>
      </c>
      <c r="AD23" s="29">
        <f>AC23/AC22</f>
        <v>0.88991951879588804</v>
      </c>
      <c r="AE23" s="358" t="s">
        <v>140</v>
      </c>
      <c r="AF23" s="18"/>
      <c r="AG23" s="1"/>
      <c r="AH23" s="1"/>
      <c r="AI23" s="1"/>
      <c r="AJ23" s="1"/>
      <c r="AK23" s="1"/>
      <c r="AL23" s="1"/>
      <c r="AM23" s="1"/>
      <c r="AN23" s="1"/>
      <c r="AO23" s="1"/>
    </row>
    <row r="24" spans="1:41" ht="31.5" customHeight="1">
      <c r="A24" s="563" t="s">
        <v>141</v>
      </c>
      <c r="B24" s="535"/>
      <c r="C24" s="30"/>
      <c r="D24" s="26">
        <f>6150667</f>
        <v>6150667</v>
      </c>
      <c r="E24" s="26">
        <v>179378</v>
      </c>
      <c r="F24" s="26">
        <f>700000000+E23</f>
        <v>697256000</v>
      </c>
      <c r="G24" s="448"/>
      <c r="H24" s="27"/>
      <c r="I24" s="27"/>
      <c r="J24" s="27"/>
      <c r="K24" s="27"/>
      <c r="L24" s="27"/>
      <c r="M24" s="27"/>
      <c r="N24" s="27"/>
      <c r="O24" s="27">
        <f t="shared" si="0"/>
        <v>703586045</v>
      </c>
      <c r="P24" s="248"/>
      <c r="Q24" s="143"/>
      <c r="R24" s="26">
        <v>11192930</v>
      </c>
      <c r="S24" s="428">
        <v>25522700</v>
      </c>
      <c r="T24" s="26">
        <v>25522700</v>
      </c>
      <c r="U24" s="26">
        <v>25522700</v>
      </c>
      <c r="V24" s="26">
        <v>25522700</v>
      </c>
      <c r="W24" s="26">
        <v>39522700</v>
      </c>
      <c r="X24" s="26">
        <v>25522700</v>
      </c>
      <c r="Y24" s="26">
        <v>25522700</v>
      </c>
      <c r="Z24" s="26">
        <v>25522700</v>
      </c>
      <c r="AA24" s="26">
        <v>32522700</v>
      </c>
      <c r="AB24" s="26">
        <f>32522700+46294033</f>
        <v>78816733</v>
      </c>
      <c r="AC24" s="27">
        <f>SUM(R24:AB24)</f>
        <v>340713963</v>
      </c>
      <c r="AD24" s="29"/>
      <c r="AE24" s="18"/>
      <c r="AF24" s="140"/>
      <c r="AG24" s="1"/>
      <c r="AH24" s="1"/>
      <c r="AI24" s="1"/>
      <c r="AJ24" s="1"/>
      <c r="AK24" s="1"/>
      <c r="AL24" s="1"/>
      <c r="AM24" s="1"/>
      <c r="AN24" s="1"/>
      <c r="AO24" s="1"/>
    </row>
    <row r="25" spans="1:41" ht="31.5" customHeight="1" thickBot="1">
      <c r="A25" s="597" t="s">
        <v>142</v>
      </c>
      <c r="B25" s="598"/>
      <c r="C25" s="31">
        <v>3150000</v>
      </c>
      <c r="D25" s="32">
        <v>256667</v>
      </c>
      <c r="E25" s="32">
        <f>402744000+E23</f>
        <v>400000000</v>
      </c>
      <c r="F25" s="32">
        <v>0</v>
      </c>
      <c r="G25" s="445">
        <v>300000000</v>
      </c>
      <c r="H25" s="32"/>
      <c r="I25" s="32"/>
      <c r="J25" s="32"/>
      <c r="K25" s="32"/>
      <c r="L25" s="32"/>
      <c r="M25" s="32"/>
      <c r="N25" s="32"/>
      <c r="O25" s="33">
        <f t="shared" si="0"/>
        <v>703406667</v>
      </c>
      <c r="P25" s="34">
        <f>O25/O24</f>
        <v>0.99974505179391382</v>
      </c>
      <c r="Q25" s="31"/>
      <c r="R25" s="297">
        <v>6932787</v>
      </c>
      <c r="S25" s="32">
        <v>23074033</v>
      </c>
      <c r="T25" s="32">
        <v>27829900</v>
      </c>
      <c r="U25" s="445">
        <v>21252700</v>
      </c>
      <c r="V25" s="32"/>
      <c r="W25" s="32"/>
      <c r="X25" s="32"/>
      <c r="Y25" s="32"/>
      <c r="Z25" s="32"/>
      <c r="AA25" s="32"/>
      <c r="AB25" s="32"/>
      <c r="AC25" s="33">
        <f>SUM(Q25:AB25)</f>
        <v>79089420</v>
      </c>
      <c r="AD25" s="34">
        <f>AC25/AC24</f>
        <v>0.23212849659466406</v>
      </c>
      <c r="AE25" s="140"/>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54" customHeight="1">
      <c r="A30" s="36" t="s">
        <v>148</v>
      </c>
      <c r="B30" s="554" t="s">
        <v>149</v>
      </c>
      <c r="C30" s="555"/>
      <c r="D30" s="37">
        <v>0.01</v>
      </c>
      <c r="E30" s="250"/>
      <c r="F30" s="37"/>
      <c r="G30" s="250"/>
      <c r="H30" s="250"/>
      <c r="I30" s="250"/>
      <c r="J30" s="250"/>
      <c r="K30" s="250"/>
      <c r="L30" s="250"/>
      <c r="M30" s="250"/>
      <c r="N30" s="250"/>
      <c r="O30" s="250"/>
      <c r="P30" s="414">
        <f>+D30</f>
        <v>0.01</v>
      </c>
      <c r="Q30" s="586" t="s">
        <v>150</v>
      </c>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7.6"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35.6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159.75" customHeight="1">
      <c r="A34" s="550" t="s">
        <v>148</v>
      </c>
      <c r="B34" s="552">
        <f>SUM(B38,B40)</f>
        <v>0.1</v>
      </c>
      <c r="C34" s="217" t="s">
        <v>159</v>
      </c>
      <c r="D34" s="262">
        <f>+D45</f>
        <v>0.72113654999999999</v>
      </c>
      <c r="E34" s="262">
        <f t="shared" ref="E34:O34" si="2">+E45</f>
        <v>0.74927310000000003</v>
      </c>
      <c r="F34" s="262">
        <f t="shared" si="2"/>
        <v>0.77740965000000006</v>
      </c>
      <c r="G34" s="262">
        <f t="shared" si="2"/>
        <v>0.8055462000000001</v>
      </c>
      <c r="H34" s="262">
        <f t="shared" si="2"/>
        <v>0.83368275000000014</v>
      </c>
      <c r="I34" s="262">
        <f t="shared" si="2"/>
        <v>0.86181930000000018</v>
      </c>
      <c r="J34" s="262">
        <f t="shared" si="2"/>
        <v>0.88482895000000017</v>
      </c>
      <c r="K34" s="262">
        <f t="shared" si="2"/>
        <v>0.90783860000000016</v>
      </c>
      <c r="L34" s="262">
        <f t="shared" si="2"/>
        <v>0.93084825000000015</v>
      </c>
      <c r="M34" s="262">
        <f t="shared" si="2"/>
        <v>0.95385790000000015</v>
      </c>
      <c r="N34" s="262">
        <f t="shared" si="2"/>
        <v>0.97686755000000014</v>
      </c>
      <c r="O34" s="252">
        <f t="shared" si="2"/>
        <v>0.99987720000000013</v>
      </c>
      <c r="P34" s="253">
        <f>+O34</f>
        <v>0.99987720000000013</v>
      </c>
      <c r="Q34" s="578" t="s">
        <v>160</v>
      </c>
      <c r="R34" s="579"/>
      <c r="S34" s="579"/>
      <c r="T34" s="579"/>
      <c r="U34" s="579"/>
      <c r="V34" s="580"/>
      <c r="W34" s="578" t="s">
        <v>71</v>
      </c>
      <c r="X34" s="579"/>
      <c r="Y34" s="579"/>
      <c r="Z34" s="580"/>
      <c r="AA34" s="578" t="s">
        <v>161</v>
      </c>
      <c r="AB34" s="579"/>
      <c r="AC34" s="579"/>
      <c r="AD34" s="584"/>
      <c r="AE34" s="1">
        <f>LEN(Q34)</f>
        <v>1688</v>
      </c>
      <c r="AF34" s="1"/>
      <c r="AG34" s="38"/>
      <c r="AH34" s="38"/>
      <c r="AI34" s="38"/>
      <c r="AJ34" s="38"/>
      <c r="AK34" s="38"/>
      <c r="AL34" s="38"/>
      <c r="AM34" s="38"/>
      <c r="AN34" s="38"/>
      <c r="AO34" s="38"/>
    </row>
    <row r="35" spans="1:41" ht="159.75" customHeight="1" thickBot="1">
      <c r="A35" s="551"/>
      <c r="B35" s="553"/>
      <c r="C35" s="214" t="s">
        <v>162</v>
      </c>
      <c r="D35" s="215">
        <f>+D46</f>
        <v>0.72062999999999999</v>
      </c>
      <c r="E35" s="215">
        <f>+E46</f>
        <v>0.74826000000000004</v>
      </c>
      <c r="F35" s="215">
        <f>+F46</f>
        <v>0.77589000000000008</v>
      </c>
      <c r="G35" s="421" t="s">
        <v>163</v>
      </c>
      <c r="H35" s="421">
        <f t="shared" ref="H35:O35" si="3">+H46</f>
        <v>0.81580000000000008</v>
      </c>
      <c r="I35" s="299">
        <f t="shared" si="3"/>
        <v>0.81580000000000008</v>
      </c>
      <c r="J35" s="299">
        <f t="shared" si="3"/>
        <v>0.81580000000000008</v>
      </c>
      <c r="K35" s="299">
        <f t="shared" si="3"/>
        <v>0.81580000000000008</v>
      </c>
      <c r="L35" s="299">
        <f t="shared" si="3"/>
        <v>0.81580000000000008</v>
      </c>
      <c r="M35" s="299">
        <f t="shared" si="3"/>
        <v>0.81580000000000008</v>
      </c>
      <c r="N35" s="299">
        <f t="shared" si="3"/>
        <v>0.81580000000000008</v>
      </c>
      <c r="O35" s="299">
        <f t="shared" si="3"/>
        <v>0.81580000000000008</v>
      </c>
      <c r="P35" s="312">
        <f>H35</f>
        <v>0.81580000000000008</v>
      </c>
      <c r="Q35" s="581"/>
      <c r="R35" s="582"/>
      <c r="S35" s="582"/>
      <c r="T35" s="582"/>
      <c r="U35" s="582"/>
      <c r="V35" s="583"/>
      <c r="W35" s="581"/>
      <c r="X35" s="582"/>
      <c r="Y35" s="582"/>
      <c r="Z35" s="583"/>
      <c r="AA35" s="581"/>
      <c r="AB35" s="582"/>
      <c r="AC35" s="582"/>
      <c r="AD35" s="585"/>
      <c r="AE35" s="40"/>
      <c r="AF35" s="1"/>
      <c r="AG35" s="38"/>
      <c r="AH35" s="38"/>
      <c r="AI35" s="38"/>
      <c r="AJ35" s="38"/>
      <c r="AK35" s="38"/>
      <c r="AL35" s="38"/>
      <c r="AM35" s="38"/>
      <c r="AN35" s="38"/>
      <c r="AO35" s="38"/>
    </row>
    <row r="36" spans="1:41" ht="40.5" customHeight="1">
      <c r="A36" s="525" t="s">
        <v>164</v>
      </c>
      <c r="B36" s="527" t="s">
        <v>165</v>
      </c>
      <c r="C36" s="530" t="s">
        <v>166</v>
      </c>
      <c r="D36" s="531"/>
      <c r="E36" s="531"/>
      <c r="F36" s="531"/>
      <c r="G36" s="531"/>
      <c r="H36" s="531"/>
      <c r="I36" s="531"/>
      <c r="J36" s="531"/>
      <c r="K36" s="531"/>
      <c r="L36" s="531"/>
      <c r="M36" s="531"/>
      <c r="N36" s="531"/>
      <c r="O36" s="531"/>
      <c r="P36" s="532"/>
      <c r="Q36" s="530" t="s">
        <v>167</v>
      </c>
      <c r="R36" s="531"/>
      <c r="S36" s="531"/>
      <c r="T36" s="531"/>
      <c r="U36" s="531"/>
      <c r="V36" s="531"/>
      <c r="W36" s="531"/>
      <c r="X36" s="531"/>
      <c r="Y36" s="531"/>
      <c r="Z36" s="531"/>
      <c r="AA36" s="531"/>
      <c r="AB36" s="531"/>
      <c r="AC36" s="531"/>
      <c r="AD36" s="533"/>
      <c r="AE36" s="1"/>
      <c r="AF36" s="1"/>
      <c r="AG36" s="38"/>
      <c r="AH36" s="38"/>
      <c r="AI36" s="38"/>
      <c r="AJ36" s="38"/>
      <c r="AK36" s="38"/>
      <c r="AL36" s="38"/>
      <c r="AM36" s="38"/>
      <c r="AN36" s="38"/>
      <c r="AO36" s="38"/>
    </row>
    <row r="37" spans="1:41" ht="40.5" customHeight="1">
      <c r="A37" s="526"/>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36"/>
      <c r="AE37" s="1"/>
      <c r="AF37" s="1"/>
      <c r="AG37" s="41"/>
      <c r="AH37" s="41"/>
      <c r="AI37" s="41"/>
      <c r="AJ37" s="41"/>
      <c r="AK37" s="41"/>
      <c r="AL37" s="41"/>
      <c r="AM37" s="41"/>
      <c r="AN37" s="41"/>
      <c r="AO37" s="41"/>
    </row>
    <row r="38" spans="1:41" ht="71.25" customHeight="1">
      <c r="A38" s="521" t="s">
        <v>183</v>
      </c>
      <c r="B38" s="529">
        <v>0.05</v>
      </c>
      <c r="C38" s="217" t="s">
        <v>159</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8">
        <f t="shared" ref="P38:P41" si="4">SUM(D38:O38)</f>
        <v>0.99960000000000016</v>
      </c>
      <c r="Q38" s="537" t="s">
        <v>160</v>
      </c>
      <c r="R38" s="538"/>
      <c r="S38" s="538"/>
      <c r="T38" s="538"/>
      <c r="U38" s="538"/>
      <c r="V38" s="538"/>
      <c r="W38" s="538"/>
      <c r="X38" s="538"/>
      <c r="Y38" s="538"/>
      <c r="Z38" s="538"/>
      <c r="AA38" s="538"/>
      <c r="AB38" s="538"/>
      <c r="AC38" s="538"/>
      <c r="AD38" s="539"/>
      <c r="AE38" s="422"/>
      <c r="AF38" s="1"/>
      <c r="AG38" s="44"/>
      <c r="AH38" s="44"/>
      <c r="AI38" s="44"/>
      <c r="AJ38" s="44"/>
      <c r="AK38" s="44"/>
      <c r="AL38" s="44"/>
      <c r="AM38" s="44"/>
      <c r="AN38" s="44"/>
      <c r="AO38" s="44"/>
    </row>
    <row r="39" spans="1:41" ht="71.25" customHeight="1">
      <c r="A39" s="526"/>
      <c r="B39" s="528"/>
      <c r="C39" s="45" t="s">
        <v>162</v>
      </c>
      <c r="D39" s="46">
        <v>0.08</v>
      </c>
      <c r="E39" s="46">
        <v>0.08</v>
      </c>
      <c r="F39" s="213">
        <v>0.08</v>
      </c>
      <c r="G39" s="46">
        <v>0.08</v>
      </c>
      <c r="H39" s="46">
        <v>0.08</v>
      </c>
      <c r="I39" s="46"/>
      <c r="J39" s="46"/>
      <c r="K39" s="46"/>
      <c r="L39" s="46"/>
      <c r="M39" s="46"/>
      <c r="N39" s="46"/>
      <c r="O39" s="46"/>
      <c r="P39" s="219">
        <f t="shared" si="4"/>
        <v>0.4</v>
      </c>
      <c r="Q39" s="540"/>
      <c r="R39" s="541"/>
      <c r="S39" s="541"/>
      <c r="T39" s="541"/>
      <c r="U39" s="541"/>
      <c r="V39" s="541"/>
      <c r="W39" s="541"/>
      <c r="X39" s="541"/>
      <c r="Y39" s="541"/>
      <c r="Z39" s="541"/>
      <c r="AA39" s="541"/>
      <c r="AB39" s="541"/>
      <c r="AC39" s="541"/>
      <c r="AD39" s="542"/>
      <c r="AE39" s="43"/>
      <c r="AF39" s="1"/>
      <c r="AG39" s="1"/>
      <c r="AH39" s="1"/>
      <c r="AI39" s="1"/>
      <c r="AJ39" s="1"/>
      <c r="AK39" s="1"/>
      <c r="AL39" s="1"/>
      <c r="AM39" s="1"/>
      <c r="AN39" s="1"/>
      <c r="AO39" s="1"/>
    </row>
    <row r="40" spans="1:41" ht="59.1" customHeight="1">
      <c r="A40" s="521" t="s">
        <v>184</v>
      </c>
      <c r="B40" s="523">
        <v>0.05</v>
      </c>
      <c r="C40" s="47" t="s">
        <v>159</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19">
        <f t="shared" si="4"/>
        <v>0.99959999999999993</v>
      </c>
      <c r="Q40" s="543" t="s">
        <v>71</v>
      </c>
      <c r="R40" s="544"/>
      <c r="S40" s="544"/>
      <c r="T40" s="544"/>
      <c r="U40" s="544"/>
      <c r="V40" s="544"/>
      <c r="W40" s="544"/>
      <c r="X40" s="544"/>
      <c r="Y40" s="544"/>
      <c r="Z40" s="544"/>
      <c r="AA40" s="544"/>
      <c r="AB40" s="544"/>
      <c r="AC40" s="544"/>
      <c r="AD40" s="545"/>
      <c r="AE40" s="422"/>
      <c r="AF40" s="1"/>
      <c r="AG40" s="1"/>
      <c r="AH40" s="1"/>
      <c r="AI40" s="1"/>
      <c r="AJ40" s="1"/>
      <c r="AK40" s="1"/>
      <c r="AL40" s="1"/>
      <c r="AM40" s="1"/>
      <c r="AN40" s="1"/>
      <c r="AO40" s="1"/>
    </row>
    <row r="41" spans="1:41" ht="59.1" customHeight="1" thickBot="1">
      <c r="A41" s="522"/>
      <c r="B41" s="524"/>
      <c r="C41" s="220" t="s">
        <v>162</v>
      </c>
      <c r="D41" s="221">
        <v>0.1</v>
      </c>
      <c r="E41" s="221">
        <v>0.1</v>
      </c>
      <c r="F41" s="386">
        <v>0.1</v>
      </c>
      <c r="G41" s="221">
        <v>0.1</v>
      </c>
      <c r="H41" s="221">
        <v>0</v>
      </c>
      <c r="I41" s="221"/>
      <c r="J41" s="221"/>
      <c r="K41" s="221"/>
      <c r="L41" s="222"/>
      <c r="M41" s="222"/>
      <c r="N41" s="222"/>
      <c r="O41" s="222"/>
      <c r="P41" s="223">
        <f t="shared" si="4"/>
        <v>0.4</v>
      </c>
      <c r="Q41" s="546"/>
      <c r="R41" s="546"/>
      <c r="S41" s="546"/>
      <c r="T41" s="546"/>
      <c r="U41" s="546"/>
      <c r="V41" s="546"/>
      <c r="W41" s="546"/>
      <c r="X41" s="546"/>
      <c r="Y41" s="546"/>
      <c r="Z41" s="546"/>
      <c r="AA41" s="546"/>
      <c r="AB41" s="546"/>
      <c r="AC41" s="546"/>
      <c r="AD41" s="547"/>
      <c r="AE41" s="43"/>
      <c r="AF41" s="1"/>
      <c r="AG41" s="1"/>
      <c r="AH41" s="1"/>
      <c r="AI41" s="1"/>
      <c r="AJ41" s="1"/>
      <c r="AK41" s="1"/>
      <c r="AL41" s="1"/>
      <c r="AM41" s="1"/>
      <c r="AN41" s="1"/>
      <c r="AO41" s="1"/>
    </row>
    <row r="42" spans="1:41" ht="14.25" customHeight="1">
      <c r="A42" s="1" t="s">
        <v>185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186</v>
      </c>
      <c r="D45" s="52">
        <f>((((D38+D40)/2)*0.307)+C44)</f>
        <v>0.72113654999999999</v>
      </c>
      <c r="E45" s="52">
        <f t="shared" ref="E45:O45" si="5">((((E38+E40)/2)*0.307)+D45)</f>
        <v>0.74927310000000003</v>
      </c>
      <c r="F45" s="52">
        <f t="shared" si="5"/>
        <v>0.77740965000000006</v>
      </c>
      <c r="G45" s="52">
        <f t="shared" si="5"/>
        <v>0.8055462000000001</v>
      </c>
      <c r="H45" s="52">
        <f t="shared" si="5"/>
        <v>0.83368275000000014</v>
      </c>
      <c r="I45" s="52">
        <f t="shared" si="5"/>
        <v>0.86181930000000018</v>
      </c>
      <c r="J45" s="52">
        <f t="shared" si="5"/>
        <v>0.88482895000000017</v>
      </c>
      <c r="K45" s="52">
        <f t="shared" si="5"/>
        <v>0.90783860000000016</v>
      </c>
      <c r="L45" s="52">
        <f t="shared" si="5"/>
        <v>0.93084825000000015</v>
      </c>
      <c r="M45" s="52">
        <f t="shared" si="5"/>
        <v>0.95385790000000015</v>
      </c>
      <c r="N45" s="52">
        <f t="shared" si="5"/>
        <v>0.97686755000000014</v>
      </c>
      <c r="O45" s="53">
        <f t="shared" si="5"/>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187</v>
      </c>
      <c r="D46" s="55">
        <f>((((D39+D41)/2)*0.307)+C44)</f>
        <v>0.72062999999999999</v>
      </c>
      <c r="E46" s="55">
        <f>((((E39+E41)/2)*0.307)+D46)</f>
        <v>0.74826000000000004</v>
      </c>
      <c r="F46" s="387">
        <f t="shared" ref="F46:O46" si="6">((((F39+F41)/2)*0.307)+E46)</f>
        <v>0.77589000000000008</v>
      </c>
      <c r="G46" s="55">
        <f>((((G39+G41)/2)*0.307)+F46)</f>
        <v>0.80352000000000012</v>
      </c>
      <c r="H46" s="55">
        <f t="shared" si="6"/>
        <v>0.81580000000000008</v>
      </c>
      <c r="I46" s="55">
        <f t="shared" si="6"/>
        <v>0.81580000000000008</v>
      </c>
      <c r="J46" s="55">
        <f t="shared" si="6"/>
        <v>0.81580000000000008</v>
      </c>
      <c r="K46" s="55">
        <f t="shared" si="6"/>
        <v>0.81580000000000008</v>
      </c>
      <c r="L46" s="55">
        <f t="shared" si="6"/>
        <v>0.81580000000000008</v>
      </c>
      <c r="M46" s="55">
        <f t="shared" si="6"/>
        <v>0.81580000000000008</v>
      </c>
      <c r="N46" s="55">
        <f t="shared" si="6"/>
        <v>0.81580000000000008</v>
      </c>
      <c r="O46" s="55">
        <f t="shared" si="6"/>
        <v>0.81580000000000008</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420"/>
      <c r="G48" s="420"/>
      <c r="H48" s="1"/>
      <c r="I48" s="1"/>
      <c r="J48" s="1"/>
      <c r="K48" s="1"/>
      <c r="L48" s="1"/>
      <c r="M48" s="1"/>
      <c r="N48" s="1"/>
      <c r="O48" s="1"/>
      <c r="P48" s="1"/>
      <c r="Q48" s="520"/>
      <c r="R48" s="520"/>
      <c r="S48" s="520"/>
      <c r="T48" s="520"/>
      <c r="U48" s="520"/>
      <c r="V48" s="520"/>
      <c r="W48" s="520"/>
      <c r="X48" s="520"/>
      <c r="Y48" s="520"/>
      <c r="Z48" s="520"/>
      <c r="AA48" s="520"/>
      <c r="AB48" s="520"/>
      <c r="AC48" s="520"/>
      <c r="AD48" s="520"/>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20"/>
      <c r="R49" s="520"/>
      <c r="S49" s="520"/>
      <c r="T49" s="520"/>
      <c r="U49" s="520"/>
      <c r="V49" s="520"/>
      <c r="W49" s="520"/>
      <c r="X49" s="520"/>
      <c r="Y49" s="520"/>
      <c r="Z49" s="520"/>
      <c r="AA49" s="520"/>
      <c r="AB49" s="520"/>
      <c r="AC49" s="520"/>
      <c r="AD49" s="520"/>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298"/>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5">
    <mergeCell ref="C7:C9"/>
    <mergeCell ref="D7:H9"/>
    <mergeCell ref="I7:J9"/>
    <mergeCell ref="K7:L9"/>
    <mergeCell ref="O7:P7"/>
    <mergeCell ref="M8:N8"/>
    <mergeCell ref="O8:P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Q33:V33"/>
    <mergeCell ref="W33:Z33"/>
    <mergeCell ref="AA33:AD33"/>
    <mergeCell ref="W34:Z35"/>
    <mergeCell ref="AA34:AD35"/>
    <mergeCell ref="Q34:V35"/>
    <mergeCell ref="P28:P29"/>
    <mergeCell ref="Q28:AD29"/>
    <mergeCell ref="A24:B24"/>
    <mergeCell ref="A17:B17"/>
    <mergeCell ref="A28:A29"/>
    <mergeCell ref="B28:C29"/>
    <mergeCell ref="A22:B22"/>
    <mergeCell ref="A23:B23"/>
    <mergeCell ref="W17:X17"/>
    <mergeCell ref="Y17:AB17"/>
    <mergeCell ref="A19:AD19"/>
    <mergeCell ref="Q20:AD20"/>
    <mergeCell ref="A32:A33"/>
    <mergeCell ref="A34:A35"/>
    <mergeCell ref="B34:B35"/>
    <mergeCell ref="B30:C30"/>
    <mergeCell ref="B32:B33"/>
    <mergeCell ref="C32:C33"/>
    <mergeCell ref="Q48:AD49"/>
    <mergeCell ref="A40:A41"/>
    <mergeCell ref="B40:B41"/>
    <mergeCell ref="A36:A37"/>
    <mergeCell ref="B36:B37"/>
    <mergeCell ref="A38:A39"/>
    <mergeCell ref="B38:B39"/>
    <mergeCell ref="C36:P36"/>
    <mergeCell ref="Q36:AD36"/>
    <mergeCell ref="Q37:AD37"/>
    <mergeCell ref="Q38:AD39"/>
    <mergeCell ref="Q40:AD41"/>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8 Q40 Q48" xr:uid="{00000000-0002-0000-0000-000001000000}">
      <formula1>LTE(LEN(Q38),(2000))</formula1>
    </dataValidation>
    <dataValidation type="list" allowBlank="1" showInputMessage="1" showErrorMessage="1" sqref="C7:C9" xr:uid="{D65B1D6E-11B2-47C2-A715-E4E762ADD249}">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topLeftCell="A15"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7109375" customWidth="1"/>
    <col min="18" max="18" width="7.42578125" customWidth="1"/>
    <col min="19" max="20" width="10.7109375" customWidth="1"/>
    <col min="21" max="21" width="13" customWidth="1"/>
    <col min="22" max="22" width="7.7109375" customWidth="1"/>
    <col min="23" max="28" width="12.28515625" customWidth="1"/>
    <col min="29" max="29" width="6.42578125" customWidth="1"/>
    <col min="30" max="30" width="22.71093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7109375" customWidth="1"/>
    <col min="39" max="39" width="18.42578125" customWidth="1"/>
  </cols>
  <sheetData>
    <row r="1" spans="1:39"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494"/>
      <c r="Z1" s="671" t="s">
        <v>1</v>
      </c>
      <c r="AA1" s="570"/>
      <c r="AB1" s="589"/>
      <c r="AC1" s="1"/>
      <c r="AD1" s="1"/>
      <c r="AE1" s="1"/>
      <c r="AF1" s="1"/>
      <c r="AG1" s="1"/>
      <c r="AH1" s="1"/>
      <c r="AI1" s="1"/>
      <c r="AJ1" s="1"/>
      <c r="AK1" s="1"/>
      <c r="AL1" s="1"/>
      <c r="AM1" s="1"/>
    </row>
    <row r="2" spans="1:39"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496"/>
      <c r="Z2" s="670" t="s">
        <v>188</v>
      </c>
      <c r="AA2" s="535"/>
      <c r="AB2" s="587"/>
      <c r="AC2" s="1"/>
      <c r="AD2" s="1"/>
      <c r="AE2" s="1"/>
      <c r="AF2" s="1"/>
      <c r="AG2" s="1"/>
      <c r="AH2" s="1"/>
      <c r="AI2" s="1"/>
      <c r="AJ2" s="1"/>
      <c r="AK2" s="1"/>
      <c r="AL2" s="1"/>
      <c r="AM2" s="1"/>
    </row>
    <row r="3" spans="1:39"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496"/>
      <c r="Z3" s="670" t="s">
        <v>189</v>
      </c>
      <c r="AA3" s="535"/>
      <c r="AB3" s="587"/>
      <c r="AC3" s="1"/>
      <c r="AD3" s="1"/>
      <c r="AE3" s="1"/>
      <c r="AF3" s="1"/>
      <c r="AG3" s="1"/>
      <c r="AH3" s="1"/>
      <c r="AI3" s="1"/>
      <c r="AJ3" s="1"/>
      <c r="AK3" s="1"/>
      <c r="AL3" s="1"/>
      <c r="AM3" s="1"/>
    </row>
    <row r="4" spans="1:39" ht="15.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498"/>
      <c r="Z4" s="677" t="s">
        <v>120</v>
      </c>
      <c r="AA4" s="598"/>
      <c r="AB4" s="607"/>
      <c r="AC4" s="1"/>
      <c r="AD4" s="1"/>
      <c r="AE4" s="1"/>
      <c r="AF4" s="1"/>
      <c r="AG4" s="1"/>
      <c r="AH4" s="1"/>
      <c r="AI4" s="1"/>
      <c r="AJ4" s="1"/>
      <c r="AK4" s="1"/>
      <c r="AL4" s="1"/>
      <c r="AM4" s="1"/>
    </row>
    <row r="5" spans="1:39" ht="9" customHeight="1">
      <c r="A5" s="2"/>
      <c r="B5" s="3"/>
      <c r="C5" s="4"/>
      <c r="D5" s="233"/>
      <c r="E5" s="233"/>
      <c r="F5" s="233"/>
      <c r="G5" s="233"/>
      <c r="H5" s="233"/>
      <c r="I5" s="233"/>
      <c r="J5" s="233"/>
      <c r="K5" s="233"/>
      <c r="L5" s="233"/>
      <c r="M5" s="233"/>
      <c r="N5" s="233"/>
      <c r="O5" s="233"/>
      <c r="P5" s="233"/>
      <c r="Q5" s="233"/>
      <c r="R5" s="233"/>
      <c r="S5" s="233"/>
      <c r="T5" s="233"/>
      <c r="U5" s="233"/>
      <c r="V5" s="233"/>
      <c r="W5" s="233"/>
      <c r="X5" s="234"/>
      <c r="Y5" s="233"/>
      <c r="Z5" s="5"/>
      <c r="AA5" s="6"/>
      <c r="AB5" s="7"/>
      <c r="AC5" s="1"/>
      <c r="AD5" s="1"/>
      <c r="AE5" s="1"/>
      <c r="AF5" s="1"/>
      <c r="AG5" s="1"/>
      <c r="AH5" s="1"/>
      <c r="AI5" s="1"/>
      <c r="AJ5" s="1"/>
      <c r="AK5" s="1"/>
      <c r="AL5" s="1"/>
      <c r="AM5" s="1"/>
    </row>
    <row r="6" spans="1:39" ht="9" customHeight="1">
      <c r="A6" s="235"/>
      <c r="B6" s="233"/>
      <c r="C6" s="233"/>
      <c r="D6" s="233"/>
      <c r="E6" s="233"/>
      <c r="F6" s="233"/>
      <c r="G6" s="233"/>
      <c r="H6" s="233"/>
      <c r="I6" s="233"/>
      <c r="J6" s="233"/>
      <c r="K6" s="233"/>
      <c r="L6" s="233"/>
      <c r="M6" s="233"/>
      <c r="N6" s="233"/>
      <c r="O6" s="233"/>
      <c r="P6" s="233"/>
      <c r="Q6" s="233"/>
      <c r="R6" s="233"/>
      <c r="S6" s="233"/>
      <c r="T6" s="233"/>
      <c r="U6" s="233"/>
      <c r="V6" s="233"/>
      <c r="W6" s="233"/>
      <c r="X6" s="234"/>
      <c r="Y6" s="233"/>
      <c r="Z6" s="233"/>
      <c r="AA6" s="236"/>
      <c r="AB6" s="237"/>
      <c r="AC6" s="1"/>
      <c r="AD6" s="1"/>
      <c r="AE6" s="1"/>
      <c r="AF6" s="1"/>
      <c r="AG6" s="1"/>
      <c r="AH6" s="1"/>
      <c r="AI6" s="1"/>
      <c r="AJ6" s="1"/>
      <c r="AK6" s="1"/>
      <c r="AL6" s="1"/>
      <c r="AM6" s="1"/>
    </row>
    <row r="7" spans="1:39" ht="15" customHeight="1">
      <c r="A7" s="602" t="s">
        <v>122</v>
      </c>
      <c r="B7" s="494"/>
      <c r="C7" s="665"/>
      <c r="D7" s="600"/>
      <c r="E7" s="600"/>
      <c r="F7" s="600"/>
      <c r="G7" s="600"/>
      <c r="H7" s="600"/>
      <c r="I7" s="600"/>
      <c r="J7" s="600"/>
      <c r="K7" s="494"/>
      <c r="L7" s="56"/>
      <c r="M7" s="57"/>
      <c r="N7" s="57"/>
      <c r="O7" s="57"/>
      <c r="P7" s="57"/>
      <c r="Q7" s="58"/>
      <c r="R7" s="669" t="s">
        <v>12</v>
      </c>
      <c r="S7" s="600"/>
      <c r="T7" s="494"/>
      <c r="U7" s="668" t="s">
        <v>190</v>
      </c>
      <c r="V7" s="494"/>
      <c r="W7" s="669" t="s">
        <v>13</v>
      </c>
      <c r="X7" s="494"/>
      <c r="Y7" s="679" t="s">
        <v>14</v>
      </c>
      <c r="Z7" s="589"/>
      <c r="AA7" s="678"/>
      <c r="AB7" s="589"/>
      <c r="AC7" s="1"/>
      <c r="AD7" s="1"/>
      <c r="AE7" s="1"/>
      <c r="AF7" s="1"/>
      <c r="AG7" s="1"/>
      <c r="AH7" s="1"/>
      <c r="AI7" s="1"/>
      <c r="AJ7" s="1"/>
      <c r="AK7" s="1"/>
      <c r="AL7" s="1"/>
      <c r="AM7" s="1"/>
    </row>
    <row r="8" spans="1:39" ht="15" customHeight="1">
      <c r="A8" s="495"/>
      <c r="B8" s="496"/>
      <c r="C8" s="495"/>
      <c r="D8" s="601"/>
      <c r="E8" s="601"/>
      <c r="F8" s="601"/>
      <c r="G8" s="601"/>
      <c r="H8" s="601"/>
      <c r="I8" s="601"/>
      <c r="J8" s="601"/>
      <c r="K8" s="496"/>
      <c r="L8" s="56"/>
      <c r="M8" s="57"/>
      <c r="N8" s="57"/>
      <c r="O8" s="57"/>
      <c r="P8" s="57"/>
      <c r="Q8" s="58"/>
      <c r="R8" s="495"/>
      <c r="S8" s="601"/>
      <c r="T8" s="496"/>
      <c r="U8" s="495"/>
      <c r="V8" s="496"/>
      <c r="W8" s="495"/>
      <c r="X8" s="496"/>
      <c r="Y8" s="675" t="s">
        <v>15</v>
      </c>
      <c r="Z8" s="587"/>
      <c r="AA8" s="672"/>
      <c r="AB8" s="587"/>
      <c r="AC8" s="1"/>
      <c r="AD8" s="1"/>
      <c r="AE8" s="1"/>
      <c r="AF8" s="1"/>
      <c r="AG8" s="1"/>
      <c r="AH8" s="1"/>
      <c r="AI8" s="1"/>
      <c r="AJ8" s="1"/>
      <c r="AK8" s="1"/>
      <c r="AL8" s="1"/>
      <c r="AM8" s="1"/>
    </row>
    <row r="9" spans="1:39" ht="15" customHeight="1">
      <c r="A9" s="497"/>
      <c r="B9" s="498"/>
      <c r="C9" s="497"/>
      <c r="D9" s="593"/>
      <c r="E9" s="593"/>
      <c r="F9" s="593"/>
      <c r="G9" s="593"/>
      <c r="H9" s="593"/>
      <c r="I9" s="593"/>
      <c r="J9" s="593"/>
      <c r="K9" s="498"/>
      <c r="L9" s="56"/>
      <c r="M9" s="57"/>
      <c r="N9" s="57"/>
      <c r="O9" s="57"/>
      <c r="P9" s="57"/>
      <c r="Q9" s="58"/>
      <c r="R9" s="497"/>
      <c r="S9" s="593"/>
      <c r="T9" s="498"/>
      <c r="U9" s="497"/>
      <c r="V9" s="498"/>
      <c r="W9" s="497"/>
      <c r="X9" s="498"/>
      <c r="Y9" s="674" t="s">
        <v>8</v>
      </c>
      <c r="Z9" s="607"/>
      <c r="AA9" s="673"/>
      <c r="AB9" s="607"/>
      <c r="AC9" s="1"/>
      <c r="AD9" s="1"/>
      <c r="AE9" s="1"/>
      <c r="AF9" s="1"/>
      <c r="AG9" s="1"/>
      <c r="AH9" s="1"/>
      <c r="AI9" s="1"/>
      <c r="AJ9" s="1"/>
      <c r="AK9" s="1"/>
      <c r="AL9" s="1"/>
      <c r="AM9" s="1"/>
    </row>
    <row r="10" spans="1:39" ht="9" customHeight="1">
      <c r="A10" s="232"/>
      <c r="B10" s="15"/>
      <c r="C10" s="238"/>
      <c r="D10" s="238"/>
      <c r="E10" s="238"/>
      <c r="F10" s="238"/>
      <c r="G10" s="238"/>
      <c r="H10" s="238"/>
      <c r="I10" s="238"/>
      <c r="J10" s="238"/>
      <c r="K10" s="238"/>
      <c r="L10" s="238"/>
      <c r="M10" s="239"/>
      <c r="N10" s="239"/>
      <c r="O10" s="239"/>
      <c r="P10" s="239"/>
      <c r="Q10" s="239"/>
      <c r="R10" s="16"/>
      <c r="S10" s="16"/>
      <c r="T10" s="16"/>
      <c r="U10" s="16"/>
      <c r="V10" s="16"/>
      <c r="W10" s="9"/>
      <c r="X10" s="9"/>
      <c r="Y10" s="9"/>
      <c r="Z10" s="9"/>
      <c r="AA10" s="9"/>
      <c r="AB10" s="240"/>
      <c r="AC10" s="1"/>
      <c r="AD10" s="1"/>
      <c r="AE10" s="1"/>
      <c r="AF10" s="1"/>
      <c r="AG10" s="1"/>
      <c r="AH10" s="1"/>
      <c r="AI10" s="1"/>
      <c r="AJ10" s="1"/>
      <c r="AK10" s="1"/>
      <c r="AL10" s="1"/>
      <c r="AM10" s="1"/>
    </row>
    <row r="11" spans="1:39" ht="39" customHeight="1">
      <c r="A11" s="564" t="s">
        <v>124</v>
      </c>
      <c r="B11" s="565"/>
      <c r="C11" s="667"/>
      <c r="D11" s="573"/>
      <c r="E11" s="573"/>
      <c r="F11" s="573"/>
      <c r="G11" s="573"/>
      <c r="H11" s="573"/>
      <c r="I11" s="573"/>
      <c r="J11" s="573"/>
      <c r="K11" s="565"/>
      <c r="L11" s="59"/>
      <c r="M11" s="574" t="s">
        <v>126</v>
      </c>
      <c r="N11" s="573"/>
      <c r="O11" s="573"/>
      <c r="P11" s="573"/>
      <c r="Q11" s="565"/>
      <c r="R11" s="596"/>
      <c r="S11" s="573"/>
      <c r="T11" s="573"/>
      <c r="U11" s="573"/>
      <c r="V11" s="565"/>
      <c r="W11" s="574" t="s">
        <v>128</v>
      </c>
      <c r="X11" s="565"/>
      <c r="Y11" s="596"/>
      <c r="Z11" s="573"/>
      <c r="AA11" s="573"/>
      <c r="AB11" s="565"/>
      <c r="AC11" s="1"/>
      <c r="AD11" s="1"/>
      <c r="AE11" s="1"/>
      <c r="AF11" s="1"/>
      <c r="AG11" s="1"/>
      <c r="AH11" s="1"/>
      <c r="AI11" s="1"/>
      <c r="AJ11" s="1"/>
      <c r="AK11" s="1"/>
      <c r="AL11" s="1"/>
      <c r="AM11" s="1"/>
    </row>
    <row r="12" spans="1:39" ht="9" customHeight="1">
      <c r="A12" s="235"/>
      <c r="B12" s="233"/>
      <c r="C12" s="595"/>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17"/>
      <c r="AB12" s="241"/>
      <c r="AC12" s="1"/>
      <c r="AD12" s="1"/>
      <c r="AE12" s="1"/>
      <c r="AF12" s="1"/>
      <c r="AG12" s="1"/>
      <c r="AH12" s="1"/>
      <c r="AI12" s="1"/>
      <c r="AJ12" s="1"/>
      <c r="AK12" s="1"/>
      <c r="AL12" s="1"/>
      <c r="AM12" s="1"/>
    </row>
    <row r="13" spans="1:39" ht="37.5" customHeight="1">
      <c r="A13" s="564" t="s">
        <v>130</v>
      </c>
      <c r="B13" s="565"/>
      <c r="C13" s="664"/>
      <c r="D13" s="573"/>
      <c r="E13" s="573"/>
      <c r="F13" s="573"/>
      <c r="G13" s="573"/>
      <c r="H13" s="573"/>
      <c r="I13" s="573"/>
      <c r="J13" s="573"/>
      <c r="K13" s="573"/>
      <c r="L13" s="573"/>
      <c r="M13" s="573"/>
      <c r="N13" s="573"/>
      <c r="O13" s="573"/>
      <c r="P13" s="573"/>
      <c r="Q13" s="565"/>
      <c r="R13" s="233"/>
      <c r="S13" s="666" t="s">
        <v>191</v>
      </c>
      <c r="T13" s="576"/>
      <c r="U13" s="60"/>
      <c r="V13" s="663" t="s">
        <v>133</v>
      </c>
      <c r="W13" s="576"/>
      <c r="X13" s="576"/>
      <c r="Y13" s="576"/>
      <c r="Z13" s="233"/>
      <c r="AA13" s="594"/>
      <c r="AB13" s="565"/>
      <c r="AC13" s="242"/>
      <c r="AD13" s="242"/>
      <c r="AE13" s="242"/>
      <c r="AF13" s="242"/>
      <c r="AG13" s="242"/>
      <c r="AH13" s="242"/>
      <c r="AI13" s="242"/>
      <c r="AJ13" s="242"/>
      <c r="AK13" s="242"/>
      <c r="AL13" s="242"/>
      <c r="AM13" s="242"/>
    </row>
    <row r="14" spans="1:39" ht="16.5" customHeight="1">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5"/>
      <c r="AC14" s="1"/>
      <c r="AD14" s="1"/>
      <c r="AE14" s="1"/>
      <c r="AF14" s="1"/>
      <c r="AG14" s="1"/>
      <c r="AH14" s="1"/>
      <c r="AI14" s="1"/>
      <c r="AJ14" s="1"/>
      <c r="AK14" s="1"/>
      <c r="AL14" s="1"/>
      <c r="AM14" s="1"/>
    </row>
    <row r="15" spans="1:39" ht="24" customHeight="1">
      <c r="A15" s="602" t="s">
        <v>121</v>
      </c>
      <c r="B15" s="494"/>
      <c r="C15" s="660" t="s">
        <v>192</v>
      </c>
      <c r="D15" s="249"/>
      <c r="E15" s="249"/>
      <c r="F15" s="249"/>
      <c r="G15" s="249"/>
      <c r="H15" s="249"/>
      <c r="I15" s="249"/>
      <c r="J15" s="239"/>
      <c r="K15" s="254"/>
      <c r="L15" s="239"/>
      <c r="M15" s="236"/>
      <c r="N15" s="236"/>
      <c r="O15" s="236"/>
      <c r="P15" s="236"/>
      <c r="Q15" s="574" t="s">
        <v>134</v>
      </c>
      <c r="R15" s="573"/>
      <c r="S15" s="573"/>
      <c r="T15" s="573"/>
      <c r="U15" s="573"/>
      <c r="V15" s="573"/>
      <c r="W15" s="573"/>
      <c r="X15" s="573"/>
      <c r="Y15" s="573"/>
      <c r="Z15" s="573"/>
      <c r="AA15" s="573"/>
      <c r="AB15" s="565"/>
      <c r="AC15" s="1"/>
      <c r="AD15" s="1"/>
      <c r="AE15" s="1"/>
      <c r="AF15" s="1"/>
      <c r="AG15" s="1"/>
      <c r="AH15" s="1"/>
      <c r="AI15" s="1"/>
      <c r="AJ15" s="1"/>
      <c r="AK15" s="1"/>
      <c r="AL15" s="1"/>
      <c r="AM15" s="1"/>
    </row>
    <row r="16" spans="1:39" ht="35.25" customHeight="1">
      <c r="A16" s="497"/>
      <c r="B16" s="498"/>
      <c r="C16" s="623"/>
      <c r="D16" s="249"/>
      <c r="E16" s="249"/>
      <c r="F16" s="249"/>
      <c r="G16" s="249"/>
      <c r="H16" s="249"/>
      <c r="I16" s="249"/>
      <c r="J16" s="239"/>
      <c r="K16" s="239"/>
      <c r="L16" s="239"/>
      <c r="M16" s="236"/>
      <c r="N16" s="236"/>
      <c r="O16" s="236"/>
      <c r="P16" s="236"/>
      <c r="Q16" s="680" t="s">
        <v>193</v>
      </c>
      <c r="R16" s="561"/>
      <c r="S16" s="561"/>
      <c r="T16" s="561"/>
      <c r="U16" s="561"/>
      <c r="V16" s="568"/>
      <c r="W16" s="681" t="s">
        <v>194</v>
      </c>
      <c r="X16" s="561"/>
      <c r="Y16" s="561"/>
      <c r="Z16" s="561"/>
      <c r="AA16" s="561"/>
      <c r="AB16" s="562"/>
      <c r="AC16" s="1"/>
      <c r="AD16" s="1"/>
      <c r="AE16" s="1"/>
      <c r="AF16" s="1"/>
      <c r="AG16" s="1"/>
      <c r="AH16" s="1"/>
      <c r="AI16" s="1"/>
      <c r="AJ16" s="1"/>
      <c r="AK16" s="1"/>
      <c r="AL16" s="1"/>
      <c r="AM16" s="1"/>
    </row>
    <row r="17" spans="1:39" ht="27" customHeight="1">
      <c r="A17" s="246"/>
      <c r="B17" s="236"/>
      <c r="C17" s="236"/>
      <c r="D17" s="249"/>
      <c r="E17" s="249"/>
      <c r="F17" s="249"/>
      <c r="G17" s="249"/>
      <c r="H17" s="249"/>
      <c r="I17" s="249"/>
      <c r="J17" s="249"/>
      <c r="K17" s="249"/>
      <c r="L17" s="249"/>
      <c r="M17" s="236"/>
      <c r="N17" s="236"/>
      <c r="O17" s="236"/>
      <c r="P17" s="236"/>
      <c r="Q17" s="683" t="s">
        <v>195</v>
      </c>
      <c r="R17" s="535"/>
      <c r="S17" s="590"/>
      <c r="T17" s="682" t="s">
        <v>196</v>
      </c>
      <c r="U17" s="535"/>
      <c r="V17" s="590"/>
      <c r="W17" s="682" t="s">
        <v>195</v>
      </c>
      <c r="X17" s="590"/>
      <c r="Y17" s="682" t="s">
        <v>197</v>
      </c>
      <c r="Z17" s="590"/>
      <c r="AA17" s="682" t="s">
        <v>198</v>
      </c>
      <c r="AB17" s="587"/>
      <c r="AC17" s="18"/>
      <c r="AD17" s="18"/>
      <c r="AE17" s="1"/>
      <c r="AF17" s="1"/>
      <c r="AG17" s="1"/>
      <c r="AH17" s="1"/>
      <c r="AI17" s="1"/>
      <c r="AJ17" s="1"/>
      <c r="AK17" s="1"/>
      <c r="AL17" s="1"/>
      <c r="AM17" s="1"/>
    </row>
    <row r="18" spans="1:39" ht="27" customHeight="1">
      <c r="A18" s="246"/>
      <c r="B18" s="236"/>
      <c r="C18" s="236"/>
      <c r="D18" s="249"/>
      <c r="E18" s="249"/>
      <c r="F18" s="249"/>
      <c r="G18" s="249"/>
      <c r="H18" s="249"/>
      <c r="I18" s="249"/>
      <c r="J18" s="249"/>
      <c r="K18" s="249"/>
      <c r="L18" s="249"/>
      <c r="M18" s="236"/>
      <c r="N18" s="236"/>
      <c r="O18" s="236"/>
      <c r="P18" s="236"/>
      <c r="Q18" s="61"/>
      <c r="R18" s="255"/>
      <c r="S18" s="62"/>
      <c r="T18" s="682"/>
      <c r="U18" s="535"/>
      <c r="V18" s="590"/>
      <c r="W18" s="63"/>
      <c r="X18" s="64"/>
      <c r="Y18" s="63"/>
      <c r="Z18" s="64"/>
      <c r="AA18" s="63"/>
      <c r="AB18" s="65"/>
      <c r="AC18" s="18"/>
      <c r="AD18" s="18"/>
      <c r="AE18" s="1"/>
      <c r="AF18" s="1"/>
      <c r="AG18" s="1"/>
      <c r="AH18" s="1"/>
      <c r="AI18" s="1"/>
      <c r="AJ18" s="1"/>
      <c r="AK18" s="1"/>
      <c r="AL18" s="1"/>
      <c r="AM18" s="1"/>
    </row>
    <row r="19" spans="1:39" ht="18" customHeight="1">
      <c r="A19" s="235"/>
      <c r="B19" s="233"/>
      <c r="C19" s="249"/>
      <c r="D19" s="249"/>
      <c r="E19" s="249"/>
      <c r="F19" s="249"/>
      <c r="G19" s="256"/>
      <c r="H19" s="256"/>
      <c r="I19" s="256"/>
      <c r="J19" s="256"/>
      <c r="K19" s="256"/>
      <c r="L19" s="256"/>
      <c r="M19" s="249"/>
      <c r="N19" s="249"/>
      <c r="O19" s="249"/>
      <c r="P19" s="249"/>
      <c r="Q19" s="686"/>
      <c r="R19" s="598"/>
      <c r="S19" s="685"/>
      <c r="T19" s="684"/>
      <c r="U19" s="598"/>
      <c r="V19" s="685"/>
      <c r="W19" s="687"/>
      <c r="X19" s="590"/>
      <c r="Y19" s="676"/>
      <c r="Z19" s="590"/>
      <c r="AA19" s="676"/>
      <c r="AB19" s="587"/>
      <c r="AC19" s="18"/>
      <c r="AD19" s="18"/>
      <c r="AE19" s="1"/>
      <c r="AF19" s="1"/>
      <c r="AG19" s="1"/>
      <c r="AH19" s="1"/>
      <c r="AI19" s="1"/>
      <c r="AJ19" s="1"/>
      <c r="AK19" s="1"/>
      <c r="AL19" s="1"/>
      <c r="AM19" s="1"/>
    </row>
    <row r="20" spans="1:39" ht="7.5" customHeight="1">
      <c r="A20" s="235"/>
      <c r="B20" s="233"/>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36"/>
      <c r="AB20" s="237"/>
      <c r="AC20" s="1"/>
      <c r="AD20" s="1"/>
      <c r="AE20" s="1"/>
      <c r="AF20" s="1"/>
      <c r="AG20" s="1"/>
      <c r="AH20" s="1"/>
      <c r="AI20" s="1"/>
      <c r="AJ20" s="1"/>
      <c r="AK20" s="1"/>
      <c r="AL20" s="1"/>
      <c r="AM20" s="1"/>
    </row>
    <row r="21" spans="1:39" ht="17.25" customHeight="1">
      <c r="A21" s="588" t="s">
        <v>143</v>
      </c>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89"/>
      <c r="AC21" s="1"/>
      <c r="AD21" s="1"/>
      <c r="AE21" s="1"/>
      <c r="AF21" s="1"/>
      <c r="AG21" s="1"/>
      <c r="AH21" s="1"/>
      <c r="AI21" s="1"/>
      <c r="AJ21" s="1"/>
      <c r="AK21" s="1"/>
      <c r="AL21" s="1"/>
      <c r="AM21" s="1"/>
    </row>
    <row r="22" spans="1:39" ht="15" customHeight="1">
      <c r="A22" s="566" t="s">
        <v>144</v>
      </c>
      <c r="B22" s="557" t="s">
        <v>145</v>
      </c>
      <c r="C22" s="555"/>
      <c r="D22" s="534" t="s">
        <v>199</v>
      </c>
      <c r="E22" s="535"/>
      <c r="F22" s="535"/>
      <c r="G22" s="535"/>
      <c r="H22" s="535"/>
      <c r="I22" s="535"/>
      <c r="J22" s="535"/>
      <c r="K22" s="535"/>
      <c r="L22" s="535"/>
      <c r="M22" s="535"/>
      <c r="N22" s="535"/>
      <c r="O22" s="590"/>
      <c r="P22" s="556" t="s">
        <v>35</v>
      </c>
      <c r="Q22" s="557" t="s">
        <v>147</v>
      </c>
      <c r="R22" s="558"/>
      <c r="S22" s="558"/>
      <c r="T22" s="558"/>
      <c r="U22" s="558"/>
      <c r="V22" s="558"/>
      <c r="W22" s="558"/>
      <c r="X22" s="558"/>
      <c r="Y22" s="558"/>
      <c r="Z22" s="558"/>
      <c r="AA22" s="558"/>
      <c r="AB22" s="559"/>
      <c r="AC22" s="1"/>
      <c r="AD22" s="1"/>
      <c r="AE22" s="1"/>
      <c r="AF22" s="1"/>
      <c r="AG22" s="1"/>
      <c r="AH22" s="1"/>
      <c r="AI22" s="1"/>
      <c r="AJ22" s="1"/>
      <c r="AK22" s="1"/>
      <c r="AL22" s="1"/>
      <c r="AM22" s="1"/>
    </row>
    <row r="23" spans="1:39" ht="27" customHeight="1">
      <c r="A23" s="567"/>
      <c r="B23" s="560"/>
      <c r="C23" s="568"/>
      <c r="D23" s="35" t="s">
        <v>44</v>
      </c>
      <c r="E23" s="35" t="s">
        <v>45</v>
      </c>
      <c r="F23" s="35" t="s">
        <v>46</v>
      </c>
      <c r="G23" s="35" t="s">
        <v>47</v>
      </c>
      <c r="H23" s="35" t="s">
        <v>48</v>
      </c>
      <c r="I23" s="35" t="s">
        <v>49</v>
      </c>
      <c r="J23" s="35" t="s">
        <v>50</v>
      </c>
      <c r="K23" s="35" t="s">
        <v>51</v>
      </c>
      <c r="L23" s="35" t="s">
        <v>52</v>
      </c>
      <c r="M23" s="35" t="s">
        <v>53</v>
      </c>
      <c r="N23" s="35" t="s">
        <v>54</v>
      </c>
      <c r="O23" s="35" t="s">
        <v>55</v>
      </c>
      <c r="P23" s="528"/>
      <c r="Q23" s="560"/>
      <c r="R23" s="561"/>
      <c r="S23" s="561"/>
      <c r="T23" s="561"/>
      <c r="U23" s="561"/>
      <c r="V23" s="561"/>
      <c r="W23" s="561"/>
      <c r="X23" s="561"/>
      <c r="Y23" s="561"/>
      <c r="Z23" s="561"/>
      <c r="AA23" s="561"/>
      <c r="AB23" s="562"/>
      <c r="AC23" s="1"/>
      <c r="AD23" s="1"/>
      <c r="AE23" s="1"/>
      <c r="AF23" s="1"/>
      <c r="AG23" s="1"/>
      <c r="AH23" s="1"/>
      <c r="AI23" s="1"/>
      <c r="AJ23" s="1"/>
      <c r="AK23" s="1"/>
      <c r="AL23" s="1"/>
      <c r="AM23" s="1"/>
    </row>
    <row r="24" spans="1:39" ht="42" customHeight="1">
      <c r="A24" s="36"/>
      <c r="B24" s="647"/>
      <c r="C24" s="555"/>
      <c r="D24" s="250"/>
      <c r="E24" s="250"/>
      <c r="F24" s="250"/>
      <c r="G24" s="250"/>
      <c r="H24" s="250"/>
      <c r="I24" s="250"/>
      <c r="J24" s="250"/>
      <c r="K24" s="250"/>
      <c r="L24" s="250"/>
      <c r="M24" s="250"/>
      <c r="N24" s="250"/>
      <c r="O24" s="250"/>
      <c r="P24" s="251">
        <f>SUM(D24:O24)</f>
        <v>0</v>
      </c>
      <c r="Q24" s="646" t="s">
        <v>200</v>
      </c>
      <c r="R24" s="535"/>
      <c r="S24" s="535"/>
      <c r="T24" s="535"/>
      <c r="U24" s="535"/>
      <c r="V24" s="535"/>
      <c r="W24" s="535"/>
      <c r="X24" s="535"/>
      <c r="Y24" s="535"/>
      <c r="Z24" s="535"/>
      <c r="AA24" s="535"/>
      <c r="AB24" s="587"/>
      <c r="AC24" s="1"/>
      <c r="AD24" s="1"/>
      <c r="AE24" s="1"/>
      <c r="AF24" s="1"/>
      <c r="AG24" s="1"/>
      <c r="AH24" s="1"/>
      <c r="AI24" s="1"/>
      <c r="AJ24" s="1"/>
      <c r="AK24" s="1"/>
      <c r="AL24" s="1"/>
      <c r="AM24" s="1"/>
    </row>
    <row r="25" spans="1:39" ht="21.75" customHeight="1">
      <c r="A25" s="588" t="s">
        <v>151</v>
      </c>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89"/>
      <c r="AC25" s="1"/>
      <c r="AD25" s="1"/>
      <c r="AE25" s="1"/>
      <c r="AF25" s="1"/>
      <c r="AG25" s="1"/>
      <c r="AH25" s="1"/>
      <c r="AI25" s="1"/>
      <c r="AJ25" s="1"/>
      <c r="AK25" s="1"/>
      <c r="AL25" s="1"/>
      <c r="AM25" s="1"/>
    </row>
    <row r="26" spans="1:39" ht="22.5" customHeight="1">
      <c r="A26" s="548" t="s">
        <v>152</v>
      </c>
      <c r="B26" s="556" t="s">
        <v>153</v>
      </c>
      <c r="C26" s="556" t="s">
        <v>145</v>
      </c>
      <c r="D26" s="534" t="s">
        <v>154</v>
      </c>
      <c r="E26" s="535"/>
      <c r="F26" s="535"/>
      <c r="G26" s="535"/>
      <c r="H26" s="535"/>
      <c r="I26" s="535"/>
      <c r="J26" s="535"/>
      <c r="K26" s="535"/>
      <c r="L26" s="535"/>
      <c r="M26" s="535"/>
      <c r="N26" s="535"/>
      <c r="O26" s="535"/>
      <c r="P26" s="590"/>
      <c r="Q26" s="534" t="s">
        <v>155</v>
      </c>
      <c r="R26" s="535"/>
      <c r="S26" s="535"/>
      <c r="T26" s="535"/>
      <c r="U26" s="535"/>
      <c r="V26" s="535"/>
      <c r="W26" s="535"/>
      <c r="X26" s="535"/>
      <c r="Y26" s="535"/>
      <c r="Z26" s="535"/>
      <c r="AA26" s="535"/>
      <c r="AB26" s="587"/>
      <c r="AC26" s="1"/>
      <c r="AD26" s="1"/>
      <c r="AE26" s="38"/>
      <c r="AF26" s="38"/>
      <c r="AG26" s="38"/>
      <c r="AH26" s="38"/>
      <c r="AI26" s="38"/>
      <c r="AJ26" s="38"/>
      <c r="AK26" s="38"/>
      <c r="AL26" s="38"/>
      <c r="AM26" s="38"/>
    </row>
    <row r="27" spans="1:39" ht="22.5" customHeight="1">
      <c r="A27" s="549"/>
      <c r="B27" s="528"/>
      <c r="C27" s="528"/>
      <c r="D27" s="35" t="s">
        <v>44</v>
      </c>
      <c r="E27" s="35" t="s">
        <v>45</v>
      </c>
      <c r="F27" s="35" t="s">
        <v>46</v>
      </c>
      <c r="G27" s="35" t="s">
        <v>47</v>
      </c>
      <c r="H27" s="35" t="s">
        <v>48</v>
      </c>
      <c r="I27" s="35" t="s">
        <v>49</v>
      </c>
      <c r="J27" s="35" t="s">
        <v>50</v>
      </c>
      <c r="K27" s="35" t="s">
        <v>51</v>
      </c>
      <c r="L27" s="35" t="s">
        <v>52</v>
      </c>
      <c r="M27" s="35" t="s">
        <v>53</v>
      </c>
      <c r="N27" s="35" t="s">
        <v>54</v>
      </c>
      <c r="O27" s="35" t="s">
        <v>55</v>
      </c>
      <c r="P27" s="35" t="s">
        <v>35</v>
      </c>
      <c r="Q27" s="577" t="s">
        <v>156</v>
      </c>
      <c r="R27" s="561"/>
      <c r="S27" s="561"/>
      <c r="T27" s="568"/>
      <c r="U27" s="577" t="s">
        <v>157</v>
      </c>
      <c r="V27" s="561"/>
      <c r="W27" s="561"/>
      <c r="X27" s="568"/>
      <c r="Y27" s="577" t="s">
        <v>158</v>
      </c>
      <c r="Z27" s="561"/>
      <c r="AA27" s="561"/>
      <c r="AB27" s="562"/>
      <c r="AC27" s="1"/>
      <c r="AD27" s="1"/>
      <c r="AE27" s="38"/>
      <c r="AF27" s="38"/>
      <c r="AG27" s="38"/>
      <c r="AH27" s="38"/>
      <c r="AI27" s="38"/>
      <c r="AJ27" s="38"/>
      <c r="AK27" s="38"/>
      <c r="AL27" s="38"/>
      <c r="AM27" s="38"/>
    </row>
    <row r="28" spans="1:39" ht="33" customHeight="1">
      <c r="A28" s="661"/>
      <c r="B28" s="662"/>
      <c r="C28" s="217" t="s">
        <v>159</v>
      </c>
      <c r="D28" s="250"/>
      <c r="E28" s="250"/>
      <c r="F28" s="250"/>
      <c r="G28" s="250"/>
      <c r="H28" s="250"/>
      <c r="I28" s="250"/>
      <c r="J28" s="250"/>
      <c r="K28" s="250"/>
      <c r="L28" s="250"/>
      <c r="M28" s="250"/>
      <c r="N28" s="250"/>
      <c r="O28" s="250"/>
      <c r="P28" s="257">
        <f t="shared" ref="P28:P29" si="0">SUM(D28:O28)</f>
        <v>0</v>
      </c>
      <c r="Q28" s="653" t="s">
        <v>201</v>
      </c>
      <c r="R28" s="558"/>
      <c r="S28" s="558"/>
      <c r="T28" s="555"/>
      <c r="U28" s="653" t="s">
        <v>202</v>
      </c>
      <c r="V28" s="558"/>
      <c r="W28" s="558"/>
      <c r="X28" s="555"/>
      <c r="Y28" s="653" t="s">
        <v>203</v>
      </c>
      <c r="Z28" s="558"/>
      <c r="AA28" s="558"/>
      <c r="AB28" s="559"/>
      <c r="AC28" s="1"/>
      <c r="AD28" s="1"/>
      <c r="AE28" s="38"/>
      <c r="AF28" s="38"/>
      <c r="AG28" s="38"/>
      <c r="AH28" s="38"/>
      <c r="AI28" s="38"/>
      <c r="AJ28" s="38"/>
      <c r="AK28" s="38"/>
      <c r="AL28" s="38"/>
      <c r="AM28" s="38"/>
    </row>
    <row r="29" spans="1:39" ht="33.75" customHeight="1">
      <c r="A29" s="654"/>
      <c r="B29" s="656"/>
      <c r="C29" s="39" t="s">
        <v>162</v>
      </c>
      <c r="D29" s="66"/>
      <c r="E29" s="66"/>
      <c r="F29" s="66"/>
      <c r="G29" s="67"/>
      <c r="H29" s="67"/>
      <c r="I29" s="67"/>
      <c r="J29" s="67"/>
      <c r="K29" s="67"/>
      <c r="L29" s="67"/>
      <c r="M29" s="67"/>
      <c r="N29" s="67"/>
      <c r="O29" s="67"/>
      <c r="P29" s="68">
        <f t="shared" si="0"/>
        <v>0</v>
      </c>
      <c r="Q29" s="657"/>
      <c r="R29" s="593"/>
      <c r="S29" s="593"/>
      <c r="T29" s="688"/>
      <c r="U29" s="657"/>
      <c r="V29" s="593"/>
      <c r="W29" s="593"/>
      <c r="X29" s="688"/>
      <c r="Y29" s="657"/>
      <c r="Z29" s="593"/>
      <c r="AA29" s="593"/>
      <c r="AB29" s="498"/>
      <c r="AC29" s="40"/>
      <c r="AD29" s="1"/>
      <c r="AE29" s="38"/>
      <c r="AF29" s="38"/>
      <c r="AG29" s="38"/>
      <c r="AH29" s="38"/>
      <c r="AI29" s="38"/>
      <c r="AJ29" s="38"/>
      <c r="AK29" s="38"/>
      <c r="AL29" s="38"/>
      <c r="AM29" s="38"/>
    </row>
    <row r="30" spans="1:39" ht="25.5" customHeight="1">
      <c r="A30" s="644" t="s">
        <v>164</v>
      </c>
      <c r="B30" s="648" t="s">
        <v>165</v>
      </c>
      <c r="C30" s="649" t="s">
        <v>166</v>
      </c>
      <c r="D30" s="570"/>
      <c r="E30" s="570"/>
      <c r="F30" s="570"/>
      <c r="G30" s="570"/>
      <c r="H30" s="570"/>
      <c r="I30" s="570"/>
      <c r="J30" s="570"/>
      <c r="K30" s="570"/>
      <c r="L30" s="570"/>
      <c r="M30" s="570"/>
      <c r="N30" s="570"/>
      <c r="O30" s="570"/>
      <c r="P30" s="650"/>
      <c r="Q30" s="649" t="s">
        <v>167</v>
      </c>
      <c r="R30" s="570"/>
      <c r="S30" s="570"/>
      <c r="T30" s="570"/>
      <c r="U30" s="570"/>
      <c r="V30" s="570"/>
      <c r="W30" s="570"/>
      <c r="X30" s="570"/>
      <c r="Y30" s="570"/>
      <c r="Z30" s="570"/>
      <c r="AA30" s="570"/>
      <c r="AB30" s="589"/>
      <c r="AC30" s="1"/>
      <c r="AD30" s="1"/>
      <c r="AE30" s="38"/>
      <c r="AF30" s="38"/>
      <c r="AG30" s="38"/>
      <c r="AH30" s="38"/>
      <c r="AI30" s="38"/>
      <c r="AJ30" s="38"/>
      <c r="AK30" s="38"/>
      <c r="AL30" s="38"/>
      <c r="AM30" s="38"/>
    </row>
    <row r="31" spans="1:39" ht="25.5" customHeight="1">
      <c r="A31" s="549"/>
      <c r="B31" s="528"/>
      <c r="C31" s="35" t="s">
        <v>168</v>
      </c>
      <c r="D31" s="35" t="s">
        <v>169</v>
      </c>
      <c r="E31" s="35" t="s">
        <v>170</v>
      </c>
      <c r="F31" s="35" t="s">
        <v>171</v>
      </c>
      <c r="G31" s="35" t="s">
        <v>172</v>
      </c>
      <c r="H31" s="35" t="s">
        <v>173</v>
      </c>
      <c r="I31" s="35" t="s">
        <v>174</v>
      </c>
      <c r="J31" s="35" t="s">
        <v>175</v>
      </c>
      <c r="K31" s="35" t="s">
        <v>176</v>
      </c>
      <c r="L31" s="35" t="s">
        <v>177</v>
      </c>
      <c r="M31" s="35" t="s">
        <v>178</v>
      </c>
      <c r="N31" s="35" t="s">
        <v>179</v>
      </c>
      <c r="O31" s="35" t="s">
        <v>180</v>
      </c>
      <c r="P31" s="35" t="s">
        <v>181</v>
      </c>
      <c r="Q31" s="534" t="s">
        <v>182</v>
      </c>
      <c r="R31" s="535"/>
      <c r="S31" s="535"/>
      <c r="T31" s="535"/>
      <c r="U31" s="535"/>
      <c r="V31" s="535"/>
      <c r="W31" s="535"/>
      <c r="X31" s="535"/>
      <c r="Y31" s="535"/>
      <c r="Z31" s="535"/>
      <c r="AA31" s="535"/>
      <c r="AB31" s="587"/>
      <c r="AC31" s="1"/>
      <c r="AD31" s="1"/>
      <c r="AE31" s="41"/>
      <c r="AF31" s="41"/>
      <c r="AG31" s="41"/>
      <c r="AH31" s="41"/>
      <c r="AI31" s="41"/>
      <c r="AJ31" s="41"/>
      <c r="AK31" s="41"/>
      <c r="AL31" s="41"/>
      <c r="AM31" s="41"/>
    </row>
    <row r="32" spans="1:39" ht="28.5" customHeight="1">
      <c r="A32" s="643"/>
      <c r="B32" s="659"/>
      <c r="C32" s="217" t="s">
        <v>159</v>
      </c>
      <c r="D32" s="258"/>
      <c r="E32" s="258"/>
      <c r="F32" s="258"/>
      <c r="G32" s="258"/>
      <c r="H32" s="258"/>
      <c r="I32" s="258"/>
      <c r="J32" s="258"/>
      <c r="K32" s="258"/>
      <c r="L32" s="258"/>
      <c r="M32" s="258"/>
      <c r="N32" s="258"/>
      <c r="O32" s="258"/>
      <c r="P32" s="218">
        <f t="shared" ref="P32:P39" si="1">SUM(D32:O32)</f>
        <v>0</v>
      </c>
      <c r="Q32" s="651" t="s">
        <v>204</v>
      </c>
      <c r="R32" s="558"/>
      <c r="S32" s="558"/>
      <c r="T32" s="558"/>
      <c r="U32" s="558"/>
      <c r="V32" s="558"/>
      <c r="W32" s="558"/>
      <c r="X32" s="558"/>
      <c r="Y32" s="558"/>
      <c r="Z32" s="558"/>
      <c r="AA32" s="558"/>
      <c r="AB32" s="559"/>
      <c r="AC32" s="43"/>
      <c r="AD32" s="1"/>
      <c r="AE32" s="44"/>
      <c r="AF32" s="44"/>
      <c r="AG32" s="44"/>
      <c r="AH32" s="44"/>
      <c r="AI32" s="44"/>
      <c r="AJ32" s="44"/>
      <c r="AK32" s="44"/>
      <c r="AL32" s="44"/>
      <c r="AM32" s="44"/>
    </row>
    <row r="33" spans="1:39" ht="28.5" customHeight="1">
      <c r="A33" s="549"/>
      <c r="B33" s="528"/>
      <c r="C33" s="45" t="s">
        <v>162</v>
      </c>
      <c r="D33" s="46"/>
      <c r="E33" s="46"/>
      <c r="F33" s="46"/>
      <c r="G33" s="46"/>
      <c r="H33" s="46"/>
      <c r="I33" s="46"/>
      <c r="J33" s="46"/>
      <c r="K33" s="46"/>
      <c r="L33" s="46"/>
      <c r="M33" s="46"/>
      <c r="N33" s="46"/>
      <c r="O33" s="46"/>
      <c r="P33" s="219">
        <f t="shared" si="1"/>
        <v>0</v>
      </c>
      <c r="Q33" s="652"/>
      <c r="R33" s="601"/>
      <c r="S33" s="601"/>
      <c r="T33" s="601"/>
      <c r="U33" s="601"/>
      <c r="V33" s="601"/>
      <c r="W33" s="601"/>
      <c r="X33" s="601"/>
      <c r="Y33" s="601"/>
      <c r="Z33" s="601"/>
      <c r="AA33" s="601"/>
      <c r="AB33" s="496"/>
      <c r="AC33" s="43"/>
      <c r="AD33" s="1"/>
      <c r="AE33" s="1"/>
      <c r="AF33" s="1"/>
      <c r="AG33" s="1"/>
      <c r="AH33" s="1"/>
      <c r="AI33" s="1"/>
      <c r="AJ33" s="1"/>
      <c r="AK33" s="1"/>
      <c r="AL33" s="1"/>
      <c r="AM33" s="1"/>
    </row>
    <row r="34" spans="1:39" ht="28.5" customHeight="1">
      <c r="A34" s="645"/>
      <c r="B34" s="655"/>
      <c r="C34" s="47" t="s">
        <v>159</v>
      </c>
      <c r="D34" s="69"/>
      <c r="E34" s="69"/>
      <c r="F34" s="69"/>
      <c r="G34" s="69"/>
      <c r="H34" s="69"/>
      <c r="I34" s="69"/>
      <c r="J34" s="69"/>
      <c r="K34" s="69"/>
      <c r="L34" s="69"/>
      <c r="M34" s="69"/>
      <c r="N34" s="69"/>
      <c r="O34" s="69"/>
      <c r="P34" s="219">
        <f t="shared" si="1"/>
        <v>0</v>
      </c>
      <c r="Q34" s="653"/>
      <c r="R34" s="558"/>
      <c r="S34" s="558"/>
      <c r="T34" s="558"/>
      <c r="U34" s="558"/>
      <c r="V34" s="558"/>
      <c r="W34" s="558"/>
      <c r="X34" s="558"/>
      <c r="Y34" s="558"/>
      <c r="Z34" s="558"/>
      <c r="AA34" s="558"/>
      <c r="AB34" s="559"/>
      <c r="AC34" s="43"/>
      <c r="AD34" s="1"/>
      <c r="AE34" s="1"/>
      <c r="AF34" s="1"/>
      <c r="AG34" s="1"/>
      <c r="AH34" s="1"/>
      <c r="AI34" s="1"/>
      <c r="AJ34" s="1"/>
      <c r="AK34" s="1"/>
      <c r="AL34" s="1"/>
      <c r="AM34" s="1"/>
    </row>
    <row r="35" spans="1:39" ht="28.5" customHeight="1">
      <c r="A35" s="549"/>
      <c r="B35" s="528"/>
      <c r="C35" s="45" t="s">
        <v>162</v>
      </c>
      <c r="D35" s="46"/>
      <c r="E35" s="46"/>
      <c r="F35" s="46"/>
      <c r="G35" s="46"/>
      <c r="H35" s="46"/>
      <c r="I35" s="46"/>
      <c r="J35" s="46"/>
      <c r="K35" s="46"/>
      <c r="L35" s="48"/>
      <c r="M35" s="48"/>
      <c r="N35" s="48"/>
      <c r="O35" s="48"/>
      <c r="P35" s="219">
        <f t="shared" si="1"/>
        <v>0</v>
      </c>
      <c r="Q35" s="652"/>
      <c r="R35" s="601"/>
      <c r="S35" s="601"/>
      <c r="T35" s="601"/>
      <c r="U35" s="601"/>
      <c r="V35" s="601"/>
      <c r="W35" s="601"/>
      <c r="X35" s="601"/>
      <c r="Y35" s="601"/>
      <c r="Z35" s="601"/>
      <c r="AA35" s="601"/>
      <c r="AB35" s="496"/>
      <c r="AC35" s="43"/>
      <c r="AD35" s="1"/>
      <c r="AE35" s="1"/>
      <c r="AF35" s="1"/>
      <c r="AG35" s="1"/>
      <c r="AH35" s="1"/>
      <c r="AI35" s="1"/>
      <c r="AJ35" s="1"/>
      <c r="AK35" s="1"/>
      <c r="AL35" s="1"/>
      <c r="AM35" s="1"/>
    </row>
    <row r="36" spans="1:39" ht="28.5" customHeight="1">
      <c r="A36" s="658"/>
      <c r="B36" s="655"/>
      <c r="C36" s="47" t="s">
        <v>159</v>
      </c>
      <c r="D36" s="69"/>
      <c r="E36" s="69"/>
      <c r="F36" s="69"/>
      <c r="G36" s="69"/>
      <c r="H36" s="69"/>
      <c r="I36" s="69"/>
      <c r="J36" s="69"/>
      <c r="K36" s="69"/>
      <c r="L36" s="69"/>
      <c r="M36" s="69"/>
      <c r="N36" s="69"/>
      <c r="O36" s="69"/>
      <c r="P36" s="219">
        <f t="shared" si="1"/>
        <v>0</v>
      </c>
      <c r="Q36" s="653"/>
      <c r="R36" s="558"/>
      <c r="S36" s="558"/>
      <c r="T36" s="558"/>
      <c r="U36" s="558"/>
      <c r="V36" s="558"/>
      <c r="W36" s="558"/>
      <c r="X36" s="558"/>
      <c r="Y36" s="558"/>
      <c r="Z36" s="558"/>
      <c r="AA36" s="558"/>
      <c r="AB36" s="559"/>
      <c r="AC36" s="43"/>
      <c r="AD36" s="1"/>
      <c r="AE36" s="1"/>
      <c r="AF36" s="1"/>
      <c r="AG36" s="1"/>
      <c r="AH36" s="1"/>
      <c r="AI36" s="1"/>
      <c r="AJ36" s="1"/>
      <c r="AK36" s="1"/>
      <c r="AL36" s="1"/>
      <c r="AM36" s="1"/>
    </row>
    <row r="37" spans="1:39" ht="28.5" customHeight="1">
      <c r="A37" s="549"/>
      <c r="B37" s="528"/>
      <c r="C37" s="45" t="s">
        <v>162</v>
      </c>
      <c r="D37" s="46"/>
      <c r="E37" s="46"/>
      <c r="F37" s="46"/>
      <c r="G37" s="46"/>
      <c r="H37" s="46"/>
      <c r="I37" s="46"/>
      <c r="J37" s="46"/>
      <c r="K37" s="46"/>
      <c r="L37" s="48"/>
      <c r="M37" s="48"/>
      <c r="N37" s="48"/>
      <c r="O37" s="48"/>
      <c r="P37" s="219">
        <f t="shared" si="1"/>
        <v>0</v>
      </c>
      <c r="Q37" s="652"/>
      <c r="R37" s="601"/>
      <c r="S37" s="601"/>
      <c r="T37" s="601"/>
      <c r="U37" s="601"/>
      <c r="V37" s="601"/>
      <c r="W37" s="601"/>
      <c r="X37" s="601"/>
      <c r="Y37" s="601"/>
      <c r="Z37" s="601"/>
      <c r="AA37" s="601"/>
      <c r="AB37" s="496"/>
      <c r="AC37" s="43"/>
      <c r="AD37" s="1"/>
      <c r="AE37" s="1"/>
      <c r="AF37" s="1"/>
      <c r="AG37" s="1"/>
      <c r="AH37" s="1"/>
      <c r="AI37" s="1"/>
      <c r="AJ37" s="1"/>
      <c r="AK37" s="1"/>
      <c r="AL37" s="1"/>
      <c r="AM37" s="1"/>
    </row>
    <row r="38" spans="1:39" ht="28.5" customHeight="1">
      <c r="A38" s="645"/>
      <c r="B38" s="655"/>
      <c r="C38" s="47" t="s">
        <v>159</v>
      </c>
      <c r="D38" s="69"/>
      <c r="E38" s="69"/>
      <c r="F38" s="69"/>
      <c r="G38" s="69"/>
      <c r="H38" s="69"/>
      <c r="I38" s="69"/>
      <c r="J38" s="69"/>
      <c r="K38" s="69"/>
      <c r="L38" s="69"/>
      <c r="M38" s="69"/>
      <c r="N38" s="69"/>
      <c r="O38" s="69"/>
      <c r="P38" s="219">
        <f t="shared" si="1"/>
        <v>0</v>
      </c>
      <c r="Q38" s="653"/>
      <c r="R38" s="558"/>
      <c r="S38" s="558"/>
      <c r="T38" s="558"/>
      <c r="U38" s="558"/>
      <c r="V38" s="558"/>
      <c r="W38" s="558"/>
      <c r="X38" s="558"/>
      <c r="Y38" s="558"/>
      <c r="Z38" s="558"/>
      <c r="AA38" s="558"/>
      <c r="AB38" s="559"/>
      <c r="AC38" s="43"/>
      <c r="AD38" s="1"/>
      <c r="AE38" s="1"/>
      <c r="AF38" s="1"/>
      <c r="AG38" s="1"/>
      <c r="AH38" s="1"/>
      <c r="AI38" s="1"/>
      <c r="AJ38" s="1"/>
      <c r="AK38" s="1"/>
      <c r="AL38" s="1"/>
      <c r="AM38" s="1"/>
    </row>
    <row r="39" spans="1:39" ht="28.5" customHeight="1">
      <c r="A39" s="654"/>
      <c r="B39" s="656"/>
      <c r="C39" s="39" t="s">
        <v>162</v>
      </c>
      <c r="D39" s="70"/>
      <c r="E39" s="70"/>
      <c r="F39" s="70"/>
      <c r="G39" s="70"/>
      <c r="H39" s="70"/>
      <c r="I39" s="70"/>
      <c r="J39" s="70"/>
      <c r="K39" s="70"/>
      <c r="L39" s="71"/>
      <c r="M39" s="71"/>
      <c r="N39" s="71"/>
      <c r="O39" s="71"/>
      <c r="P39" s="259">
        <f t="shared" si="1"/>
        <v>0</v>
      </c>
      <c r="Q39" s="657"/>
      <c r="R39" s="593"/>
      <c r="S39" s="593"/>
      <c r="T39" s="593"/>
      <c r="U39" s="593"/>
      <c r="V39" s="593"/>
      <c r="W39" s="593"/>
      <c r="X39" s="593"/>
      <c r="Y39" s="593"/>
      <c r="Z39" s="593"/>
      <c r="AA39" s="593"/>
      <c r="AB39" s="498"/>
      <c r="AC39" s="43"/>
      <c r="AD39" s="1"/>
      <c r="AE39" s="1"/>
      <c r="AF39" s="1"/>
      <c r="AG39" s="1"/>
      <c r="AH39" s="1"/>
      <c r="AI39" s="1"/>
      <c r="AJ39" s="1"/>
      <c r="AK39" s="1"/>
      <c r="AL39" s="1"/>
      <c r="AM39" s="1"/>
    </row>
    <row r="40" spans="1:39" ht="14.25" customHeight="1">
      <c r="A40" s="1" t="s">
        <v>185</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Y28:AB29"/>
    <mergeCell ref="Q26:AB26"/>
    <mergeCell ref="Q27:T27"/>
    <mergeCell ref="T19:V19"/>
    <mergeCell ref="T18:V18"/>
    <mergeCell ref="Q19:S19"/>
    <mergeCell ref="W19:X19"/>
    <mergeCell ref="Q28:T29"/>
    <mergeCell ref="U27:X27"/>
    <mergeCell ref="U28:X29"/>
    <mergeCell ref="Q16:V16"/>
    <mergeCell ref="W16:AB16"/>
    <mergeCell ref="T17:V17"/>
    <mergeCell ref="Y17:Z17"/>
    <mergeCell ref="AA17:AB17"/>
    <mergeCell ref="Q17:S17"/>
    <mergeCell ref="W17:X17"/>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B1:Y1"/>
    <mergeCell ref="B2:Y2"/>
    <mergeCell ref="R11:V11"/>
    <mergeCell ref="M11:Q11"/>
    <mergeCell ref="U7:V9"/>
    <mergeCell ref="W7:X9"/>
    <mergeCell ref="R7:T9"/>
    <mergeCell ref="B3:Y4"/>
    <mergeCell ref="C13:Q13"/>
    <mergeCell ref="C7:K9"/>
    <mergeCell ref="W11:X11"/>
    <mergeCell ref="S13:T13"/>
    <mergeCell ref="C11:K11"/>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Q36:AB37"/>
    <mergeCell ref="Q34:AB35"/>
    <mergeCell ref="A38:A39"/>
    <mergeCell ref="B38:B39"/>
    <mergeCell ref="Q38:AB39"/>
    <mergeCell ref="A36:A37"/>
    <mergeCell ref="B34:B35"/>
    <mergeCell ref="B36:B37"/>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view="pageBreakPreview" topLeftCell="A31" zoomScale="75" zoomScaleNormal="20" zoomScaleSheetLayoutView="75" workbookViewId="0">
      <selection activeCell="AC24" sqref="AC24"/>
    </sheetView>
  </sheetViews>
  <sheetFormatPr baseColWidth="10" defaultColWidth="14.42578125" defaultRowHeight="15" customHeight="1"/>
  <cols>
    <col min="1" max="1" width="38.42578125" customWidth="1"/>
    <col min="2" max="2" width="14.7109375" customWidth="1"/>
    <col min="3" max="3" width="17.28515625" customWidth="1"/>
    <col min="4" max="5" width="12.5703125" customWidth="1"/>
    <col min="6" max="15" width="12.7109375" customWidth="1"/>
    <col min="16" max="16" width="14" customWidth="1"/>
    <col min="17" max="17" width="15.28515625" bestFit="1" customWidth="1"/>
    <col min="18" max="18" width="12.7109375" customWidth="1"/>
    <col min="19" max="21" width="14" customWidth="1"/>
    <col min="22" max="22" width="13.5703125" customWidth="1"/>
    <col min="23" max="23" width="15.42578125" customWidth="1"/>
    <col min="24" max="24" width="14" customWidth="1"/>
    <col min="25" max="28" width="15.42578125" customWidth="1"/>
    <col min="29" max="29" width="16.42578125" bestFit="1" customWidth="1"/>
    <col min="30" max="30" width="15.42578125" customWidth="1"/>
    <col min="31" max="31" width="11.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80.099999999999994"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205</v>
      </c>
      <c r="D17" s="573"/>
      <c r="E17" s="573"/>
      <c r="F17" s="573"/>
      <c r="G17" s="573"/>
      <c r="H17" s="573"/>
      <c r="I17" s="573"/>
      <c r="J17" s="573"/>
      <c r="K17" s="573"/>
      <c r="L17" s="573"/>
      <c r="M17" s="573"/>
      <c r="N17" s="573"/>
      <c r="O17" s="573"/>
      <c r="P17" s="573"/>
      <c r="Q17" s="565"/>
      <c r="R17" s="574" t="s">
        <v>132</v>
      </c>
      <c r="S17" s="573"/>
      <c r="T17" s="573"/>
      <c r="U17" s="573"/>
      <c r="V17" s="565"/>
      <c r="W17" s="724">
        <v>13</v>
      </c>
      <c r="X17" s="565"/>
      <c r="Y17" s="572" t="s">
        <v>133</v>
      </c>
      <c r="Z17" s="573"/>
      <c r="AA17" s="573"/>
      <c r="AB17" s="565"/>
      <c r="AC17" s="594">
        <f>+B34</f>
        <v>0.15000000000000002</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569" t="s">
        <v>138</v>
      </c>
      <c r="B22" s="570"/>
      <c r="C22" s="22"/>
      <c r="D22" s="23"/>
      <c r="E22" s="23"/>
      <c r="F22" s="23"/>
      <c r="G22" s="23"/>
      <c r="H22" s="23"/>
      <c r="I22" s="23"/>
      <c r="J22" s="23"/>
      <c r="K22" s="23"/>
      <c r="L22" s="23"/>
      <c r="M22" s="23"/>
      <c r="N22" s="23"/>
      <c r="O22" s="142">
        <f>SUM(C22:N22)</f>
        <v>0</v>
      </c>
      <c r="P22" s="247"/>
      <c r="Q22" s="429">
        <v>205977520</v>
      </c>
      <c r="R22" s="72"/>
      <c r="S22" s="72"/>
      <c r="T22" s="72"/>
      <c r="U22" s="446">
        <v>16380000</v>
      </c>
      <c r="V22" s="72"/>
      <c r="W22" s="72"/>
      <c r="X22" s="72">
        <v>32620000</v>
      </c>
      <c r="Y22" s="72"/>
      <c r="Z22" s="72"/>
      <c r="AA22" s="72"/>
      <c r="AB22" s="72"/>
      <c r="AC22" s="142">
        <f t="shared" ref="AC22:AC23" si="0">SUM(Q22:AB22)</f>
        <v>254977520</v>
      </c>
      <c r="AD22" s="24"/>
      <c r="AE22" s="18"/>
      <c r="AF22" s="18"/>
      <c r="AG22" s="1"/>
      <c r="AH22" s="1"/>
      <c r="AI22" s="1"/>
      <c r="AJ22" s="1"/>
      <c r="AK22" s="1"/>
      <c r="AL22" s="1"/>
      <c r="AM22" s="1"/>
      <c r="AN22" s="1"/>
      <c r="AO22" s="1"/>
    </row>
    <row r="23" spans="1:41" ht="31.5" customHeight="1">
      <c r="A23" s="563" t="s">
        <v>139</v>
      </c>
      <c r="B23" s="535"/>
      <c r="C23" s="25">
        <v>3608711</v>
      </c>
      <c r="D23" s="26"/>
      <c r="E23" s="26">
        <v>-3136000</v>
      </c>
      <c r="F23" s="26">
        <v>0</v>
      </c>
      <c r="G23" s="447">
        <v>-179378</v>
      </c>
      <c r="H23" s="26"/>
      <c r="I23" s="26"/>
      <c r="J23" s="26"/>
      <c r="K23" s="26"/>
      <c r="L23" s="26"/>
      <c r="M23" s="26"/>
      <c r="N23" s="26"/>
      <c r="O23" s="27">
        <f>SUM(C23:N23)</f>
        <v>293333</v>
      </c>
      <c r="P23" s="430" t="str">
        <f>IFERROR(O23/(SUMIF(C23:N23,"&gt;0",C22:N22))," ")</f>
        <v xml:space="preserve"> </v>
      </c>
      <c r="Q23" s="431">
        <v>205977520</v>
      </c>
      <c r="R23" s="28">
        <v>0</v>
      </c>
      <c r="S23" s="32">
        <v>-5618373</v>
      </c>
      <c r="T23" s="32">
        <v>-1771200</v>
      </c>
      <c r="U23" s="447">
        <v>18226535</v>
      </c>
      <c r="V23" s="28"/>
      <c r="W23" s="28"/>
      <c r="X23" s="28"/>
      <c r="Y23" s="28"/>
      <c r="Z23" s="28"/>
      <c r="AA23" s="28"/>
      <c r="AB23" s="28"/>
      <c r="AC23" s="27">
        <f t="shared" si="0"/>
        <v>216814482</v>
      </c>
      <c r="AD23" s="29">
        <f>AC23/AC22</f>
        <v>0.85032783282228175</v>
      </c>
      <c r="AE23" s="358" t="s">
        <v>140</v>
      </c>
      <c r="AF23" s="18"/>
      <c r="AG23" s="1"/>
      <c r="AH23" s="1"/>
      <c r="AI23" s="1"/>
      <c r="AJ23" s="1"/>
      <c r="AK23" s="1"/>
      <c r="AL23" s="1"/>
      <c r="AM23" s="1"/>
      <c r="AN23" s="1"/>
      <c r="AO23" s="1"/>
    </row>
    <row r="24" spans="1:41" ht="31.5" customHeight="1">
      <c r="A24" s="563" t="s">
        <v>141</v>
      </c>
      <c r="B24" s="535"/>
      <c r="C24" s="30"/>
      <c r="D24" s="26">
        <f>3429333+E23</f>
        <v>293333</v>
      </c>
      <c r="E24" s="26">
        <v>179378</v>
      </c>
      <c r="F24" s="26"/>
      <c r="G24" s="27"/>
      <c r="H24" s="27"/>
      <c r="I24" s="27"/>
      <c r="J24" s="27"/>
      <c r="K24" s="27"/>
      <c r="L24" s="27"/>
      <c r="M24" s="27"/>
      <c r="N24" s="27"/>
      <c r="O24" s="27">
        <f>SUM(C24:N24)</f>
        <v>472711</v>
      </c>
      <c r="P24" s="248"/>
      <c r="Q24" s="432"/>
      <c r="R24" s="26">
        <v>11266053</v>
      </c>
      <c r="S24" s="26">
        <v>17724800</v>
      </c>
      <c r="T24" s="26">
        <v>17724800</v>
      </c>
      <c r="U24" s="447">
        <v>17724800</v>
      </c>
      <c r="V24" s="26">
        <v>17724800</v>
      </c>
      <c r="W24" s="26">
        <v>34104800</v>
      </c>
      <c r="X24" s="26">
        <f>17724800-793333</f>
        <v>16931467</v>
      </c>
      <c r="Y24" s="26">
        <f>17724800-793333</f>
        <v>16931467</v>
      </c>
      <c r="Z24" s="26">
        <f>17724800-793334</f>
        <v>16931466</v>
      </c>
      <c r="AA24" s="26">
        <v>24724800</v>
      </c>
      <c r="AB24" s="26">
        <f>24724800+38463467</f>
        <v>63188267</v>
      </c>
      <c r="AC24" s="27">
        <f>SUM(R24:AB24)</f>
        <v>254977520</v>
      </c>
      <c r="AD24" s="29"/>
      <c r="AE24" s="18"/>
      <c r="AF24" s="18"/>
      <c r="AG24" s="1"/>
      <c r="AH24" s="1"/>
      <c r="AI24" s="1"/>
      <c r="AJ24" s="1"/>
      <c r="AK24" s="1"/>
      <c r="AL24" s="1"/>
      <c r="AM24" s="1"/>
      <c r="AN24" s="1"/>
      <c r="AO24" s="1"/>
    </row>
    <row r="25" spans="1:41" ht="31.5" customHeight="1">
      <c r="A25" s="597" t="s">
        <v>142</v>
      </c>
      <c r="B25" s="598"/>
      <c r="C25" s="31"/>
      <c r="D25" s="32">
        <v>293333</v>
      </c>
      <c r="E25" s="32">
        <f>3136000+E23</f>
        <v>0</v>
      </c>
      <c r="F25" s="32">
        <v>0</v>
      </c>
      <c r="G25" s="445">
        <v>0</v>
      </c>
      <c r="H25" s="32"/>
      <c r="I25" s="32"/>
      <c r="J25" s="32"/>
      <c r="K25" s="32"/>
      <c r="L25" s="32"/>
      <c r="M25" s="32"/>
      <c r="N25" s="32"/>
      <c r="O25" s="33">
        <f>SUM(C25:N25)</f>
        <v>293333</v>
      </c>
      <c r="P25" s="433">
        <f>O25/O24</f>
        <v>0.62053347605619502</v>
      </c>
      <c r="Q25" s="31"/>
      <c r="R25" s="32">
        <v>4014213</v>
      </c>
      <c r="S25" s="32">
        <v>16927467</v>
      </c>
      <c r="T25" s="32">
        <v>18493867</v>
      </c>
      <c r="U25" s="445">
        <v>12844800</v>
      </c>
      <c r="V25" s="32"/>
      <c r="W25" s="32"/>
      <c r="X25" s="32"/>
      <c r="Y25" s="32"/>
      <c r="Z25" s="32"/>
      <c r="AA25" s="32"/>
      <c r="AB25" s="32"/>
      <c r="AC25" s="33">
        <f>SUM(Q25:AB25)</f>
        <v>52280347</v>
      </c>
      <c r="AD25" s="34">
        <f>AC25/AC24</f>
        <v>0.20503904422633024</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91.5" customHeight="1">
      <c r="A30" s="36" t="s">
        <v>206</v>
      </c>
      <c r="B30" s="554" t="s">
        <v>58</v>
      </c>
      <c r="C30" s="555"/>
      <c r="D30" s="250"/>
      <c r="E30" s="250"/>
      <c r="F30" s="73"/>
      <c r="G30" s="250"/>
      <c r="H30" s="250"/>
      <c r="I30" s="250"/>
      <c r="J30" s="250"/>
      <c r="K30" s="250"/>
      <c r="L30" s="250"/>
      <c r="M30" s="250"/>
      <c r="N30" s="250"/>
      <c r="O30" s="250"/>
      <c r="P30" s="251">
        <f>SUM(D30:O30)</f>
        <v>0</v>
      </c>
      <c r="Q30" s="704"/>
      <c r="R30" s="705"/>
      <c r="S30" s="705"/>
      <c r="T30" s="705"/>
      <c r="U30" s="705"/>
      <c r="V30" s="705"/>
      <c r="W30" s="705"/>
      <c r="X30" s="705"/>
      <c r="Y30" s="705"/>
      <c r="Z30" s="705"/>
      <c r="AA30" s="705"/>
      <c r="AB30" s="705"/>
      <c r="AC30" s="705"/>
      <c r="AD30" s="706"/>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22.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129" customHeight="1">
      <c r="A34" s="550" t="s">
        <v>206</v>
      </c>
      <c r="B34" s="552">
        <f>SUM(B38,B40,B42)</f>
        <v>0.15000000000000002</v>
      </c>
      <c r="C34" s="217" t="s">
        <v>159</v>
      </c>
      <c r="D34" s="260">
        <v>13</v>
      </c>
      <c r="E34" s="260">
        <v>13</v>
      </c>
      <c r="F34" s="260">
        <v>13</v>
      </c>
      <c r="G34" s="260">
        <v>13</v>
      </c>
      <c r="H34" s="260">
        <v>13</v>
      </c>
      <c r="I34" s="260">
        <v>13</v>
      </c>
      <c r="J34" s="260">
        <v>13</v>
      </c>
      <c r="K34" s="260">
        <v>13</v>
      </c>
      <c r="L34" s="260">
        <v>13</v>
      </c>
      <c r="M34" s="260">
        <v>13</v>
      </c>
      <c r="N34" s="260">
        <v>13</v>
      </c>
      <c r="O34" s="260">
        <v>13</v>
      </c>
      <c r="P34" s="253">
        <f>+O34</f>
        <v>13</v>
      </c>
      <c r="Q34" s="690" t="s">
        <v>207</v>
      </c>
      <c r="R34" s="691"/>
      <c r="S34" s="691"/>
      <c r="T34" s="691"/>
      <c r="U34" s="691"/>
      <c r="V34" s="692"/>
      <c r="W34" s="696" t="s">
        <v>208</v>
      </c>
      <c r="X34" s="697"/>
      <c r="Y34" s="697"/>
      <c r="Z34" s="698"/>
      <c r="AA34" s="696" t="s">
        <v>209</v>
      </c>
      <c r="AB34" s="697"/>
      <c r="AC34" s="697"/>
      <c r="AD34" s="702"/>
      <c r="AE34" s="1">
        <f>LEN(Q34)</f>
        <v>1987</v>
      </c>
      <c r="AF34" s="1"/>
      <c r="AG34" s="38"/>
      <c r="AH34" s="38"/>
      <c r="AI34" s="38"/>
      <c r="AJ34" s="38"/>
      <c r="AK34" s="38"/>
      <c r="AL34" s="38"/>
      <c r="AM34" s="38"/>
      <c r="AN34" s="38"/>
      <c r="AO34" s="38"/>
    </row>
    <row r="35" spans="1:41" ht="129" customHeight="1">
      <c r="A35" s="654"/>
      <c r="B35" s="656"/>
      <c r="C35" s="39" t="s">
        <v>162</v>
      </c>
      <c r="D35" s="177">
        <v>0</v>
      </c>
      <c r="E35" s="290">
        <v>13</v>
      </c>
      <c r="F35" s="390">
        <v>13</v>
      </c>
      <c r="G35" s="177">
        <v>13</v>
      </c>
      <c r="H35" s="177">
        <v>13</v>
      </c>
      <c r="I35" s="177"/>
      <c r="J35" s="177"/>
      <c r="K35" s="177"/>
      <c r="L35" s="177"/>
      <c r="M35" s="177"/>
      <c r="N35" s="177"/>
      <c r="O35" s="177"/>
      <c r="P35" s="391">
        <f>+F35</f>
        <v>13</v>
      </c>
      <c r="Q35" s="693"/>
      <c r="R35" s="694"/>
      <c r="S35" s="694"/>
      <c r="T35" s="694"/>
      <c r="U35" s="694"/>
      <c r="V35" s="695"/>
      <c r="W35" s="699"/>
      <c r="X35" s="700"/>
      <c r="Y35" s="700"/>
      <c r="Z35" s="701"/>
      <c r="AA35" s="699"/>
      <c r="AB35" s="700"/>
      <c r="AC35" s="700"/>
      <c r="AD35" s="703"/>
      <c r="AE35" s="40"/>
      <c r="AF35" s="1"/>
      <c r="AG35" s="38"/>
      <c r="AH35" s="38"/>
      <c r="AI35" s="38"/>
      <c r="AJ35" s="38"/>
      <c r="AK35" s="38"/>
      <c r="AL35" s="38"/>
      <c r="AM35" s="38"/>
      <c r="AN35" s="38"/>
      <c r="AO35" s="38"/>
    </row>
    <row r="36" spans="1:41" ht="33" customHeight="1">
      <c r="A36" s="644" t="s">
        <v>164</v>
      </c>
      <c r="B36" s="648" t="s">
        <v>165</v>
      </c>
      <c r="C36" s="649" t="s">
        <v>166</v>
      </c>
      <c r="D36" s="570"/>
      <c r="E36" s="570"/>
      <c r="F36" s="570"/>
      <c r="G36" s="570"/>
      <c r="H36" s="570"/>
      <c r="I36" s="570"/>
      <c r="J36" s="570"/>
      <c r="K36" s="570"/>
      <c r="L36" s="570"/>
      <c r="M36" s="570"/>
      <c r="N36" s="570"/>
      <c r="O36" s="570"/>
      <c r="P36" s="650"/>
      <c r="Q36" s="649" t="s">
        <v>167</v>
      </c>
      <c r="R36" s="570"/>
      <c r="S36" s="570"/>
      <c r="T36" s="570"/>
      <c r="U36" s="570"/>
      <c r="V36" s="570"/>
      <c r="W36" s="570"/>
      <c r="X36" s="570"/>
      <c r="Y36" s="570"/>
      <c r="Z36" s="570"/>
      <c r="AA36" s="570"/>
      <c r="AB36" s="570"/>
      <c r="AC36" s="570"/>
      <c r="AD36" s="589"/>
      <c r="AE36" s="1"/>
      <c r="AF36" s="1"/>
      <c r="AG36" s="38"/>
      <c r="AH36" s="38"/>
      <c r="AI36" s="38"/>
      <c r="AJ36" s="38"/>
      <c r="AK36" s="38"/>
      <c r="AL36" s="38"/>
      <c r="AM36" s="38"/>
      <c r="AN36" s="38"/>
      <c r="AO36" s="38"/>
    </row>
    <row r="37" spans="1:41" ht="45" customHeight="1">
      <c r="A37" s="549"/>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87"/>
      <c r="AE37" s="1"/>
      <c r="AF37" s="1"/>
      <c r="AG37" s="41"/>
      <c r="AH37" s="41"/>
      <c r="AI37" s="41"/>
      <c r="AJ37" s="41"/>
      <c r="AK37" s="41"/>
      <c r="AL37" s="41"/>
      <c r="AM37" s="41"/>
      <c r="AN37" s="41"/>
      <c r="AO37" s="41"/>
    </row>
    <row r="38" spans="1:41" ht="47.25" customHeight="1">
      <c r="A38" s="707" t="s">
        <v>210</v>
      </c>
      <c r="B38" s="529">
        <v>0.05</v>
      </c>
      <c r="C38" s="217" t="s">
        <v>159</v>
      </c>
      <c r="D38" s="42">
        <v>0</v>
      </c>
      <c r="E38" s="42">
        <v>0</v>
      </c>
      <c r="F38" s="42">
        <v>0.25</v>
      </c>
      <c r="G38" s="42">
        <v>0</v>
      </c>
      <c r="H38" s="42">
        <v>0</v>
      </c>
      <c r="I38" s="42">
        <v>0.25</v>
      </c>
      <c r="J38" s="42">
        <v>0</v>
      </c>
      <c r="K38" s="42">
        <v>0</v>
      </c>
      <c r="L38" s="42">
        <v>0.25</v>
      </c>
      <c r="M38" s="42">
        <v>0</v>
      </c>
      <c r="N38" s="42">
        <v>0</v>
      </c>
      <c r="O38" s="42">
        <v>0.25</v>
      </c>
      <c r="P38" s="218">
        <f t="shared" ref="P38:P43" si="1">SUM(D38:O38)</f>
        <v>1</v>
      </c>
      <c r="Q38" s="708" t="s">
        <v>211</v>
      </c>
      <c r="R38" s="709"/>
      <c r="S38" s="709"/>
      <c r="T38" s="709"/>
      <c r="U38" s="709"/>
      <c r="V38" s="709"/>
      <c r="W38" s="709"/>
      <c r="X38" s="709"/>
      <c r="Y38" s="709"/>
      <c r="Z38" s="709"/>
      <c r="AA38" s="709"/>
      <c r="AB38" s="709"/>
      <c r="AC38" s="709"/>
      <c r="AD38" s="710"/>
      <c r="AE38" s="43"/>
      <c r="AF38" s="1"/>
      <c r="AG38" s="44"/>
      <c r="AH38" s="44"/>
      <c r="AI38" s="44"/>
      <c r="AJ38" s="44"/>
      <c r="AK38" s="44"/>
      <c r="AL38" s="44"/>
      <c r="AM38" s="44"/>
      <c r="AN38" s="44"/>
      <c r="AO38" s="44"/>
    </row>
    <row r="39" spans="1:41" ht="50.25" customHeight="1">
      <c r="A39" s="549"/>
      <c r="B39" s="528"/>
      <c r="C39" s="45" t="s">
        <v>162</v>
      </c>
      <c r="D39" s="46">
        <v>0</v>
      </c>
      <c r="E39" s="46">
        <v>0.2</v>
      </c>
      <c r="F39" s="46">
        <v>0.05</v>
      </c>
      <c r="G39" s="46">
        <v>0</v>
      </c>
      <c r="H39" s="46">
        <v>0</v>
      </c>
      <c r="I39" s="46"/>
      <c r="J39" s="46"/>
      <c r="K39" s="46"/>
      <c r="L39" s="46"/>
      <c r="M39" s="46"/>
      <c r="N39" s="46"/>
      <c r="O39" s="46"/>
      <c r="P39" s="219">
        <f t="shared" si="1"/>
        <v>0.25</v>
      </c>
      <c r="Q39" s="714"/>
      <c r="R39" s="715"/>
      <c r="S39" s="715"/>
      <c r="T39" s="715"/>
      <c r="U39" s="715"/>
      <c r="V39" s="715"/>
      <c r="W39" s="715"/>
      <c r="X39" s="715"/>
      <c r="Y39" s="715"/>
      <c r="Z39" s="715"/>
      <c r="AA39" s="715"/>
      <c r="AB39" s="715"/>
      <c r="AC39" s="715"/>
      <c r="AD39" s="716"/>
      <c r="AE39" s="43"/>
      <c r="AF39" s="1"/>
      <c r="AG39" s="1"/>
      <c r="AH39" s="1"/>
      <c r="AI39" s="1"/>
      <c r="AJ39" s="1"/>
      <c r="AK39" s="1"/>
      <c r="AL39" s="1"/>
      <c r="AM39" s="1"/>
      <c r="AN39" s="1"/>
      <c r="AO39" s="1"/>
    </row>
    <row r="40" spans="1:41" ht="53.1" customHeight="1">
      <c r="A40" s="707" t="s">
        <v>212</v>
      </c>
      <c r="B40" s="523">
        <v>0.05</v>
      </c>
      <c r="C40" s="47" t="s">
        <v>159</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1"/>
        <v>0.99960000000000016</v>
      </c>
      <c r="Q40" s="717" t="s">
        <v>213</v>
      </c>
      <c r="R40" s="718"/>
      <c r="S40" s="718"/>
      <c r="T40" s="718"/>
      <c r="U40" s="718"/>
      <c r="V40" s="718"/>
      <c r="W40" s="718"/>
      <c r="X40" s="718"/>
      <c r="Y40" s="718"/>
      <c r="Z40" s="718"/>
      <c r="AA40" s="718"/>
      <c r="AB40" s="718"/>
      <c r="AC40" s="718"/>
      <c r="AD40" s="719"/>
      <c r="AE40" s="422"/>
      <c r="AF40" s="1"/>
      <c r="AG40" s="1"/>
      <c r="AH40" s="1"/>
      <c r="AI40" s="1"/>
      <c r="AJ40" s="1"/>
      <c r="AK40" s="1"/>
      <c r="AL40" s="1"/>
      <c r="AM40" s="1"/>
      <c r="AN40" s="1"/>
      <c r="AO40" s="1"/>
    </row>
    <row r="41" spans="1:41" ht="75.75" customHeight="1">
      <c r="A41" s="549"/>
      <c r="B41" s="528"/>
      <c r="C41" s="45" t="s">
        <v>162</v>
      </c>
      <c r="D41" s="46">
        <v>0.08</v>
      </c>
      <c r="E41" s="46">
        <v>7.0000000000000007E-2</v>
      </c>
      <c r="F41" s="46">
        <v>0.1</v>
      </c>
      <c r="G41" s="46">
        <v>0.08</v>
      </c>
      <c r="H41" s="46">
        <v>0.08</v>
      </c>
      <c r="I41" s="46"/>
      <c r="J41" s="46"/>
      <c r="K41" s="46"/>
      <c r="L41" s="48"/>
      <c r="M41" s="48"/>
      <c r="N41" s="48"/>
      <c r="O41" s="48"/>
      <c r="P41" s="219">
        <f t="shared" si="1"/>
        <v>0.41000000000000003</v>
      </c>
      <c r="Q41" s="720"/>
      <c r="R41" s="721"/>
      <c r="S41" s="721"/>
      <c r="T41" s="721"/>
      <c r="U41" s="721"/>
      <c r="V41" s="721"/>
      <c r="W41" s="721"/>
      <c r="X41" s="721"/>
      <c r="Y41" s="721"/>
      <c r="Z41" s="721"/>
      <c r="AA41" s="721"/>
      <c r="AB41" s="721"/>
      <c r="AC41" s="721"/>
      <c r="AD41" s="722"/>
      <c r="AE41" s="43"/>
      <c r="AF41" s="1"/>
      <c r="AG41" s="1"/>
      <c r="AH41" s="1"/>
      <c r="AI41" s="1"/>
      <c r="AJ41" s="1"/>
      <c r="AK41" s="1"/>
      <c r="AL41" s="1"/>
      <c r="AM41" s="1"/>
      <c r="AN41" s="1"/>
      <c r="AO41" s="1"/>
    </row>
    <row r="42" spans="1:41" ht="39" customHeight="1">
      <c r="A42" s="707" t="s">
        <v>214</v>
      </c>
      <c r="B42" s="523">
        <v>0.05</v>
      </c>
      <c r="C42" s="47" t="s">
        <v>159</v>
      </c>
      <c r="D42" s="42">
        <v>0</v>
      </c>
      <c r="E42" s="42">
        <v>0</v>
      </c>
      <c r="F42" s="42">
        <v>0</v>
      </c>
      <c r="G42" s="42">
        <v>0</v>
      </c>
      <c r="H42" s="42">
        <v>0</v>
      </c>
      <c r="I42" s="42">
        <v>0.5</v>
      </c>
      <c r="J42" s="42">
        <v>0</v>
      </c>
      <c r="K42" s="42">
        <v>0</v>
      </c>
      <c r="L42" s="42">
        <v>0</v>
      </c>
      <c r="M42" s="42">
        <v>0</v>
      </c>
      <c r="N42" s="42">
        <v>0.5</v>
      </c>
      <c r="O42" s="42">
        <v>0</v>
      </c>
      <c r="P42" s="219">
        <f t="shared" si="1"/>
        <v>1</v>
      </c>
      <c r="Q42" s="708" t="s">
        <v>215</v>
      </c>
      <c r="R42" s="709"/>
      <c r="S42" s="709"/>
      <c r="T42" s="709"/>
      <c r="U42" s="709"/>
      <c r="V42" s="709"/>
      <c r="W42" s="709"/>
      <c r="X42" s="709"/>
      <c r="Y42" s="709"/>
      <c r="Z42" s="709"/>
      <c r="AA42" s="709"/>
      <c r="AB42" s="709"/>
      <c r="AC42" s="709"/>
      <c r="AD42" s="710"/>
      <c r="AE42" s="43"/>
      <c r="AF42" s="1"/>
      <c r="AG42" s="1"/>
      <c r="AH42" s="1"/>
      <c r="AI42" s="1"/>
      <c r="AJ42" s="1"/>
      <c r="AK42" s="1"/>
      <c r="AL42" s="1"/>
      <c r="AM42" s="1"/>
      <c r="AN42" s="1"/>
      <c r="AO42" s="1"/>
    </row>
    <row r="43" spans="1:41" ht="39" customHeight="1">
      <c r="A43" s="549"/>
      <c r="B43" s="528"/>
      <c r="C43" s="45" t="s">
        <v>162</v>
      </c>
      <c r="D43" s="46">
        <v>0</v>
      </c>
      <c r="E43" s="46">
        <v>0</v>
      </c>
      <c r="F43" s="388">
        <v>0</v>
      </c>
      <c r="G43" s="46">
        <v>0</v>
      </c>
      <c r="H43" s="46">
        <v>0</v>
      </c>
      <c r="I43" s="46"/>
      <c r="J43" s="46"/>
      <c r="K43" s="46"/>
      <c r="L43" s="48"/>
      <c r="M43" s="48"/>
      <c r="N43" s="48"/>
      <c r="O43" s="48"/>
      <c r="P43" s="219">
        <f t="shared" si="1"/>
        <v>0</v>
      </c>
      <c r="Q43" s="711"/>
      <c r="R43" s="712"/>
      <c r="S43" s="712"/>
      <c r="T43" s="712"/>
      <c r="U43" s="712"/>
      <c r="V43" s="712"/>
      <c r="W43" s="712"/>
      <c r="X43" s="712"/>
      <c r="Y43" s="712"/>
      <c r="Z43" s="712"/>
      <c r="AA43" s="712"/>
      <c r="AB43" s="712"/>
      <c r="AC43" s="712"/>
      <c r="AD43" s="713"/>
      <c r="AE43" s="43"/>
      <c r="AF43" s="1"/>
      <c r="AG43" s="1"/>
      <c r="AH43" s="1"/>
      <c r="AI43" s="1"/>
      <c r="AJ43" s="1"/>
      <c r="AK43" s="1"/>
      <c r="AL43" s="1"/>
      <c r="AM43" s="1"/>
      <c r="AN43" s="1"/>
      <c r="AO43" s="1"/>
    </row>
    <row r="44" spans="1:41" ht="14.25" customHeight="1">
      <c r="A44" s="1" t="s">
        <v>185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186</v>
      </c>
      <c r="D46" s="74">
        <f t="shared" ref="D46:O46" si="2">AVERAGE(D38,D40,D42)</f>
        <v>2.7766666666666665E-2</v>
      </c>
      <c r="E46" s="74">
        <f t="shared" si="2"/>
        <v>2.7766666666666665E-2</v>
      </c>
      <c r="F46" s="74">
        <f t="shared" si="2"/>
        <v>0.11109999999999999</v>
      </c>
      <c r="G46" s="74">
        <f t="shared" si="2"/>
        <v>2.7766666666666665E-2</v>
      </c>
      <c r="H46" s="74">
        <f t="shared" si="2"/>
        <v>2.7766666666666665E-2</v>
      </c>
      <c r="I46" s="74">
        <f t="shared" si="2"/>
        <v>0.27776666666666666</v>
      </c>
      <c r="J46" s="74">
        <f t="shared" si="2"/>
        <v>2.7766666666666665E-2</v>
      </c>
      <c r="K46" s="74">
        <f t="shared" si="2"/>
        <v>2.7766666666666665E-2</v>
      </c>
      <c r="L46" s="74">
        <f t="shared" si="2"/>
        <v>0.11109999999999999</v>
      </c>
      <c r="M46" s="74">
        <f t="shared" si="2"/>
        <v>2.7766666666666665E-2</v>
      </c>
      <c r="N46" s="74">
        <f t="shared" si="2"/>
        <v>0.19443333333333335</v>
      </c>
      <c r="O46" s="74">
        <f t="shared" si="2"/>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187</v>
      </c>
      <c r="D47" s="75">
        <f t="shared" ref="D47:O47" si="3">AVERAGE(D39,D41,D43)</f>
        <v>2.6666666666666668E-2</v>
      </c>
      <c r="E47" s="75">
        <f t="shared" si="3"/>
        <v>9.0000000000000011E-2</v>
      </c>
      <c r="F47" s="75">
        <f t="shared" si="3"/>
        <v>5.000000000000001E-2</v>
      </c>
      <c r="G47" s="75">
        <f t="shared" si="3"/>
        <v>2.6666666666666668E-2</v>
      </c>
      <c r="H47" s="75">
        <f t="shared" si="3"/>
        <v>2.6666666666666668E-2</v>
      </c>
      <c r="I47" s="75" t="e">
        <f t="shared" si="3"/>
        <v>#DIV/0!</v>
      </c>
      <c r="J47" s="75" t="e">
        <f t="shared" si="3"/>
        <v>#DIV/0!</v>
      </c>
      <c r="K47" s="75" t="e">
        <f t="shared" si="3"/>
        <v>#DIV/0!</v>
      </c>
      <c r="L47" s="75" t="e">
        <f t="shared" si="3"/>
        <v>#DIV/0!</v>
      </c>
      <c r="M47" s="75" t="e">
        <f t="shared" si="3"/>
        <v>#DIV/0!</v>
      </c>
      <c r="N47" s="75" t="e">
        <f t="shared" si="3"/>
        <v>#DIV/0!</v>
      </c>
      <c r="O47" s="75" t="e">
        <f t="shared" si="3"/>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216</v>
      </c>
      <c r="D49" s="77">
        <v>13</v>
      </c>
      <c r="E49" s="77">
        <v>13</v>
      </c>
      <c r="F49" s="77">
        <v>13</v>
      </c>
      <c r="G49" s="77">
        <v>13</v>
      </c>
      <c r="H49" s="77">
        <v>13</v>
      </c>
      <c r="I49" s="77">
        <v>13</v>
      </c>
      <c r="J49" s="77">
        <v>13</v>
      </c>
      <c r="K49" s="77">
        <v>13</v>
      </c>
      <c r="L49" s="77">
        <v>13</v>
      </c>
      <c r="M49" s="77">
        <v>13</v>
      </c>
      <c r="N49" s="77">
        <v>13</v>
      </c>
      <c r="O49" s="77">
        <v>13</v>
      </c>
      <c r="P49" s="1"/>
      <c r="Q49" s="689"/>
      <c r="R49" s="689"/>
      <c r="S49" s="689"/>
      <c r="T49" s="689"/>
      <c r="U49" s="689"/>
      <c r="V49" s="689"/>
      <c r="W49" s="689"/>
      <c r="X49" s="689"/>
      <c r="Y49" s="689"/>
      <c r="Z49" s="689"/>
      <c r="AA49" s="689"/>
      <c r="AB49" s="689"/>
      <c r="AC49" s="689"/>
      <c r="AD49" s="689"/>
      <c r="AE49" s="1"/>
      <c r="AF49" s="1"/>
      <c r="AG49" s="1"/>
      <c r="AH49" s="1"/>
      <c r="AI49" s="1"/>
      <c r="AJ49" s="1"/>
      <c r="AK49" s="1"/>
      <c r="AL49" s="1"/>
      <c r="AM49" s="1"/>
      <c r="AN49" s="1"/>
      <c r="AO49" s="1"/>
    </row>
    <row r="50" spans="1:41" ht="54.6" customHeight="1">
      <c r="A50" s="1"/>
      <c r="B50" s="1"/>
      <c r="C50" s="78" t="s">
        <v>217</v>
      </c>
      <c r="D50" s="79">
        <v>0</v>
      </c>
      <c r="E50" s="79">
        <v>13</v>
      </c>
      <c r="F50" s="389">
        <v>13</v>
      </c>
      <c r="G50" s="79">
        <v>13</v>
      </c>
      <c r="H50" s="79"/>
      <c r="I50" s="79"/>
      <c r="J50" s="79"/>
      <c r="K50" s="79"/>
      <c r="L50" s="79"/>
      <c r="M50" s="79"/>
      <c r="N50" s="79"/>
      <c r="O50" s="79"/>
      <c r="P50" s="1"/>
      <c r="Q50" s="689"/>
      <c r="R50" s="689"/>
      <c r="S50" s="689"/>
      <c r="T50" s="689"/>
      <c r="U50" s="689"/>
      <c r="V50" s="689"/>
      <c r="W50" s="689"/>
      <c r="X50" s="689"/>
      <c r="Y50" s="689"/>
      <c r="Z50" s="689"/>
      <c r="AA50" s="689"/>
      <c r="AB50" s="689"/>
      <c r="AC50" s="689"/>
      <c r="AD50" s="689"/>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382"/>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49" xr:uid="{00000000-0002-0000-0200-000001000000}">
      <formula1>LTE(LEN(Q49),(2000))</formula1>
    </dataValidation>
    <dataValidation type="list" allowBlank="1" showInputMessage="1" showErrorMessage="1" sqref="C7:C9" xr:uid="{51AFB0D4-5F9C-4004-B6CF-2E23290CDAEB}">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99"/>
  <sheetViews>
    <sheetView showGridLines="0" view="pageBreakPreview" topLeftCell="A32" zoomScale="75" zoomScaleNormal="70" zoomScaleSheetLayoutView="75" workbookViewId="0">
      <selection activeCell="J34" sqref="J34"/>
    </sheetView>
  </sheetViews>
  <sheetFormatPr baseColWidth="10" defaultColWidth="14.42578125" defaultRowHeight="15" customHeight="1"/>
  <cols>
    <col min="1" max="1" width="38.42578125" customWidth="1"/>
    <col min="2" max="2" width="15.42578125" customWidth="1"/>
    <col min="3" max="3" width="19.42578125" customWidth="1"/>
    <col min="4" max="4" width="13.5703125" bestFit="1" customWidth="1"/>
    <col min="5" max="5" width="14" bestFit="1" customWidth="1"/>
    <col min="6" max="14" width="12.7109375" customWidth="1"/>
    <col min="15" max="15" width="15.28515625" bestFit="1" customWidth="1"/>
    <col min="16" max="16" width="14.5703125" customWidth="1"/>
    <col min="17" max="17" width="15.5703125" customWidth="1"/>
    <col min="18" max="18" width="13.7109375" customWidth="1"/>
    <col min="19" max="20" width="14.5703125" customWidth="1"/>
    <col min="21" max="21" width="14.28515625" customWidth="1"/>
    <col min="22" max="22" width="14" customWidth="1"/>
    <col min="23" max="24" width="15.42578125" customWidth="1"/>
    <col min="25" max="25" width="14.28515625" customWidth="1"/>
    <col min="26" max="26" width="13.5703125" customWidth="1"/>
    <col min="27" max="27" width="14.7109375" customWidth="1"/>
    <col min="28" max="28" width="13.28515625" customWidth="1"/>
    <col min="29" max="29" width="17.140625" customWidth="1"/>
    <col min="30" max="30" width="11.7109375" customWidth="1"/>
    <col min="31" max="31" width="13.1406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15"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218</v>
      </c>
      <c r="D17" s="573"/>
      <c r="E17" s="573"/>
      <c r="F17" s="573"/>
      <c r="G17" s="573"/>
      <c r="H17" s="573"/>
      <c r="I17" s="573"/>
      <c r="J17" s="573"/>
      <c r="K17" s="573"/>
      <c r="L17" s="573"/>
      <c r="M17" s="573"/>
      <c r="N17" s="573"/>
      <c r="O17" s="573"/>
      <c r="P17" s="573"/>
      <c r="Q17" s="565"/>
      <c r="R17" s="574" t="s">
        <v>132</v>
      </c>
      <c r="S17" s="573"/>
      <c r="T17" s="573"/>
      <c r="U17" s="573"/>
      <c r="V17" s="565"/>
      <c r="W17" s="747">
        <v>0.25</v>
      </c>
      <c r="X17" s="565"/>
      <c r="Y17" s="572" t="s">
        <v>133</v>
      </c>
      <c r="Z17" s="573"/>
      <c r="AA17" s="573"/>
      <c r="AB17" s="565"/>
      <c r="AC17" s="594">
        <f>+B34</f>
        <v>0.15000000000000002</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748" t="s">
        <v>138</v>
      </c>
      <c r="B22" s="533"/>
      <c r="C22" s="182"/>
      <c r="D22" s="23"/>
      <c r="E22" s="23"/>
      <c r="F22" s="23"/>
      <c r="G22" s="449"/>
      <c r="H22" s="23"/>
      <c r="I22" s="23"/>
      <c r="J22" s="23"/>
      <c r="K22" s="23"/>
      <c r="L22" s="23"/>
      <c r="M22" s="23"/>
      <c r="N22" s="23"/>
      <c r="O22" s="142">
        <f t="shared" ref="O22" si="0">SUM(C22:N22)</f>
        <v>0</v>
      </c>
      <c r="P22" s="247"/>
      <c r="Q22" s="212">
        <v>2207643126</v>
      </c>
      <c r="R22" s="144">
        <v>22500000</v>
      </c>
      <c r="S22" s="144"/>
      <c r="T22" s="144">
        <v>19980500</v>
      </c>
      <c r="U22" s="144">
        <f>1000000+2380000+2000000+104025833+16000000+22500000</f>
        <v>147905833</v>
      </c>
      <c r="V22" s="144">
        <f>9479506+1000000</f>
        <v>10479506</v>
      </c>
      <c r="W22" s="144">
        <v>15000000</v>
      </c>
      <c r="X22" s="144">
        <f>40000000+37500000</f>
        <v>77500000</v>
      </c>
      <c r="Y22" s="144"/>
      <c r="Z22" s="144"/>
      <c r="AA22" s="144"/>
      <c r="AB22" s="144"/>
      <c r="AC22" s="142">
        <f t="shared" ref="AC22:AC23" si="1">SUM(Q22:AB22)</f>
        <v>2501008965</v>
      </c>
      <c r="AD22" s="24"/>
      <c r="AE22" s="18"/>
      <c r="AF22" s="18"/>
      <c r="AG22" s="1"/>
      <c r="AH22" s="1"/>
      <c r="AI22" s="1"/>
      <c r="AJ22" s="1"/>
      <c r="AK22" s="1"/>
      <c r="AL22" s="1"/>
      <c r="AM22" s="1"/>
      <c r="AN22" s="1"/>
      <c r="AO22" s="1"/>
    </row>
    <row r="23" spans="1:41" ht="31.5" customHeight="1">
      <c r="A23" s="749" t="s">
        <v>139</v>
      </c>
      <c r="B23" s="536"/>
      <c r="C23" s="154">
        <v>82795794</v>
      </c>
      <c r="D23" s="26"/>
      <c r="E23" s="154">
        <v>-2744000</v>
      </c>
      <c r="F23" s="26">
        <v>0</v>
      </c>
      <c r="G23" s="447">
        <v>-205003</v>
      </c>
      <c r="H23" s="26"/>
      <c r="I23" s="26"/>
      <c r="J23" s="26"/>
      <c r="K23" s="26"/>
      <c r="L23" s="26"/>
      <c r="M23" s="26"/>
      <c r="N23" s="26"/>
      <c r="O23" s="27">
        <f>SUM(C23:N23)</f>
        <v>79846791</v>
      </c>
      <c r="P23" s="430" t="str">
        <f>IFERROR(O23/(SUMIF(C23:N23,"&gt;0",C22:N22))," ")</f>
        <v xml:space="preserve"> </v>
      </c>
      <c r="Q23" s="434">
        <v>2170219796</v>
      </c>
      <c r="R23" s="28">
        <v>0</v>
      </c>
      <c r="S23" s="427">
        <v>-3824755</v>
      </c>
      <c r="T23" s="427">
        <v>4605844</v>
      </c>
      <c r="U23" s="427">
        <v>21830326</v>
      </c>
      <c r="V23" s="28"/>
      <c r="W23" s="28"/>
      <c r="X23" s="28"/>
      <c r="Y23" s="28"/>
      <c r="Z23" s="28"/>
      <c r="AA23" s="28"/>
      <c r="AB23" s="28"/>
      <c r="AC23" s="27">
        <f t="shared" si="1"/>
        <v>2192831211</v>
      </c>
      <c r="AD23" s="29">
        <f>AC23/AC22</f>
        <v>0.87677862882030888</v>
      </c>
      <c r="AE23" s="358" t="s">
        <v>140</v>
      </c>
      <c r="AF23" s="18"/>
      <c r="AG23" s="1"/>
      <c r="AH23" s="1"/>
      <c r="AI23" s="1"/>
      <c r="AJ23" s="1"/>
      <c r="AK23" s="1"/>
      <c r="AL23" s="1"/>
      <c r="AM23" s="1"/>
      <c r="AN23" s="1"/>
      <c r="AO23" s="1"/>
    </row>
    <row r="24" spans="1:41" ht="31.5" customHeight="1">
      <c r="A24" s="749" t="s">
        <v>141</v>
      </c>
      <c r="B24" s="536"/>
      <c r="C24" s="183"/>
      <c r="D24" s="26">
        <v>12368266</v>
      </c>
      <c r="E24" s="27">
        <f>69252528+E23</f>
        <v>66508528</v>
      </c>
      <c r="F24" s="26">
        <v>1175000</v>
      </c>
      <c r="G24" s="448"/>
      <c r="H24" s="27"/>
      <c r="I24" s="27"/>
      <c r="J24" s="27"/>
      <c r="K24" s="27"/>
      <c r="L24" s="27"/>
      <c r="M24" s="27"/>
      <c r="N24" s="27"/>
      <c r="O24" s="27">
        <f>SUM(C24:N24)</f>
        <v>80051794</v>
      </c>
      <c r="P24" s="248"/>
      <c r="Q24" s="432"/>
      <c r="R24" s="145">
        <v>102901451.99999993</v>
      </c>
      <c r="S24" s="435">
        <v>191360940</v>
      </c>
      <c r="T24" s="145">
        <v>194735940</v>
      </c>
      <c r="U24" s="145">
        <v>193580996</v>
      </c>
      <c r="V24" s="145">
        <v>213334225</v>
      </c>
      <c r="W24" s="145">
        <v>222584225</v>
      </c>
      <c r="X24" s="145">
        <v>230877557</v>
      </c>
      <c r="Y24" s="145">
        <v>217063730</v>
      </c>
      <c r="Z24" s="145">
        <v>223377557</v>
      </c>
      <c r="AA24" s="145">
        <v>239459225</v>
      </c>
      <c r="AB24" s="145">
        <f>228877559+242855559</f>
        <v>471733118</v>
      </c>
      <c r="AC24" s="27">
        <f>SUM(R24:AB24)</f>
        <v>2501008965</v>
      </c>
      <c r="AD24" s="29"/>
      <c r="AE24" s="18"/>
      <c r="AF24" s="18"/>
      <c r="AG24" s="1"/>
      <c r="AH24" s="1"/>
      <c r="AI24" s="1"/>
      <c r="AJ24" s="1"/>
      <c r="AK24" s="1"/>
      <c r="AL24" s="1"/>
      <c r="AM24" s="1"/>
      <c r="AN24" s="1"/>
      <c r="AO24" s="1"/>
    </row>
    <row r="25" spans="1:41" ht="31.5" customHeight="1" thickBot="1">
      <c r="A25" s="750" t="s">
        <v>142</v>
      </c>
      <c r="B25" s="751"/>
      <c r="C25" s="184">
        <v>7349999.9999999991</v>
      </c>
      <c r="D25" s="32">
        <v>2274267</v>
      </c>
      <c r="E25" s="32">
        <f>63949245+E23</f>
        <v>61205245</v>
      </c>
      <c r="F25" s="32">
        <v>1175000</v>
      </c>
      <c r="G25" s="445">
        <v>2455084</v>
      </c>
      <c r="H25" s="32"/>
      <c r="I25" s="32"/>
      <c r="J25" s="32"/>
      <c r="K25" s="32"/>
      <c r="L25" s="32"/>
      <c r="M25" s="32"/>
      <c r="N25" s="32"/>
      <c r="O25" s="33">
        <f>SUM(C25:N25)</f>
        <v>74459596</v>
      </c>
      <c r="P25" s="433">
        <f>O25/O24</f>
        <v>0.93014275232857369</v>
      </c>
      <c r="Q25" s="31"/>
      <c r="R25" s="32">
        <v>33390260</v>
      </c>
      <c r="S25" s="32">
        <v>185862787</v>
      </c>
      <c r="T25" s="32">
        <v>190808174</v>
      </c>
      <c r="U25" s="32">
        <v>191961100</v>
      </c>
      <c r="V25" s="32"/>
      <c r="W25" s="32"/>
      <c r="X25" s="32"/>
      <c r="Y25" s="32"/>
      <c r="Z25" s="32"/>
      <c r="AA25" s="32"/>
      <c r="AB25" s="32"/>
      <c r="AC25" s="33">
        <f>SUM(Q25:AB25)</f>
        <v>602022321</v>
      </c>
      <c r="AD25" s="34">
        <f>AC25/AC24</f>
        <v>0.24071178049535699</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55.5" customHeight="1" thickBot="1">
      <c r="A30" s="36" t="s">
        <v>219</v>
      </c>
      <c r="B30" s="734">
        <f>+D30</f>
        <v>8.9999999999999993E-3</v>
      </c>
      <c r="C30" s="555"/>
      <c r="D30" s="261">
        <v>8.9999999999999993E-3</v>
      </c>
      <c r="E30" s="291"/>
      <c r="F30" s="73"/>
      <c r="G30" s="250"/>
      <c r="H30" s="250"/>
      <c r="I30" s="250"/>
      <c r="J30" s="250"/>
      <c r="K30" s="250"/>
      <c r="L30" s="250"/>
      <c r="M30" s="250"/>
      <c r="N30" s="250"/>
      <c r="O30" s="250"/>
      <c r="P30" s="415">
        <f>SUM(D30:O30)</f>
        <v>8.9999999999999993E-3</v>
      </c>
      <c r="Q30" s="586" t="s">
        <v>220</v>
      </c>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22.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99" customHeight="1">
      <c r="A34" s="550" t="s">
        <v>219</v>
      </c>
      <c r="B34" s="552">
        <f>SUM(B38,B40,B42)</f>
        <v>0.15000000000000002</v>
      </c>
      <c r="C34" s="217" t="s">
        <v>159</v>
      </c>
      <c r="D34" s="262">
        <f>+(D49+D30)*$W$17</f>
        <v>2.3083333333333331E-2</v>
      </c>
      <c r="E34" s="262">
        <f t="shared" ref="E34:O34" si="2">+E49*$W$17</f>
        <v>2.0833333333333332E-2</v>
      </c>
      <c r="F34" s="262">
        <f t="shared" si="2"/>
        <v>2.0833333333333332E-2</v>
      </c>
      <c r="G34" s="262">
        <f t="shared" si="2"/>
        <v>2.0833333333333332E-2</v>
      </c>
      <c r="H34" s="262">
        <f t="shared" si="2"/>
        <v>2.0833333333333332E-2</v>
      </c>
      <c r="I34" s="262">
        <f t="shared" si="2"/>
        <v>2.0833333333333332E-2</v>
      </c>
      <c r="J34" s="262">
        <f t="shared" si="2"/>
        <v>2.0833333333333332E-2</v>
      </c>
      <c r="K34" s="262">
        <f t="shared" si="2"/>
        <v>2.0833333333333332E-2</v>
      </c>
      <c r="L34" s="262">
        <f t="shared" si="2"/>
        <v>2.0833333333333332E-2</v>
      </c>
      <c r="M34" s="262">
        <f t="shared" si="2"/>
        <v>2.0833333333333332E-2</v>
      </c>
      <c r="N34" s="262">
        <f t="shared" si="2"/>
        <v>2.0833333333333332E-2</v>
      </c>
      <c r="O34" s="262">
        <f t="shared" si="2"/>
        <v>2.0833333333333332E-2</v>
      </c>
      <c r="P34" s="263">
        <f t="shared" ref="P34:P35" si="3">SUM(D34:O34)</f>
        <v>0.25225000000000003</v>
      </c>
      <c r="Q34" s="690" t="s">
        <v>221</v>
      </c>
      <c r="R34" s="691"/>
      <c r="S34" s="691"/>
      <c r="T34" s="691"/>
      <c r="U34" s="691"/>
      <c r="V34" s="692"/>
      <c r="W34" s="726" t="s">
        <v>222</v>
      </c>
      <c r="X34" s="727"/>
      <c r="Y34" s="727"/>
      <c r="Z34" s="728"/>
      <c r="AA34" s="690" t="s">
        <v>223</v>
      </c>
      <c r="AB34" s="691"/>
      <c r="AC34" s="691"/>
      <c r="AD34" s="732"/>
      <c r="AE34" s="1"/>
      <c r="AF34" s="1"/>
      <c r="AG34" s="38"/>
      <c r="AH34" s="38"/>
      <c r="AI34" s="38"/>
      <c r="AJ34" s="38"/>
      <c r="AK34" s="38"/>
      <c r="AL34" s="38"/>
      <c r="AM34" s="38"/>
      <c r="AN34" s="38"/>
      <c r="AO34" s="38"/>
    </row>
    <row r="35" spans="1:41" ht="99" customHeight="1" thickBot="1">
      <c r="A35" s="654"/>
      <c r="B35" s="656"/>
      <c r="C35" s="39" t="s">
        <v>162</v>
      </c>
      <c r="D35" s="300">
        <f>+(D50+D30)*$W$17</f>
        <v>1.5583333333333334E-2</v>
      </c>
      <c r="E35" s="300">
        <f>+(E50+E30)*$W$17</f>
        <v>0.02</v>
      </c>
      <c r="F35" s="300">
        <f>+(F50+F30)*$W$17</f>
        <v>2.6666666666666668E-2</v>
      </c>
      <c r="G35" s="300">
        <f>+(G50+G30)*$W$17</f>
        <v>0.02</v>
      </c>
      <c r="H35" s="300">
        <v>2.1000000000000001E-2</v>
      </c>
      <c r="I35" s="300"/>
      <c r="J35" s="300"/>
      <c r="K35" s="300"/>
      <c r="L35" s="300"/>
      <c r="M35" s="300"/>
      <c r="N35" s="300"/>
      <c r="O35" s="300"/>
      <c r="P35" s="300">
        <f t="shared" si="3"/>
        <v>0.10325000000000001</v>
      </c>
      <c r="Q35" s="693"/>
      <c r="R35" s="694"/>
      <c r="S35" s="694"/>
      <c r="T35" s="694"/>
      <c r="U35" s="694"/>
      <c r="V35" s="695"/>
      <c r="W35" s="729"/>
      <c r="X35" s="730"/>
      <c r="Y35" s="730"/>
      <c r="Z35" s="731"/>
      <c r="AA35" s="693"/>
      <c r="AB35" s="694"/>
      <c r="AC35" s="694"/>
      <c r="AD35" s="733"/>
      <c r="AE35" s="454"/>
      <c r="AF35" s="1"/>
      <c r="AG35" s="38"/>
      <c r="AH35" s="38"/>
      <c r="AI35" s="38"/>
      <c r="AJ35" s="38"/>
      <c r="AK35" s="38"/>
      <c r="AL35" s="38"/>
      <c r="AM35" s="38"/>
      <c r="AN35" s="38"/>
      <c r="AO35" s="38"/>
    </row>
    <row r="36" spans="1:41" ht="34.5" customHeight="1">
      <c r="A36" s="644" t="s">
        <v>164</v>
      </c>
      <c r="B36" s="648" t="s">
        <v>165</v>
      </c>
      <c r="C36" s="649" t="s">
        <v>166</v>
      </c>
      <c r="D36" s="570"/>
      <c r="E36" s="570"/>
      <c r="F36" s="570"/>
      <c r="G36" s="570"/>
      <c r="H36" s="570"/>
      <c r="I36" s="570"/>
      <c r="J36" s="570"/>
      <c r="K36" s="570"/>
      <c r="L36" s="570"/>
      <c r="M36" s="570"/>
      <c r="N36" s="570"/>
      <c r="O36" s="570"/>
      <c r="P36" s="650"/>
      <c r="Q36" s="649" t="s">
        <v>167</v>
      </c>
      <c r="R36" s="570"/>
      <c r="S36" s="570"/>
      <c r="T36" s="570"/>
      <c r="U36" s="570"/>
      <c r="V36" s="570"/>
      <c r="W36" s="570"/>
      <c r="X36" s="570"/>
      <c r="Y36" s="570"/>
      <c r="Z36" s="570"/>
      <c r="AA36" s="570"/>
      <c r="AB36" s="570"/>
      <c r="AC36" s="570"/>
      <c r="AD36" s="589"/>
      <c r="AE36" s="1"/>
      <c r="AF36" s="1"/>
      <c r="AG36" s="38"/>
      <c r="AH36" s="38"/>
      <c r="AI36" s="38"/>
      <c r="AJ36" s="38"/>
      <c r="AK36" s="38"/>
      <c r="AL36" s="38"/>
      <c r="AM36" s="38"/>
      <c r="AN36" s="38"/>
      <c r="AO36" s="38"/>
    </row>
    <row r="37" spans="1:41" ht="48" customHeight="1">
      <c r="A37" s="549"/>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87"/>
      <c r="AE37" s="1"/>
      <c r="AF37" s="1"/>
      <c r="AG37" s="41"/>
      <c r="AH37" s="41"/>
      <c r="AI37" s="41"/>
      <c r="AJ37" s="41"/>
      <c r="AK37" s="41"/>
      <c r="AL37" s="41"/>
      <c r="AM37" s="41"/>
      <c r="AN37" s="41"/>
      <c r="AO37" s="41"/>
    </row>
    <row r="38" spans="1:41" s="1" customFormat="1" ht="35.25" customHeight="1">
      <c r="A38" s="735" t="s">
        <v>224</v>
      </c>
      <c r="B38" s="529">
        <v>0.05</v>
      </c>
      <c r="C38" s="217" t="s">
        <v>159</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3" si="4">SUM(D38:O38)</f>
        <v>1.0000000000000002</v>
      </c>
      <c r="Q38" s="696" t="s">
        <v>225</v>
      </c>
      <c r="R38" s="697"/>
      <c r="S38" s="697"/>
      <c r="T38" s="697"/>
      <c r="U38" s="697"/>
      <c r="V38" s="697"/>
      <c r="W38" s="697"/>
      <c r="X38" s="697"/>
      <c r="Y38" s="697"/>
      <c r="Z38" s="697"/>
      <c r="AA38" s="697"/>
      <c r="AB38" s="697"/>
      <c r="AC38" s="697"/>
      <c r="AD38" s="702"/>
      <c r="AE38" s="43"/>
      <c r="AG38" s="44"/>
      <c r="AH38" s="44"/>
      <c r="AI38" s="44"/>
      <c r="AJ38" s="44"/>
      <c r="AK38" s="44"/>
      <c r="AL38" s="44"/>
      <c r="AM38" s="44"/>
      <c r="AN38" s="44"/>
      <c r="AO38" s="44"/>
    </row>
    <row r="39" spans="1:41" s="1" customFormat="1" ht="35.25" customHeight="1">
      <c r="A39" s="745"/>
      <c r="B39" s="746"/>
      <c r="C39" s="45" t="s">
        <v>162</v>
      </c>
      <c r="D39" s="213">
        <v>0.08</v>
      </c>
      <c r="E39" s="213">
        <v>0.08</v>
      </c>
      <c r="F39" s="213">
        <v>0.08</v>
      </c>
      <c r="G39" s="46">
        <v>0.08</v>
      </c>
      <c r="H39" s="46">
        <v>0.08</v>
      </c>
      <c r="I39" s="46"/>
      <c r="J39" s="46"/>
      <c r="K39" s="46"/>
      <c r="L39" s="46"/>
      <c r="M39" s="46"/>
      <c r="N39" s="46"/>
      <c r="O39" s="46"/>
      <c r="P39" s="219">
        <f t="shared" si="4"/>
        <v>0.4</v>
      </c>
      <c r="Q39" s="742"/>
      <c r="R39" s="743"/>
      <c r="S39" s="743"/>
      <c r="T39" s="743"/>
      <c r="U39" s="743"/>
      <c r="V39" s="743"/>
      <c r="W39" s="743"/>
      <c r="X39" s="743"/>
      <c r="Y39" s="743"/>
      <c r="Z39" s="743"/>
      <c r="AA39" s="743"/>
      <c r="AB39" s="743"/>
      <c r="AC39" s="743"/>
      <c r="AD39" s="744"/>
      <c r="AE39" s="43"/>
    </row>
    <row r="40" spans="1:41" ht="45.75" customHeight="1">
      <c r="A40" s="735" t="s">
        <v>226</v>
      </c>
      <c r="B40" s="523">
        <v>0.05</v>
      </c>
      <c r="C40" s="47" t="s">
        <v>159</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9">
        <f t="shared" si="4"/>
        <v>1.0000000000000002</v>
      </c>
      <c r="Q40" s="696" t="s">
        <v>227</v>
      </c>
      <c r="R40" s="697"/>
      <c r="S40" s="697"/>
      <c r="T40" s="697"/>
      <c r="U40" s="697"/>
      <c r="V40" s="697"/>
      <c r="W40" s="697"/>
      <c r="X40" s="697"/>
      <c r="Y40" s="697"/>
      <c r="Z40" s="697"/>
      <c r="AA40" s="697"/>
      <c r="AB40" s="697"/>
      <c r="AC40" s="697"/>
      <c r="AD40" s="702"/>
      <c r="AE40" s="43"/>
      <c r="AF40" s="1"/>
      <c r="AG40" s="1"/>
      <c r="AH40" s="1"/>
      <c r="AI40" s="1"/>
      <c r="AJ40" s="1"/>
      <c r="AK40" s="1"/>
      <c r="AL40" s="1"/>
      <c r="AM40" s="1"/>
      <c r="AN40" s="1"/>
      <c r="AO40" s="1"/>
    </row>
    <row r="41" spans="1:41" ht="45.75" customHeight="1">
      <c r="A41" s="549"/>
      <c r="B41" s="528"/>
      <c r="C41" s="45" t="s">
        <v>162</v>
      </c>
      <c r="D41" s="213">
        <v>0.08</v>
      </c>
      <c r="E41" s="213">
        <v>0.08</v>
      </c>
      <c r="F41" s="213">
        <v>0.08</v>
      </c>
      <c r="G41" s="46">
        <v>0.08</v>
      </c>
      <c r="H41" s="46">
        <v>0.08</v>
      </c>
      <c r="I41" s="46"/>
      <c r="J41" s="46"/>
      <c r="K41" s="46"/>
      <c r="L41" s="48"/>
      <c r="M41" s="48"/>
      <c r="N41" s="48"/>
      <c r="O41" s="48"/>
      <c r="P41" s="219">
        <f t="shared" si="4"/>
        <v>0.4</v>
      </c>
      <c r="Q41" s="742"/>
      <c r="R41" s="743"/>
      <c r="S41" s="743"/>
      <c r="T41" s="743"/>
      <c r="U41" s="743"/>
      <c r="V41" s="743"/>
      <c r="W41" s="743"/>
      <c r="X41" s="743"/>
      <c r="Y41" s="743"/>
      <c r="Z41" s="743"/>
      <c r="AA41" s="743"/>
      <c r="AB41" s="743"/>
      <c r="AC41" s="743"/>
      <c r="AD41" s="744"/>
      <c r="AE41" s="43"/>
      <c r="AF41" s="1"/>
      <c r="AG41" s="1"/>
      <c r="AH41" s="1"/>
      <c r="AI41" s="1"/>
      <c r="AJ41" s="1"/>
      <c r="AK41" s="1"/>
      <c r="AL41" s="1"/>
      <c r="AM41" s="1"/>
      <c r="AN41" s="1"/>
      <c r="AO41" s="1"/>
    </row>
    <row r="42" spans="1:41" ht="42.75" customHeight="1">
      <c r="A42" s="735" t="s">
        <v>228</v>
      </c>
      <c r="B42" s="523">
        <v>0.05</v>
      </c>
      <c r="C42" s="47" t="s">
        <v>159</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4"/>
        <v>1.0000000000000002</v>
      </c>
      <c r="Q42" s="736" t="s">
        <v>229</v>
      </c>
      <c r="R42" s="737"/>
      <c r="S42" s="737"/>
      <c r="T42" s="737"/>
      <c r="U42" s="737"/>
      <c r="V42" s="737"/>
      <c r="W42" s="737"/>
      <c r="X42" s="737"/>
      <c r="Y42" s="737"/>
      <c r="Z42" s="737"/>
      <c r="AA42" s="737"/>
      <c r="AB42" s="737"/>
      <c r="AC42" s="737"/>
      <c r="AD42" s="738"/>
      <c r="AE42" s="43"/>
      <c r="AF42" s="1"/>
      <c r="AG42" s="1"/>
      <c r="AH42" s="1"/>
      <c r="AI42" s="1"/>
      <c r="AJ42" s="1"/>
      <c r="AK42" s="1"/>
      <c r="AL42" s="1"/>
      <c r="AM42" s="1"/>
      <c r="AN42" s="1"/>
      <c r="AO42" s="1"/>
    </row>
    <row r="43" spans="1:41" ht="42.75" customHeight="1">
      <c r="A43" s="549"/>
      <c r="B43" s="528"/>
      <c r="C43" s="45" t="s">
        <v>162</v>
      </c>
      <c r="D43" s="213">
        <v>0</v>
      </c>
      <c r="E43" s="213">
        <v>0.08</v>
      </c>
      <c r="F43" s="213">
        <v>0.16</v>
      </c>
      <c r="G43" s="46">
        <v>0.08</v>
      </c>
      <c r="H43" s="46">
        <v>0.08</v>
      </c>
      <c r="I43" s="46"/>
      <c r="J43" s="46"/>
      <c r="K43" s="46"/>
      <c r="L43" s="48"/>
      <c r="M43" s="48"/>
      <c r="N43" s="48"/>
      <c r="O43" s="48"/>
      <c r="P43" s="219">
        <f t="shared" si="4"/>
        <v>0.4</v>
      </c>
      <c r="Q43" s="739"/>
      <c r="R43" s="740"/>
      <c r="S43" s="740"/>
      <c r="T43" s="740"/>
      <c r="U43" s="740"/>
      <c r="V43" s="740"/>
      <c r="W43" s="740"/>
      <c r="X43" s="740"/>
      <c r="Y43" s="740"/>
      <c r="Z43" s="740"/>
      <c r="AA43" s="740"/>
      <c r="AB43" s="740"/>
      <c r="AC43" s="740"/>
      <c r="AD43" s="741"/>
      <c r="AE43" s="43"/>
      <c r="AF43" s="1"/>
      <c r="AG43" s="1"/>
      <c r="AH43" s="1"/>
      <c r="AI43" s="1"/>
      <c r="AJ43" s="1"/>
      <c r="AK43" s="1"/>
      <c r="AL43" s="1"/>
      <c r="AM43" s="1"/>
      <c r="AN43" s="1"/>
      <c r="AO43" s="1"/>
    </row>
    <row r="44" spans="1:41" ht="14.25" customHeight="1">
      <c r="A44" s="1" t="s">
        <v>185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1385</v>
      </c>
      <c r="R48" s="1">
        <f>+LEN(Q51)</f>
        <v>300</v>
      </c>
      <c r="S48" s="1"/>
      <c r="T48" s="1"/>
      <c r="U48" s="1"/>
      <c r="V48" s="1"/>
      <c r="W48" s="1"/>
      <c r="X48" s="1"/>
      <c r="Y48" s="1"/>
      <c r="Z48" s="1"/>
      <c r="AA48" s="1"/>
      <c r="AB48" s="1"/>
      <c r="AC48" s="1"/>
      <c r="AD48" s="1"/>
      <c r="AE48" s="1"/>
      <c r="AF48" s="1"/>
      <c r="AG48" s="1"/>
      <c r="AH48" s="1"/>
      <c r="AI48" s="1"/>
      <c r="AJ48" s="1"/>
      <c r="AK48" s="1"/>
      <c r="AL48" s="1"/>
      <c r="AM48" s="1"/>
      <c r="AN48" s="1"/>
      <c r="AO48" s="1"/>
    </row>
    <row r="49" spans="1:41" ht="22.15" customHeight="1">
      <c r="A49" s="1"/>
      <c r="B49" s="1"/>
      <c r="C49" s="51" t="s">
        <v>186</v>
      </c>
      <c r="D49" s="74">
        <f t="shared" ref="D49:O49" si="5">AVERAGE(D38,D40,D42)</f>
        <v>8.3333333333333329E-2</v>
      </c>
      <c r="E49" s="74">
        <f t="shared" si="5"/>
        <v>8.3333333333333329E-2</v>
      </c>
      <c r="F49" s="74">
        <f t="shared" si="5"/>
        <v>8.3333333333333329E-2</v>
      </c>
      <c r="G49" s="74">
        <f t="shared" si="5"/>
        <v>8.3333333333333329E-2</v>
      </c>
      <c r="H49" s="74">
        <f t="shared" si="5"/>
        <v>8.3333333333333329E-2</v>
      </c>
      <c r="I49" s="74">
        <f t="shared" si="5"/>
        <v>8.3333333333333329E-2</v>
      </c>
      <c r="J49" s="74">
        <f t="shared" si="5"/>
        <v>8.3333333333333329E-2</v>
      </c>
      <c r="K49" s="74">
        <f t="shared" si="5"/>
        <v>8.3333333333333329E-2</v>
      </c>
      <c r="L49" s="74">
        <f t="shared" si="5"/>
        <v>8.3333333333333329E-2</v>
      </c>
      <c r="M49" s="74">
        <f t="shared" si="5"/>
        <v>8.3333333333333329E-2</v>
      </c>
      <c r="N49" s="74">
        <f t="shared" si="5"/>
        <v>8.3333333333333329E-2</v>
      </c>
      <c r="O49" s="74">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0.100000000000001" customHeight="1">
      <c r="A50" s="1"/>
      <c r="B50" s="1"/>
      <c r="C50" s="54" t="s">
        <v>187</v>
      </c>
      <c r="D50" s="75">
        <f t="shared" ref="D50:O50" si="6">AVERAGE(D39,D41,D43)</f>
        <v>5.3333333333333337E-2</v>
      </c>
      <c r="E50" s="75">
        <f t="shared" si="6"/>
        <v>0.08</v>
      </c>
      <c r="F50" s="426">
        <f t="shared" si="6"/>
        <v>0.10666666666666667</v>
      </c>
      <c r="G50" s="75">
        <f t="shared" si="6"/>
        <v>0.08</v>
      </c>
      <c r="H50" s="75">
        <f t="shared" si="6"/>
        <v>0.08</v>
      </c>
      <c r="I50" s="75" t="e">
        <f t="shared" si="6"/>
        <v>#DIV/0!</v>
      </c>
      <c r="J50" s="75" t="e">
        <f t="shared" si="6"/>
        <v>#DIV/0!</v>
      </c>
      <c r="K50" s="75" t="e">
        <f t="shared" si="6"/>
        <v>#DIV/0!</v>
      </c>
      <c r="L50" s="75" t="e">
        <f t="shared" si="6"/>
        <v>#DIV/0!</v>
      </c>
      <c r="M50" s="75" t="e">
        <f t="shared" si="6"/>
        <v>#DIV/0!</v>
      </c>
      <c r="N50" s="75" t="e">
        <f t="shared" si="6"/>
        <v>#DIV/0!</v>
      </c>
      <c r="O50" s="75"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34.5" customHeight="1">
      <c r="A51" s="1"/>
      <c r="B51" s="1"/>
      <c r="C51" s="264" t="s">
        <v>230</v>
      </c>
      <c r="D51" s="82"/>
      <c r="E51" s="392"/>
      <c r="F51" s="418"/>
      <c r="G51" s="82"/>
      <c r="H51" s="82"/>
      <c r="I51" s="82"/>
      <c r="J51" s="82"/>
      <c r="K51" s="82"/>
      <c r="L51" s="82"/>
      <c r="M51" s="82"/>
      <c r="N51" s="82"/>
      <c r="O51" s="82"/>
      <c r="P51" s="1"/>
      <c r="Q51" s="725" t="s">
        <v>231</v>
      </c>
      <c r="R51" s="725"/>
      <c r="S51" s="725"/>
      <c r="T51" s="725"/>
      <c r="U51" s="725"/>
      <c r="V51" s="725"/>
      <c r="W51" s="725"/>
      <c r="X51" s="725"/>
      <c r="Y51" s="725"/>
      <c r="Z51" s="725"/>
      <c r="AA51" s="725"/>
      <c r="AB51" s="725"/>
      <c r="AC51" s="725"/>
      <c r="AD51" s="725"/>
      <c r="AE51" s="1"/>
      <c r="AF51" s="1"/>
      <c r="AG51" s="1"/>
      <c r="AH51" s="1"/>
      <c r="AI51" s="1"/>
      <c r="AJ51" s="1"/>
      <c r="AK51" s="1"/>
      <c r="AL51" s="1"/>
      <c r="AM51" s="1"/>
      <c r="AN51" s="1"/>
      <c r="AO51" s="1"/>
    </row>
    <row r="52" spans="1:41" ht="66.599999999999994" customHeight="1">
      <c r="A52" s="1"/>
      <c r="B52" s="1"/>
      <c r="C52" s="437" t="s">
        <v>232</v>
      </c>
      <c r="D52" s="83"/>
      <c r="E52" s="393">
        <v>8</v>
      </c>
      <c r="F52" s="419"/>
      <c r="G52" s="83"/>
      <c r="H52" s="83"/>
      <c r="I52" s="83"/>
      <c r="J52" s="83"/>
      <c r="K52" s="83"/>
      <c r="L52" s="83"/>
      <c r="M52" s="83"/>
      <c r="N52" s="83"/>
      <c r="O52" s="83"/>
      <c r="P52" s="1"/>
      <c r="Q52" s="394" t="s">
        <v>233</v>
      </c>
      <c r="R52" s="394" t="s">
        <v>234</v>
      </c>
      <c r="S52" s="394"/>
      <c r="T52" s="394"/>
      <c r="U52" s="394"/>
      <c r="V52" s="394"/>
      <c r="W52" s="394"/>
      <c r="X52" s="394"/>
      <c r="Y52" s="394"/>
      <c r="Z52" s="394"/>
      <c r="AA52" s="394"/>
      <c r="AB52" s="394"/>
      <c r="AC52" s="394"/>
      <c r="AD52" s="394"/>
      <c r="AE52" s="1"/>
      <c r="AF52" s="1"/>
      <c r="AG52" s="1"/>
      <c r="AH52" s="1"/>
      <c r="AI52" s="1"/>
      <c r="AJ52" s="1"/>
      <c r="AK52" s="1"/>
      <c r="AL52" s="1"/>
      <c r="AM52" s="1"/>
      <c r="AN52" s="1"/>
      <c r="AO52" s="1"/>
    </row>
    <row r="53" spans="1:41" ht="57.6" customHeight="1">
      <c r="A53" s="1"/>
      <c r="B53" s="1"/>
      <c r="C53" s="306" t="s">
        <v>235</v>
      </c>
      <c r="D53" s="82"/>
      <c r="E53" s="392">
        <v>1</v>
      </c>
      <c r="F53" s="418"/>
      <c r="G53" s="82"/>
      <c r="H53" s="82"/>
      <c r="I53" s="82"/>
      <c r="J53" s="82"/>
      <c r="K53" s="82"/>
      <c r="L53" s="82"/>
      <c r="M53" s="82"/>
      <c r="N53" s="82"/>
      <c r="O53" s="82"/>
      <c r="P53" s="1"/>
      <c r="Q53" s="1" t="s">
        <v>236</v>
      </c>
      <c r="R53" s="1">
        <v>6</v>
      </c>
      <c r="S53" s="423"/>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t="s">
        <v>237</v>
      </c>
      <c r="R54" s="1">
        <v>8</v>
      </c>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t="s">
        <v>238</v>
      </c>
      <c r="R55" s="1">
        <v>1</v>
      </c>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t="s">
        <v>239</v>
      </c>
      <c r="R57" s="1">
        <v>18</v>
      </c>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298" t="s">
        <v>240</v>
      </c>
      <c r="R58" s="1">
        <v>9</v>
      </c>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298" t="s">
        <v>241</v>
      </c>
      <c r="R59" s="1">
        <v>13</v>
      </c>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298" t="s">
        <v>242</v>
      </c>
      <c r="R60" s="1">
        <v>4</v>
      </c>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298" t="s">
        <v>243</v>
      </c>
      <c r="R61" s="1">
        <v>1</v>
      </c>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t="s">
        <v>244</v>
      </c>
      <c r="R62" s="1">
        <v>8</v>
      </c>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t="s">
        <v>245</v>
      </c>
      <c r="R63" s="1">
        <v>7</v>
      </c>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t="s">
        <v>246</v>
      </c>
      <c r="R64" s="1">
        <v>11</v>
      </c>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t="s">
        <v>247</v>
      </c>
      <c r="R65" s="1">
        <v>2</v>
      </c>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t="s">
        <v>248</v>
      </c>
      <c r="R66" s="1">
        <v>9</v>
      </c>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t="s">
        <v>249</v>
      </c>
      <c r="R67" s="1">
        <v>3</v>
      </c>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t="s">
        <v>250</v>
      </c>
      <c r="R68" s="1">
        <v>3</v>
      </c>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51:AD51"/>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D8118F29-60E4-43FD-8E37-2C6BEDEF6535}">
      <formula1>LTE(LEN(Q30),(2000))</formula1>
    </dataValidation>
    <dataValidation type="custom" allowBlank="1" showInputMessage="1" showErrorMessage="1" prompt=" - " sqref="Q51" xr:uid="{00000000-0002-0000-0300-000001000000}">
      <formula1>LTE(LEN(Q51),(2000))</formula1>
    </dataValidation>
    <dataValidation type="list" allowBlank="1" showInputMessage="1" showErrorMessage="1" sqref="C7:C9" xr:uid="{3EF061BE-BCBF-4E6B-98D1-A122B6053169}">
      <formula1>$C$21:$N$21</formula1>
    </dataValidation>
  </dataValidations>
  <printOptions horizontalCentered="1" verticalCentered="1"/>
  <pageMargins left="0" right="0.19685039370078741" top="0.74803149606299213" bottom="0.74803149606299213" header="0" footer="0"/>
  <pageSetup scale="26" orientation="landscape" r:id="rId1"/>
  <rowBreaks count="1" manualBreakCount="1">
    <brk id="45" max="2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AO99"/>
  <sheetViews>
    <sheetView showGridLines="0" view="pageBreakPreview" topLeftCell="A30" zoomScale="70" zoomScaleNormal="60" zoomScaleSheetLayoutView="70" workbookViewId="0">
      <selection activeCell="C36" sqref="C36:P36"/>
    </sheetView>
  </sheetViews>
  <sheetFormatPr baseColWidth="10" defaultColWidth="14.42578125" defaultRowHeight="15" customHeight="1"/>
  <cols>
    <col min="1" max="1" width="38.42578125" customWidth="1"/>
    <col min="2" max="2" width="17" customWidth="1"/>
    <col min="3" max="3" width="19.28515625" customWidth="1"/>
    <col min="4" max="4" width="17.28515625" customWidth="1"/>
    <col min="5" max="5" width="17.7109375" customWidth="1"/>
    <col min="6" max="6" width="17.28515625" customWidth="1"/>
    <col min="7" max="7" width="16.5703125" customWidth="1"/>
    <col min="8" max="14" width="13" customWidth="1"/>
    <col min="15" max="15" width="17.7109375" bestFit="1" customWidth="1"/>
    <col min="16" max="16" width="14.42578125" customWidth="1"/>
    <col min="17" max="17" width="18.28515625" customWidth="1"/>
    <col min="18" max="19" width="15.5703125" customWidth="1"/>
    <col min="20" max="20" width="14.5703125" customWidth="1"/>
    <col min="21" max="21" width="18.28515625" customWidth="1"/>
    <col min="22" max="22" width="16.28515625" customWidth="1"/>
    <col min="23" max="23" width="15.5703125" customWidth="1"/>
    <col min="24" max="24" width="15.7109375" customWidth="1"/>
    <col min="25" max="25" width="16.28515625" customWidth="1"/>
    <col min="26" max="26" width="15.42578125" customWidth="1"/>
    <col min="27" max="27" width="15.28515625" customWidth="1"/>
    <col min="28" max="28" width="16.7109375" customWidth="1"/>
    <col min="29" max="29" width="19" customWidth="1"/>
    <col min="30" max="30" width="14.2851562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t="s">
        <v>738</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3.6"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251</v>
      </c>
      <c r="D17" s="573"/>
      <c r="E17" s="573"/>
      <c r="F17" s="573"/>
      <c r="G17" s="573"/>
      <c r="H17" s="573"/>
      <c r="I17" s="573"/>
      <c r="J17" s="573"/>
      <c r="K17" s="573"/>
      <c r="L17" s="573"/>
      <c r="M17" s="573"/>
      <c r="N17" s="573"/>
      <c r="O17" s="573"/>
      <c r="P17" s="573"/>
      <c r="Q17" s="565"/>
      <c r="R17" s="574" t="s">
        <v>132</v>
      </c>
      <c r="S17" s="573"/>
      <c r="T17" s="573"/>
      <c r="U17" s="573"/>
      <c r="V17" s="565"/>
      <c r="W17" s="778">
        <v>0.24</v>
      </c>
      <c r="X17" s="565"/>
      <c r="Y17" s="572" t="s">
        <v>133</v>
      </c>
      <c r="Z17" s="573"/>
      <c r="AA17" s="573"/>
      <c r="AB17" s="565"/>
      <c r="AC17" s="594">
        <f>+B34</f>
        <v>0.15000000000000002</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thickBo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748" t="s">
        <v>138</v>
      </c>
      <c r="B22" s="533"/>
      <c r="C22" s="182"/>
      <c r="D22" s="23"/>
      <c r="E22" s="23"/>
      <c r="F22" s="23"/>
      <c r="G22" s="23"/>
      <c r="H22" s="23"/>
      <c r="I22" s="23"/>
      <c r="J22" s="23"/>
      <c r="K22" s="23"/>
      <c r="L22" s="23"/>
      <c r="M22" s="23"/>
      <c r="N22" s="23"/>
      <c r="O22" s="142">
        <f t="shared" ref="O22:O25" si="0">SUM(C22:N22)</f>
        <v>0</v>
      </c>
      <c r="P22" s="247"/>
      <c r="Q22" s="141">
        <v>2217335062</v>
      </c>
      <c r="R22" s="72">
        <v>22500000</v>
      </c>
      <c r="S22" s="72"/>
      <c r="T22" s="72">
        <v>19980500</v>
      </c>
      <c r="U22" s="72">
        <f>2310000+2000000+3270000000+14000000+22500000+679819862</f>
        <v>3990629862</v>
      </c>
      <c r="V22" s="72">
        <f>9479506+1000000</f>
        <v>10479506</v>
      </c>
      <c r="W22" s="72"/>
      <c r="X22" s="72">
        <f>35000000+37500000</f>
        <v>72500000</v>
      </c>
      <c r="Y22" s="72"/>
      <c r="Z22" s="72"/>
      <c r="AA22" s="72"/>
      <c r="AB22" s="72"/>
      <c r="AC22" s="142">
        <f t="shared" ref="AC22:AC23" si="1">SUM(Q22:AB22)</f>
        <v>6333424930</v>
      </c>
      <c r="AD22" s="24"/>
      <c r="AE22" s="18"/>
      <c r="AF22" s="18"/>
      <c r="AG22" s="1"/>
      <c r="AH22" s="1"/>
      <c r="AI22" s="1"/>
      <c r="AJ22" s="1"/>
      <c r="AK22" s="1"/>
      <c r="AL22" s="1"/>
      <c r="AM22" s="1"/>
      <c r="AN22" s="1"/>
      <c r="AO22" s="1"/>
    </row>
    <row r="23" spans="1:41" ht="31.5" customHeight="1">
      <c r="A23" s="749" t="s">
        <v>139</v>
      </c>
      <c r="B23" s="536"/>
      <c r="C23" s="154">
        <v>4725735192</v>
      </c>
      <c r="D23" s="26"/>
      <c r="E23" s="154">
        <v>-2744000</v>
      </c>
      <c r="F23" s="26">
        <v>0</v>
      </c>
      <c r="G23" s="26">
        <v>-6846045</v>
      </c>
      <c r="H23" s="26"/>
      <c r="I23" s="26"/>
      <c r="J23" s="26"/>
      <c r="K23" s="26"/>
      <c r="L23" s="26"/>
      <c r="M23" s="26"/>
      <c r="N23" s="26"/>
      <c r="O23" s="27">
        <f t="shared" si="0"/>
        <v>4716145147</v>
      </c>
      <c r="P23" s="430" t="str">
        <f>IFERROR(O23/(SUMIF(C23:N23,"&gt;0",C22:N22))," ")</f>
        <v xml:space="preserve"> </v>
      </c>
      <c r="Q23" s="25">
        <v>2217335062</v>
      </c>
      <c r="R23" s="26">
        <v>0</v>
      </c>
      <c r="S23" s="26">
        <v>-5797508</v>
      </c>
      <c r="T23" s="26">
        <v>8329342</v>
      </c>
      <c r="U23" s="26">
        <v>18226535</v>
      </c>
      <c r="V23" s="26"/>
      <c r="W23" s="26"/>
      <c r="X23" s="26"/>
      <c r="Y23" s="26"/>
      <c r="Z23" s="26"/>
      <c r="AA23" s="26"/>
      <c r="AB23" s="26"/>
      <c r="AC23" s="27">
        <f t="shared" si="1"/>
        <v>2238093431</v>
      </c>
      <c r="AD23" s="29">
        <f>AC23/AC22</f>
        <v>0.3533780625390629</v>
      </c>
      <c r="AE23" s="358" t="s">
        <v>140</v>
      </c>
      <c r="AF23" s="18"/>
      <c r="AG23" s="1"/>
      <c r="AH23" s="1"/>
      <c r="AI23" s="1"/>
      <c r="AJ23" s="1"/>
      <c r="AK23" s="1"/>
      <c r="AL23" s="1"/>
      <c r="AM23" s="1"/>
      <c r="AN23" s="1"/>
      <c r="AO23" s="1"/>
    </row>
    <row r="24" spans="1:41" ht="31.5" customHeight="1">
      <c r="A24" s="749" t="s">
        <v>141</v>
      </c>
      <c r="B24" s="536"/>
      <c r="C24" s="183"/>
      <c r="D24" s="26">
        <v>1036406616</v>
      </c>
      <c r="E24" s="26">
        <f>1680282732+E23</f>
        <v>1677538732</v>
      </c>
      <c r="F24" s="26">
        <v>1080048922</v>
      </c>
      <c r="G24" s="26">
        <v>928996922</v>
      </c>
      <c r="H24" s="26"/>
      <c r="I24" s="26"/>
      <c r="J24" s="26"/>
      <c r="K24" s="26"/>
      <c r="L24" s="26"/>
      <c r="M24" s="26"/>
      <c r="N24" s="26"/>
      <c r="O24" s="27">
        <f t="shared" si="0"/>
        <v>4722991192</v>
      </c>
      <c r="P24" s="248"/>
      <c r="Q24" s="436"/>
      <c r="R24" s="26">
        <v>96865667</v>
      </c>
      <c r="S24" s="26">
        <v>196200867</v>
      </c>
      <c r="T24" s="26">
        <v>199575867</v>
      </c>
      <c r="U24" s="26">
        <v>198420923</v>
      </c>
      <c r="V24" s="26">
        <v>202767589</v>
      </c>
      <c r="W24" s="26">
        <v>1355778641</v>
      </c>
      <c r="X24" s="26">
        <v>685895446</v>
      </c>
      <c r="Y24" s="26">
        <v>672438285</v>
      </c>
      <c r="Z24" s="26">
        <v>663395446</v>
      </c>
      <c r="AA24" s="26">
        <v>693833779</v>
      </c>
      <c r="AB24" s="26">
        <f>682895446+685356974</f>
        <v>1368252420</v>
      </c>
      <c r="AC24" s="27">
        <f>SUM(R24:AB24)</f>
        <v>6333424930</v>
      </c>
      <c r="AD24" s="29"/>
      <c r="AE24" s="18"/>
      <c r="AF24" s="18"/>
      <c r="AG24" s="1"/>
      <c r="AH24" s="1"/>
      <c r="AI24" s="1"/>
      <c r="AJ24" s="1"/>
      <c r="AK24" s="1"/>
      <c r="AL24" s="1"/>
      <c r="AM24" s="1"/>
      <c r="AN24" s="1"/>
      <c r="AO24" s="1"/>
    </row>
    <row r="25" spans="1:41" ht="31.5" customHeight="1" thickBot="1">
      <c r="A25" s="750" t="s">
        <v>142</v>
      </c>
      <c r="B25" s="751"/>
      <c r="C25" s="184">
        <v>67254654</v>
      </c>
      <c r="D25" s="32">
        <v>7763045</v>
      </c>
      <c r="E25" s="32">
        <f>228982550+E23</f>
        <v>226238550</v>
      </c>
      <c r="F25" s="32">
        <v>60813749</v>
      </c>
      <c r="G25" s="32">
        <v>7134988</v>
      </c>
      <c r="H25" s="32"/>
      <c r="I25" s="32"/>
      <c r="J25" s="32"/>
      <c r="K25" s="32"/>
      <c r="L25" s="32"/>
      <c r="M25" s="32"/>
      <c r="N25" s="32"/>
      <c r="O25" s="33">
        <f t="shared" si="0"/>
        <v>369204986</v>
      </c>
      <c r="P25" s="433">
        <f>O25/O24</f>
        <v>7.817185571410229E-2</v>
      </c>
      <c r="Q25" s="31"/>
      <c r="R25" s="32">
        <v>25054974</v>
      </c>
      <c r="S25" s="32">
        <v>192793583</v>
      </c>
      <c r="T25" s="32">
        <v>203095379</v>
      </c>
      <c r="U25" s="32">
        <v>199295518</v>
      </c>
      <c r="V25" s="32"/>
      <c r="W25" s="32"/>
      <c r="X25" s="32"/>
      <c r="Y25" s="32"/>
      <c r="Z25" s="32"/>
      <c r="AA25" s="32"/>
      <c r="AB25" s="32"/>
      <c r="AC25" s="33">
        <f>SUM(Q25:AB25)</f>
        <v>620239454</v>
      </c>
      <c r="AD25" s="34">
        <f>AC25/AC24</f>
        <v>9.7931129026581826E-2</v>
      </c>
      <c r="AE25" s="18"/>
      <c r="AF25" s="18"/>
      <c r="AG25" s="1"/>
      <c r="AH25" s="1"/>
      <c r="AI25" s="1"/>
      <c r="AJ25" s="1"/>
      <c r="AK25" s="1"/>
      <c r="AL25" s="1"/>
      <c r="AM25" s="1"/>
      <c r="AN25" s="1"/>
      <c r="AO25" s="1"/>
    </row>
    <row r="26" spans="1:41" ht="31.5" customHeight="1" thickBo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58.5" customHeight="1">
      <c r="A30" s="36" t="s">
        <v>252</v>
      </c>
      <c r="B30" s="554" t="s">
        <v>58</v>
      </c>
      <c r="C30" s="555"/>
      <c r="D30" s="250"/>
      <c r="E30" s="250"/>
      <c r="F30" s="73"/>
      <c r="G30" s="250"/>
      <c r="H30" s="250"/>
      <c r="I30" s="250"/>
      <c r="J30" s="250"/>
      <c r="K30" s="250"/>
      <c r="L30" s="250"/>
      <c r="M30" s="250"/>
      <c r="N30" s="250"/>
      <c r="O30" s="250"/>
      <c r="P30" s="251">
        <f>SUM(D30:O30)</f>
        <v>0</v>
      </c>
      <c r="Q30" s="646"/>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22.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144.6" customHeight="1">
      <c r="A34" s="550" t="s">
        <v>252</v>
      </c>
      <c r="B34" s="552">
        <f>SUM(B38,B40,B42)</f>
        <v>0.15000000000000002</v>
      </c>
      <c r="C34" s="217" t="s">
        <v>159</v>
      </c>
      <c r="D34" s="262">
        <f t="shared" ref="D34:O35" si="2">+D47*$W$17</f>
        <v>1.9552E-2</v>
      </c>
      <c r="E34" s="262">
        <f t="shared" si="2"/>
        <v>1.9552E-2</v>
      </c>
      <c r="F34" s="262">
        <f t="shared" si="2"/>
        <v>1.9552E-2</v>
      </c>
      <c r="G34" s="262">
        <f t="shared" si="2"/>
        <v>1.7774222222222219E-2</v>
      </c>
      <c r="H34" s="262">
        <f t="shared" si="2"/>
        <v>2.4886222222222223E-2</v>
      </c>
      <c r="I34" s="262">
        <f t="shared" si="2"/>
        <v>2.4886222222222223E-2</v>
      </c>
      <c r="J34" s="262">
        <f t="shared" si="2"/>
        <v>2.4886222222222223E-2</v>
      </c>
      <c r="K34" s="262">
        <f t="shared" si="2"/>
        <v>1.7774222222222219E-2</v>
      </c>
      <c r="L34" s="262">
        <f t="shared" si="2"/>
        <v>1.7774222222222219E-2</v>
      </c>
      <c r="M34" s="262">
        <f t="shared" si="2"/>
        <v>1.7774222222222219E-2</v>
      </c>
      <c r="N34" s="262">
        <f t="shared" si="2"/>
        <v>1.7774222222222219E-2</v>
      </c>
      <c r="O34" s="262">
        <f t="shared" si="2"/>
        <v>1.7774222222222219E-2</v>
      </c>
      <c r="P34" s="265">
        <f>SUM(D34:O34)</f>
        <v>0.23995999999999998</v>
      </c>
      <c r="Q34" s="752" t="s">
        <v>253</v>
      </c>
      <c r="R34" s="753"/>
      <c r="S34" s="753"/>
      <c r="T34" s="753"/>
      <c r="U34" s="753"/>
      <c r="V34" s="754"/>
      <c r="W34" s="708" t="s">
        <v>254</v>
      </c>
      <c r="X34" s="709"/>
      <c r="Y34" s="709"/>
      <c r="Z34" s="758"/>
      <c r="AA34" s="708" t="s">
        <v>255</v>
      </c>
      <c r="AB34" s="709"/>
      <c r="AC34" s="709"/>
      <c r="AD34" s="710"/>
      <c r="AE34" s="1">
        <f>LEN(Q34)</f>
        <v>2047</v>
      </c>
      <c r="AF34" s="1"/>
      <c r="AG34" s="38"/>
      <c r="AH34" s="38"/>
      <c r="AI34" s="38"/>
      <c r="AJ34" s="38"/>
      <c r="AK34" s="38"/>
      <c r="AL34" s="38"/>
      <c r="AM34" s="38"/>
      <c r="AN34" s="38"/>
      <c r="AO34" s="38"/>
    </row>
    <row r="35" spans="1:41" ht="144.6" customHeight="1">
      <c r="A35" s="654"/>
      <c r="B35" s="656"/>
      <c r="C35" s="39" t="s">
        <v>162</v>
      </c>
      <c r="D35" s="300">
        <f t="shared" si="2"/>
        <v>1.9199999999999998E-2</v>
      </c>
      <c r="E35" s="300">
        <f t="shared" si="2"/>
        <v>1.9199999999999998E-2</v>
      </c>
      <c r="F35" s="300">
        <f t="shared" si="2"/>
        <v>1.9199999999999998E-2</v>
      </c>
      <c r="G35" s="300">
        <f t="shared" si="2"/>
        <v>2.0799999999999999E-2</v>
      </c>
      <c r="H35" s="300">
        <f t="shared" si="2"/>
        <v>2.4799999999999999E-2</v>
      </c>
      <c r="I35" s="300"/>
      <c r="J35" s="300"/>
      <c r="K35" s="300"/>
      <c r="L35" s="300"/>
      <c r="M35" s="300"/>
      <c r="N35" s="300"/>
      <c r="O35" s="300"/>
      <c r="P35" s="178">
        <f>+D35+E35+F35+G35+H35</f>
        <v>0.1032</v>
      </c>
      <c r="Q35" s="755"/>
      <c r="R35" s="756"/>
      <c r="S35" s="756"/>
      <c r="T35" s="756"/>
      <c r="U35" s="756"/>
      <c r="V35" s="757"/>
      <c r="W35" s="759"/>
      <c r="X35" s="760"/>
      <c r="Y35" s="760"/>
      <c r="Z35" s="761"/>
      <c r="AA35" s="759"/>
      <c r="AB35" s="760"/>
      <c r="AC35" s="760"/>
      <c r="AD35" s="762"/>
      <c r="AE35" s="40"/>
      <c r="AF35" s="1"/>
      <c r="AG35" s="38"/>
      <c r="AH35" s="38"/>
      <c r="AI35" s="38"/>
      <c r="AJ35" s="38"/>
      <c r="AK35" s="38"/>
      <c r="AL35" s="38"/>
      <c r="AM35" s="38"/>
      <c r="AN35" s="38"/>
      <c r="AO35" s="38"/>
    </row>
    <row r="36" spans="1:41" ht="33.75" customHeight="1">
      <c r="A36" s="644" t="s">
        <v>164</v>
      </c>
      <c r="B36" s="648" t="s">
        <v>165</v>
      </c>
      <c r="C36" s="649" t="s">
        <v>166</v>
      </c>
      <c r="D36" s="570"/>
      <c r="E36" s="570"/>
      <c r="F36" s="570"/>
      <c r="G36" s="570"/>
      <c r="H36" s="570"/>
      <c r="I36" s="570"/>
      <c r="J36" s="570"/>
      <c r="K36" s="570"/>
      <c r="L36" s="570"/>
      <c r="M36" s="570"/>
      <c r="N36" s="570"/>
      <c r="O36" s="570"/>
      <c r="P36" s="650"/>
      <c r="Q36" s="649" t="s">
        <v>167</v>
      </c>
      <c r="R36" s="570"/>
      <c r="S36" s="570"/>
      <c r="T36" s="570"/>
      <c r="U36" s="570"/>
      <c r="V36" s="570"/>
      <c r="W36" s="570"/>
      <c r="X36" s="570"/>
      <c r="Y36" s="570"/>
      <c r="Z36" s="570"/>
      <c r="AA36" s="570"/>
      <c r="AB36" s="570"/>
      <c r="AC36" s="570"/>
      <c r="AD36" s="589"/>
      <c r="AE36" s="1"/>
      <c r="AF36" s="1"/>
      <c r="AG36" s="38"/>
      <c r="AH36" s="38"/>
      <c r="AI36" s="38"/>
      <c r="AJ36" s="38"/>
      <c r="AK36" s="38"/>
      <c r="AL36" s="38"/>
      <c r="AM36" s="38"/>
      <c r="AN36" s="38"/>
      <c r="AO36" s="38"/>
    </row>
    <row r="37" spans="1:41" ht="63.6" customHeight="1">
      <c r="A37" s="549"/>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87"/>
      <c r="AE37" s="1"/>
      <c r="AF37" s="1"/>
      <c r="AG37" s="41"/>
      <c r="AH37" s="41"/>
      <c r="AI37" s="41"/>
      <c r="AJ37" s="41"/>
      <c r="AK37" s="41"/>
      <c r="AL37" s="41"/>
      <c r="AM37" s="41"/>
      <c r="AN37" s="41"/>
      <c r="AO37" s="41"/>
    </row>
    <row r="38" spans="1:41" ht="48" customHeight="1">
      <c r="A38" s="707" t="s">
        <v>256</v>
      </c>
      <c r="B38" s="529">
        <v>0.05</v>
      </c>
      <c r="C38" s="217" t="s">
        <v>159</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18">
        <f t="shared" ref="P38:P43" si="3">SUM(D38:O38)</f>
        <v>0.99999999999999978</v>
      </c>
      <c r="Q38" s="766" t="s">
        <v>257</v>
      </c>
      <c r="R38" s="767"/>
      <c r="S38" s="767"/>
      <c r="T38" s="767"/>
      <c r="U38" s="767"/>
      <c r="V38" s="767"/>
      <c r="W38" s="767"/>
      <c r="X38" s="767"/>
      <c r="Y38" s="767"/>
      <c r="Z38" s="767"/>
      <c r="AA38" s="767"/>
      <c r="AB38" s="767"/>
      <c r="AC38" s="767"/>
      <c r="AD38" s="768"/>
      <c r="AE38" s="43"/>
      <c r="AF38" s="1"/>
      <c r="AG38" s="44"/>
      <c r="AH38" s="44"/>
      <c r="AI38" s="44"/>
      <c r="AJ38" s="44"/>
      <c r="AK38" s="44"/>
      <c r="AL38" s="44"/>
      <c r="AM38" s="44"/>
      <c r="AN38" s="44"/>
      <c r="AO38" s="44"/>
    </row>
    <row r="39" spans="1:41" ht="102" customHeight="1">
      <c r="A39" s="549"/>
      <c r="B39" s="528"/>
      <c r="C39" s="45" t="s">
        <v>162</v>
      </c>
      <c r="D39" s="46">
        <v>0.1</v>
      </c>
      <c r="E39" s="46">
        <v>0.1</v>
      </c>
      <c r="F39" s="213">
        <v>0.1</v>
      </c>
      <c r="G39" s="46">
        <v>0.1</v>
      </c>
      <c r="H39" s="46">
        <v>0.08</v>
      </c>
      <c r="I39" s="46"/>
      <c r="J39" s="46"/>
      <c r="K39" s="46"/>
      <c r="L39" s="46"/>
      <c r="M39" s="46"/>
      <c r="N39" s="46"/>
      <c r="O39" s="46"/>
      <c r="P39" s="219">
        <f t="shared" si="3"/>
        <v>0.48000000000000004</v>
      </c>
      <c r="Q39" s="769"/>
      <c r="R39" s="770"/>
      <c r="S39" s="770"/>
      <c r="T39" s="770"/>
      <c r="U39" s="770"/>
      <c r="V39" s="770"/>
      <c r="W39" s="770"/>
      <c r="X39" s="770"/>
      <c r="Y39" s="770"/>
      <c r="Z39" s="770"/>
      <c r="AA39" s="770"/>
      <c r="AB39" s="770"/>
      <c r="AC39" s="770"/>
      <c r="AD39" s="771"/>
      <c r="AE39" s="43"/>
      <c r="AF39" s="1"/>
      <c r="AG39" s="1"/>
      <c r="AH39" s="1"/>
      <c r="AI39" s="1"/>
      <c r="AJ39" s="1"/>
      <c r="AK39" s="1"/>
      <c r="AL39" s="1"/>
      <c r="AM39" s="1"/>
      <c r="AN39" s="1"/>
      <c r="AO39" s="1"/>
    </row>
    <row r="40" spans="1:41" ht="234.75" customHeight="1">
      <c r="A40" s="707" t="s">
        <v>258</v>
      </c>
      <c r="B40" s="529">
        <v>0.05</v>
      </c>
      <c r="C40" s="47" t="s">
        <v>159</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9">
        <f t="shared" si="3"/>
        <v>0.99960000000000016</v>
      </c>
      <c r="Q40" s="772" t="s">
        <v>259</v>
      </c>
      <c r="R40" s="773"/>
      <c r="S40" s="773"/>
      <c r="T40" s="773"/>
      <c r="U40" s="773"/>
      <c r="V40" s="773"/>
      <c r="W40" s="773"/>
      <c r="X40" s="773"/>
      <c r="Y40" s="773"/>
      <c r="Z40" s="773"/>
      <c r="AA40" s="773"/>
      <c r="AB40" s="773"/>
      <c r="AC40" s="773"/>
      <c r="AD40" s="774"/>
      <c r="AE40" s="43"/>
      <c r="AF40" s="1"/>
      <c r="AG40" s="1"/>
      <c r="AH40" s="1"/>
      <c r="AI40" s="1"/>
      <c r="AJ40" s="1"/>
      <c r="AK40" s="1"/>
      <c r="AL40" s="1"/>
      <c r="AM40" s="1"/>
      <c r="AN40" s="1"/>
      <c r="AO40" s="1"/>
    </row>
    <row r="41" spans="1:41" ht="54.75" customHeight="1">
      <c r="A41" s="549"/>
      <c r="B41" s="528"/>
      <c r="C41" s="45" t="s">
        <v>162</v>
      </c>
      <c r="D41" s="46">
        <v>0.08</v>
      </c>
      <c r="E41" s="46">
        <v>0.08</v>
      </c>
      <c r="F41" s="213">
        <v>0.08</v>
      </c>
      <c r="G41" s="46">
        <v>0.1</v>
      </c>
      <c r="H41" s="46">
        <v>0.08</v>
      </c>
      <c r="I41" s="46"/>
      <c r="J41" s="46"/>
      <c r="K41" s="46"/>
      <c r="L41" s="48"/>
      <c r="M41" s="48"/>
      <c r="N41" s="48"/>
      <c r="O41" s="48"/>
      <c r="P41" s="219">
        <f t="shared" si="3"/>
        <v>0.42</v>
      </c>
      <c r="Q41" s="775"/>
      <c r="R41" s="776"/>
      <c r="S41" s="776"/>
      <c r="T41" s="776"/>
      <c r="U41" s="776"/>
      <c r="V41" s="776"/>
      <c r="W41" s="776"/>
      <c r="X41" s="776"/>
      <c r="Y41" s="776"/>
      <c r="Z41" s="776"/>
      <c r="AA41" s="776"/>
      <c r="AB41" s="776"/>
      <c r="AC41" s="776"/>
      <c r="AD41" s="777"/>
      <c r="AE41" s="43"/>
      <c r="AF41" s="1"/>
      <c r="AG41" s="1"/>
      <c r="AH41" s="1"/>
      <c r="AI41" s="1"/>
      <c r="AJ41" s="1"/>
      <c r="AK41" s="1"/>
      <c r="AL41" s="1"/>
      <c r="AM41" s="1"/>
      <c r="AN41" s="1"/>
      <c r="AO41" s="1"/>
    </row>
    <row r="42" spans="1:41" ht="60.75" customHeight="1">
      <c r="A42" s="707" t="s">
        <v>260</v>
      </c>
      <c r="B42" s="529">
        <v>0.05</v>
      </c>
      <c r="C42" s="47" t="s">
        <v>159</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19">
        <f t="shared" si="3"/>
        <v>0.99990000000000023</v>
      </c>
      <c r="Q42" s="763" t="s">
        <v>261</v>
      </c>
      <c r="R42" s="764"/>
      <c r="S42" s="764"/>
      <c r="T42" s="764"/>
      <c r="U42" s="764"/>
      <c r="V42" s="764"/>
      <c r="W42" s="764"/>
      <c r="X42" s="764"/>
      <c r="Y42" s="764"/>
      <c r="Z42" s="764"/>
      <c r="AA42" s="764"/>
      <c r="AB42" s="764"/>
      <c r="AC42" s="764"/>
      <c r="AD42" s="765"/>
      <c r="AE42" s="43"/>
      <c r="AF42" s="1"/>
      <c r="AG42" s="1"/>
      <c r="AH42" s="1"/>
      <c r="AI42" s="1"/>
      <c r="AJ42" s="1"/>
      <c r="AK42" s="1"/>
      <c r="AL42" s="1"/>
      <c r="AM42" s="1"/>
      <c r="AN42" s="1"/>
      <c r="AO42" s="1"/>
    </row>
    <row r="43" spans="1:41" ht="60.75" customHeight="1">
      <c r="A43" s="549"/>
      <c r="B43" s="528"/>
      <c r="C43" s="45" t="s">
        <v>162</v>
      </c>
      <c r="D43" s="46">
        <v>0.06</v>
      </c>
      <c r="E43" s="46">
        <v>0.06</v>
      </c>
      <c r="F43" s="213">
        <v>0.06</v>
      </c>
      <c r="G43" s="46">
        <v>0.06</v>
      </c>
      <c r="H43" s="46">
        <v>0.15</v>
      </c>
      <c r="I43" s="46"/>
      <c r="J43" s="46"/>
      <c r="K43" s="46"/>
      <c r="L43" s="48"/>
      <c r="M43" s="48"/>
      <c r="N43" s="48"/>
      <c r="O43" s="48"/>
      <c r="P43" s="219">
        <f t="shared" si="3"/>
        <v>0.39</v>
      </c>
      <c r="Q43" s="764"/>
      <c r="R43" s="764"/>
      <c r="S43" s="764"/>
      <c r="T43" s="764"/>
      <c r="U43" s="764"/>
      <c r="V43" s="764"/>
      <c r="W43" s="764"/>
      <c r="X43" s="764"/>
      <c r="Y43" s="764"/>
      <c r="Z43" s="764"/>
      <c r="AA43" s="764"/>
      <c r="AB43" s="764"/>
      <c r="AC43" s="764"/>
      <c r="AD43" s="765"/>
      <c r="AE43" s="43"/>
      <c r="AF43" s="1"/>
      <c r="AG43" s="1"/>
      <c r="AH43" s="1"/>
      <c r="AI43" s="1"/>
      <c r="AJ43" s="1"/>
      <c r="AK43" s="1"/>
      <c r="AL43" s="1"/>
      <c r="AM43" s="1"/>
      <c r="AN43" s="1"/>
      <c r="AO43" s="1"/>
    </row>
    <row r="44" spans="1:41" ht="14.25" customHeight="1">
      <c r="A44" s="1" t="s">
        <v>185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186</v>
      </c>
      <c r="D47" s="74">
        <f t="shared" ref="D47:O47" si="4">AVERAGE(D38,D40,D42)</f>
        <v>8.1466666666666673E-2</v>
      </c>
      <c r="E47" s="74">
        <f t="shared" si="4"/>
        <v>8.1466666666666673E-2</v>
      </c>
      <c r="F47" s="74">
        <f t="shared" si="4"/>
        <v>8.1466666666666673E-2</v>
      </c>
      <c r="G47" s="74">
        <f t="shared" si="4"/>
        <v>7.4059259259259255E-2</v>
      </c>
      <c r="H47" s="74">
        <f t="shared" si="4"/>
        <v>0.1036925925925926</v>
      </c>
      <c r="I47" s="74">
        <f t="shared" si="4"/>
        <v>0.1036925925925926</v>
      </c>
      <c r="J47" s="74">
        <f t="shared" si="4"/>
        <v>0.1036925925925926</v>
      </c>
      <c r="K47" s="74">
        <f t="shared" si="4"/>
        <v>7.4059259259259255E-2</v>
      </c>
      <c r="L47" s="74">
        <f t="shared" si="4"/>
        <v>7.4059259259259255E-2</v>
      </c>
      <c r="M47" s="74">
        <f t="shared" si="4"/>
        <v>7.4059259259259255E-2</v>
      </c>
      <c r="N47" s="74">
        <f t="shared" si="4"/>
        <v>7.4059259259259255E-2</v>
      </c>
      <c r="O47" s="74">
        <f t="shared" si="4"/>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187</v>
      </c>
      <c r="D48" s="75">
        <f t="shared" ref="D48:O48" si="5">AVERAGE(D39,D41,D43)</f>
        <v>0.08</v>
      </c>
      <c r="E48" s="75">
        <f t="shared" si="5"/>
        <v>0.08</v>
      </c>
      <c r="F48" s="75">
        <f t="shared" si="5"/>
        <v>0.08</v>
      </c>
      <c r="G48" s="75">
        <f t="shared" si="5"/>
        <v>8.666666666666667E-2</v>
      </c>
      <c r="H48" s="75">
        <f t="shared" si="5"/>
        <v>0.10333333333333333</v>
      </c>
      <c r="I48" s="75" t="e">
        <f t="shared" si="5"/>
        <v>#DIV/0!</v>
      </c>
      <c r="J48" s="75" t="e">
        <f t="shared" si="5"/>
        <v>#DIV/0!</v>
      </c>
      <c r="K48" s="75" t="e">
        <f t="shared" si="5"/>
        <v>#DIV/0!</v>
      </c>
      <c r="L48" s="75" t="e">
        <f t="shared" si="5"/>
        <v>#DIV/0!</v>
      </c>
      <c r="M48" s="75" t="e">
        <f t="shared" si="5"/>
        <v>#DIV/0!</v>
      </c>
      <c r="N48" s="75" t="e">
        <f t="shared" si="5"/>
        <v>#DIV/0!</v>
      </c>
      <c r="O48" s="75" t="e">
        <f t="shared" si="5"/>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262</v>
      </c>
      <c r="D49" s="302"/>
      <c r="E49" s="302">
        <v>324</v>
      </c>
      <c r="F49" s="302">
        <v>441</v>
      </c>
      <c r="G49" s="303">
        <v>624</v>
      </c>
      <c r="H49" s="303">
        <v>637</v>
      </c>
      <c r="I49" s="302"/>
      <c r="J49" s="302"/>
      <c r="K49" s="302"/>
      <c r="L49" s="302"/>
      <c r="M49" s="302"/>
      <c r="N49" s="302"/>
      <c r="O49" s="302"/>
      <c r="P49" s="1"/>
      <c r="Q49" s="689"/>
      <c r="R49" s="689"/>
      <c r="S49" s="689"/>
      <c r="T49" s="689"/>
      <c r="U49" s="689"/>
      <c r="V49" s="689"/>
      <c r="W49" s="689"/>
      <c r="X49" s="689"/>
      <c r="Y49" s="689"/>
      <c r="Z49" s="689"/>
      <c r="AA49" s="689"/>
      <c r="AB49" s="689"/>
      <c r="AC49" s="689"/>
      <c r="AD49" s="689"/>
      <c r="AE49" s="1"/>
      <c r="AF49" s="1"/>
      <c r="AG49" s="1"/>
      <c r="AH49" s="1"/>
      <c r="AI49" s="1"/>
      <c r="AJ49" s="1"/>
      <c r="AK49" s="1"/>
      <c r="AL49" s="1"/>
      <c r="AM49" s="1"/>
      <c r="AN49" s="1"/>
      <c r="AO49" s="1"/>
    </row>
    <row r="50" spans="1:41" ht="54.6" customHeight="1">
      <c r="A50" s="1"/>
      <c r="B50" s="1"/>
      <c r="C50" s="301" t="s">
        <v>263</v>
      </c>
      <c r="D50" s="304"/>
      <c r="E50" s="357">
        <v>1</v>
      </c>
      <c r="F50" s="357">
        <v>1</v>
      </c>
      <c r="G50" s="416"/>
      <c r="H50" s="416"/>
      <c r="I50" s="304"/>
      <c r="J50" s="304"/>
      <c r="K50" s="304"/>
      <c r="L50" s="304"/>
      <c r="M50" s="304"/>
      <c r="N50" s="304"/>
      <c r="O50" s="304"/>
      <c r="P50" s="1"/>
      <c r="Q50" s="689"/>
      <c r="R50" s="689"/>
      <c r="S50" s="689"/>
      <c r="T50" s="689"/>
      <c r="U50" s="689"/>
      <c r="V50" s="689"/>
      <c r="W50" s="689"/>
      <c r="X50" s="689"/>
      <c r="Y50" s="689"/>
      <c r="Z50" s="689"/>
      <c r="AA50" s="689"/>
      <c r="AB50" s="689"/>
      <c r="AC50" s="689"/>
      <c r="AD50" s="689"/>
      <c r="AE50" s="1"/>
      <c r="AF50" s="1"/>
      <c r="AG50" s="1"/>
      <c r="AH50" s="1"/>
      <c r="AI50" s="1"/>
      <c r="AJ50" s="1"/>
      <c r="AK50" s="1"/>
      <c r="AL50" s="1"/>
      <c r="AM50" s="1"/>
      <c r="AN50" s="1"/>
      <c r="AO50" s="1"/>
    </row>
    <row r="51" spans="1:41" ht="51.6" customHeight="1">
      <c r="A51" s="1"/>
      <c r="B51" s="1"/>
      <c r="C51" s="84" t="s">
        <v>264</v>
      </c>
      <c r="D51" s="305"/>
      <c r="E51" s="302">
        <v>11</v>
      </c>
      <c r="F51" s="302">
        <v>27</v>
      </c>
      <c r="G51" s="417"/>
      <c r="H51" s="417"/>
      <c r="I51" s="305"/>
      <c r="J51" s="305"/>
      <c r="K51" s="305"/>
      <c r="L51" s="305"/>
      <c r="M51" s="305"/>
      <c r="N51" s="305"/>
      <c r="O51" s="305"/>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0.15" customHeight="1">
      <c r="A52" s="1"/>
      <c r="B52" s="1"/>
      <c r="C52" s="301" t="s">
        <v>265</v>
      </c>
      <c r="D52" s="304"/>
      <c r="E52" s="357">
        <v>7862</v>
      </c>
      <c r="F52" s="357">
        <v>6082</v>
      </c>
      <c r="G52" s="416"/>
      <c r="H52" s="416"/>
      <c r="I52" s="304"/>
      <c r="J52" s="304"/>
      <c r="K52" s="304"/>
      <c r="L52" s="304"/>
      <c r="M52" s="304"/>
      <c r="N52" s="304"/>
      <c r="O52" s="304"/>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395" t="s">
        <v>266</v>
      </c>
      <c r="D53" s="305"/>
      <c r="E53" s="302">
        <v>1850</v>
      </c>
      <c r="F53" s="302">
        <v>1371</v>
      </c>
      <c r="G53" s="417"/>
      <c r="H53" s="417"/>
      <c r="I53" s="305"/>
      <c r="J53" s="305"/>
      <c r="K53" s="305"/>
      <c r="L53" s="305"/>
      <c r="M53" s="305"/>
      <c r="N53" s="305"/>
      <c r="O53" s="305"/>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301" t="s">
        <v>267</v>
      </c>
      <c r="D54" s="304"/>
      <c r="E54" s="357">
        <v>1802</v>
      </c>
      <c r="F54" s="357">
        <v>2811</v>
      </c>
      <c r="G54" s="416"/>
      <c r="H54" s="416"/>
      <c r="I54" s="304"/>
      <c r="J54" s="304"/>
      <c r="K54" s="304"/>
      <c r="L54" s="304"/>
      <c r="M54" s="304"/>
      <c r="N54" s="304"/>
      <c r="O54" s="304"/>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65" customHeight="1">
      <c r="A55" s="1"/>
      <c r="B55" s="1"/>
      <c r="C55" s="84" t="s">
        <v>268</v>
      </c>
      <c r="D55" s="305"/>
      <c r="E55" s="302">
        <v>1022</v>
      </c>
      <c r="F55" s="302">
        <v>1371</v>
      </c>
      <c r="G55" s="417"/>
      <c r="H55" s="417"/>
      <c r="I55" s="305"/>
      <c r="J55" s="305"/>
      <c r="K55" s="305"/>
      <c r="L55" s="305"/>
      <c r="M55" s="305"/>
      <c r="N55" s="305"/>
      <c r="O55" s="305"/>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3.15" customHeight="1">
      <c r="A56" s="1"/>
      <c r="B56" s="1"/>
      <c r="C56" s="301" t="s">
        <v>269</v>
      </c>
      <c r="D56" s="304"/>
      <c r="E56" s="357">
        <v>4</v>
      </c>
      <c r="F56" s="357">
        <v>5</v>
      </c>
      <c r="G56" s="416"/>
      <c r="H56" s="416"/>
      <c r="I56" s="304"/>
      <c r="J56" s="304"/>
      <c r="K56" s="304"/>
      <c r="L56" s="304"/>
      <c r="M56" s="304"/>
      <c r="N56" s="304"/>
      <c r="O56" s="304"/>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270</v>
      </c>
      <c r="D57" s="305"/>
      <c r="E57" s="302">
        <v>1312</v>
      </c>
      <c r="F57" s="302" t="s">
        <v>271</v>
      </c>
      <c r="G57" s="417"/>
      <c r="H57" s="417"/>
      <c r="I57" s="305"/>
      <c r="J57" s="305"/>
      <c r="K57" s="305"/>
      <c r="L57" s="305"/>
      <c r="M57" s="305"/>
      <c r="N57" s="305"/>
      <c r="O57" s="305"/>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Q42 Q49" xr:uid="{00000000-0002-0000-0400-000001000000}">
      <formula1>LTE(LEN(Q34),(2000))</formula1>
    </dataValidation>
    <dataValidation type="list" allowBlank="1" showInputMessage="1" showErrorMessage="1" sqref="C7:C9" xr:uid="{3A398BFF-EB26-4809-8DA4-E4167B854724}">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view="pageBreakPreview" topLeftCell="A31" zoomScale="75" zoomScaleNormal="80" zoomScaleSheetLayoutView="75" workbookViewId="0">
      <selection activeCell="F14" sqref="F14"/>
    </sheetView>
  </sheetViews>
  <sheetFormatPr baseColWidth="10" defaultColWidth="14.42578125" defaultRowHeight="15" customHeight="1"/>
  <cols>
    <col min="1" max="1" width="38.42578125" customWidth="1"/>
    <col min="2" max="2" width="15.42578125" customWidth="1"/>
    <col min="3" max="3" width="17.7109375" customWidth="1"/>
    <col min="4" max="14" width="12.7109375" customWidth="1"/>
    <col min="15" max="15" width="13.5703125" bestFit="1" customWidth="1"/>
    <col min="16" max="16" width="14.42578125" customWidth="1"/>
    <col min="17" max="20" width="15" customWidth="1"/>
    <col min="21" max="22" width="18.28515625" customWidth="1"/>
    <col min="23" max="28" width="15" customWidth="1"/>
    <col min="29" max="29" width="16.42578125" bestFit="1" customWidth="1"/>
    <col min="30" max="30" width="14.7109375" customWidth="1"/>
    <col min="31" max="31" width="6.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59.65"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58.15" customHeight="1" thickBot="1">
      <c r="A17" s="564" t="s">
        <v>130</v>
      </c>
      <c r="B17" s="565"/>
      <c r="C17" s="591" t="s">
        <v>272</v>
      </c>
      <c r="D17" s="573"/>
      <c r="E17" s="573"/>
      <c r="F17" s="573"/>
      <c r="G17" s="573"/>
      <c r="H17" s="573"/>
      <c r="I17" s="573"/>
      <c r="J17" s="573"/>
      <c r="K17" s="573"/>
      <c r="L17" s="573"/>
      <c r="M17" s="573"/>
      <c r="N17" s="573"/>
      <c r="O17" s="573"/>
      <c r="P17" s="573"/>
      <c r="Q17" s="565"/>
      <c r="R17" s="574" t="s">
        <v>132</v>
      </c>
      <c r="S17" s="573"/>
      <c r="T17" s="573"/>
      <c r="U17" s="573"/>
      <c r="V17" s="565"/>
      <c r="W17" s="571">
        <v>1</v>
      </c>
      <c r="X17" s="565"/>
      <c r="Y17" s="572" t="s">
        <v>133</v>
      </c>
      <c r="Z17" s="573"/>
      <c r="AA17" s="573"/>
      <c r="AB17" s="565"/>
      <c r="AC17" s="594">
        <f>+B34</f>
        <v>0.1</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569" t="s">
        <v>138</v>
      </c>
      <c r="B22" s="570"/>
      <c r="C22" s="22"/>
      <c r="D22" s="23"/>
      <c r="E22" s="23"/>
      <c r="F22" s="23"/>
      <c r="G22" s="23"/>
      <c r="H22" s="23"/>
      <c r="I22" s="23"/>
      <c r="J22" s="23"/>
      <c r="K22" s="23"/>
      <c r="L22" s="23"/>
      <c r="M22" s="23"/>
      <c r="N22" s="23"/>
      <c r="O22" s="142">
        <f t="shared" ref="O22:O25" si="0">SUM(C22:N22)</f>
        <v>0</v>
      </c>
      <c r="P22" s="247"/>
      <c r="Q22" s="429">
        <v>345554764</v>
      </c>
      <c r="R22" s="72"/>
      <c r="S22" s="72"/>
      <c r="T22" s="72"/>
      <c r="U22" s="428">
        <v>14000000</v>
      </c>
      <c r="V22" s="72"/>
      <c r="W22" s="72"/>
      <c r="X22" s="72">
        <v>35000000</v>
      </c>
      <c r="Y22" s="72"/>
      <c r="Z22" s="72"/>
      <c r="AA22" s="72"/>
      <c r="AB22" s="72"/>
      <c r="AC22" s="142">
        <f t="shared" ref="AC22:AC23" si="1">SUM(Q22:AB22)</f>
        <v>394554764</v>
      </c>
      <c r="AD22" s="24"/>
      <c r="AE22" s="18"/>
      <c r="AF22" s="18"/>
      <c r="AG22" s="1"/>
      <c r="AH22" s="1"/>
      <c r="AI22" s="1"/>
      <c r="AJ22" s="1"/>
      <c r="AK22" s="1"/>
      <c r="AL22" s="1"/>
      <c r="AM22" s="1"/>
      <c r="AN22" s="1"/>
      <c r="AO22" s="1"/>
    </row>
    <row r="23" spans="1:41" ht="31.5" customHeight="1">
      <c r="A23" s="563" t="s">
        <v>139</v>
      </c>
      <c r="B23" s="535"/>
      <c r="C23" s="25">
        <v>3180045</v>
      </c>
      <c r="D23" s="26"/>
      <c r="E23" s="26">
        <v>-2744000</v>
      </c>
      <c r="F23" s="26">
        <v>0</v>
      </c>
      <c r="G23" s="26">
        <v>-179378</v>
      </c>
      <c r="H23" s="26"/>
      <c r="I23" s="26"/>
      <c r="J23" s="26"/>
      <c r="K23" s="26"/>
      <c r="L23" s="26"/>
      <c r="M23" s="26"/>
      <c r="N23" s="26"/>
      <c r="O23" s="27">
        <f t="shared" si="0"/>
        <v>256667</v>
      </c>
      <c r="P23" s="430" t="str">
        <f>IFERROR(O23/(SUMIF(C23:N23,"&gt;0",C22:N22))," ")</f>
        <v xml:space="preserve"> </v>
      </c>
      <c r="Q23" s="431">
        <v>345554764</v>
      </c>
      <c r="R23" s="28">
        <v>0</v>
      </c>
      <c r="S23" s="427">
        <v>-4916077</v>
      </c>
      <c r="T23" s="427">
        <v>-1873117</v>
      </c>
      <c r="U23" s="428">
        <v>18226536</v>
      </c>
      <c r="V23" s="28"/>
      <c r="W23" s="28"/>
      <c r="X23" s="28"/>
      <c r="Y23" s="28"/>
      <c r="Z23" s="28"/>
      <c r="AA23" s="28"/>
      <c r="AB23" s="28"/>
      <c r="AC23" s="27">
        <f t="shared" si="1"/>
        <v>356992106</v>
      </c>
      <c r="AD23" s="29">
        <f>AC23/AC22</f>
        <v>0.90479735279536511</v>
      </c>
      <c r="AE23" s="358" t="s">
        <v>140</v>
      </c>
      <c r="AF23" s="18"/>
      <c r="AG23" s="1"/>
      <c r="AH23" s="1"/>
      <c r="AI23" s="1"/>
      <c r="AJ23" s="1"/>
      <c r="AK23" s="1"/>
      <c r="AL23" s="1"/>
      <c r="AM23" s="1"/>
      <c r="AN23" s="1"/>
      <c r="AO23" s="1"/>
    </row>
    <row r="24" spans="1:41" ht="31.5" customHeight="1">
      <c r="A24" s="563" t="s">
        <v>141</v>
      </c>
      <c r="B24" s="535"/>
      <c r="C24" s="30"/>
      <c r="D24" s="26">
        <f>3000667+E23</f>
        <v>256667</v>
      </c>
      <c r="E24" s="26">
        <v>179378</v>
      </c>
      <c r="F24" s="26"/>
      <c r="G24" s="27"/>
      <c r="H24" s="27"/>
      <c r="I24" s="27"/>
      <c r="J24" s="27"/>
      <c r="K24" s="27"/>
      <c r="L24" s="27"/>
      <c r="M24" s="27"/>
      <c r="N24" s="27"/>
      <c r="O24" s="27">
        <f t="shared" si="0"/>
        <v>436045</v>
      </c>
      <c r="P24" s="248"/>
      <c r="Q24" s="432"/>
      <c r="R24" s="26">
        <v>11837729.999999998</v>
      </c>
      <c r="S24" s="428">
        <v>30358700</v>
      </c>
      <c r="T24" s="26">
        <v>30358700</v>
      </c>
      <c r="U24" s="428">
        <v>30358700</v>
      </c>
      <c r="V24" s="26">
        <v>30358700</v>
      </c>
      <c r="W24" s="26">
        <v>44358700</v>
      </c>
      <c r="X24" s="26">
        <v>30358700</v>
      </c>
      <c r="Y24" s="26">
        <v>30358700</v>
      </c>
      <c r="Z24" s="26">
        <v>30358700</v>
      </c>
      <c r="AA24" s="26">
        <v>37358700</v>
      </c>
      <c r="AB24" s="26">
        <f>37358700+51130034</f>
        <v>88488734</v>
      </c>
      <c r="AC24" s="27">
        <f>SUM(R24:AB24)</f>
        <v>394554764</v>
      </c>
      <c r="AD24" s="29"/>
      <c r="AE24" s="18"/>
      <c r="AF24" s="18"/>
      <c r="AG24" s="1"/>
      <c r="AH24" s="1"/>
      <c r="AI24" s="1"/>
      <c r="AJ24" s="1"/>
      <c r="AK24" s="1"/>
      <c r="AL24" s="1"/>
      <c r="AM24" s="1"/>
      <c r="AN24" s="1"/>
      <c r="AO24" s="1"/>
    </row>
    <row r="25" spans="1:41" ht="31.5" customHeight="1">
      <c r="A25" s="597" t="s">
        <v>142</v>
      </c>
      <c r="B25" s="598"/>
      <c r="C25" s="31"/>
      <c r="D25" s="32">
        <v>256667</v>
      </c>
      <c r="E25" s="32">
        <f>2744000+E23</f>
        <v>0</v>
      </c>
      <c r="F25" s="32">
        <v>0</v>
      </c>
      <c r="G25" s="32">
        <v>0</v>
      </c>
      <c r="H25" s="32"/>
      <c r="I25" s="32"/>
      <c r="J25" s="32"/>
      <c r="K25" s="32"/>
      <c r="L25" s="32"/>
      <c r="M25" s="32"/>
      <c r="N25" s="32"/>
      <c r="O25" s="33">
        <f t="shared" si="0"/>
        <v>256667</v>
      </c>
      <c r="P25" s="433">
        <f>O25/O24</f>
        <v>0.58862502723342769</v>
      </c>
      <c r="Q25" s="31"/>
      <c r="R25" s="32">
        <v>4248887</v>
      </c>
      <c r="S25" s="32">
        <v>22478200</v>
      </c>
      <c r="T25" s="32">
        <v>40617833</v>
      </c>
      <c r="U25" s="428">
        <v>20938700</v>
      </c>
      <c r="V25" s="32"/>
      <c r="W25" s="32"/>
      <c r="X25" s="32"/>
      <c r="Y25" s="32"/>
      <c r="Z25" s="32"/>
      <c r="AA25" s="32"/>
      <c r="AB25" s="32"/>
      <c r="AC25" s="33">
        <f>SUM(Q25:AB25)</f>
        <v>88283620</v>
      </c>
      <c r="AD25" s="34">
        <f>AC25/AC24</f>
        <v>0.22375504760094597</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106.5" customHeight="1">
      <c r="A30" s="36" t="s">
        <v>273</v>
      </c>
      <c r="B30" s="554" t="s">
        <v>58</v>
      </c>
      <c r="C30" s="555"/>
      <c r="D30" s="250"/>
      <c r="E30" s="250"/>
      <c r="F30" s="73"/>
      <c r="G30" s="250"/>
      <c r="H30" s="250"/>
      <c r="I30" s="250"/>
      <c r="J30" s="250"/>
      <c r="K30" s="250"/>
      <c r="L30" s="250"/>
      <c r="M30" s="250"/>
      <c r="N30" s="250"/>
      <c r="O30" s="250"/>
      <c r="P30" s="251">
        <f>SUM(D30:O30)</f>
        <v>0</v>
      </c>
      <c r="Q30" s="646"/>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35.6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781" t="s">
        <v>156</v>
      </c>
      <c r="R33" s="576"/>
      <c r="S33" s="576"/>
      <c r="T33" s="576"/>
      <c r="U33" s="576"/>
      <c r="V33" s="782"/>
      <c r="W33" s="781" t="s">
        <v>157</v>
      </c>
      <c r="X33" s="576"/>
      <c r="Y33" s="576"/>
      <c r="Z33" s="782"/>
      <c r="AA33" s="781" t="s">
        <v>158</v>
      </c>
      <c r="AB33" s="576"/>
      <c r="AC33" s="576"/>
      <c r="AD33" s="496"/>
      <c r="AE33" s="1"/>
      <c r="AF33" s="1"/>
      <c r="AG33" s="38"/>
      <c r="AH33" s="38"/>
      <c r="AI33" s="38"/>
      <c r="AJ33" s="38"/>
      <c r="AK33" s="38"/>
      <c r="AL33" s="38"/>
      <c r="AM33" s="38"/>
      <c r="AN33" s="38"/>
      <c r="AO33" s="38"/>
    </row>
    <row r="34" spans="1:41" ht="97.5" customHeight="1">
      <c r="A34" s="799" t="s">
        <v>273</v>
      </c>
      <c r="B34" s="552">
        <f>SUM(B38,B40,B42)</f>
        <v>0.1</v>
      </c>
      <c r="C34" s="217" t="s">
        <v>159</v>
      </c>
      <c r="D34" s="262">
        <f t="shared" ref="D34:O34" si="2">+D46</f>
        <v>0.75249999999999995</v>
      </c>
      <c r="E34" s="262">
        <f t="shared" si="2"/>
        <v>0.80499999999999994</v>
      </c>
      <c r="F34" s="262">
        <f t="shared" si="2"/>
        <v>0.85749999999999993</v>
      </c>
      <c r="G34" s="262">
        <f t="shared" si="2"/>
        <v>0.8866666666666666</v>
      </c>
      <c r="H34" s="262">
        <f t="shared" si="2"/>
        <v>0.91583333333333328</v>
      </c>
      <c r="I34" s="262">
        <f t="shared" si="2"/>
        <v>0.94499999999999995</v>
      </c>
      <c r="J34" s="262">
        <f t="shared" si="2"/>
        <v>0.96666666666666656</v>
      </c>
      <c r="K34" s="262">
        <f t="shared" si="2"/>
        <v>0.97333333333333327</v>
      </c>
      <c r="L34" s="262">
        <f t="shared" si="2"/>
        <v>0.98</v>
      </c>
      <c r="M34" s="262">
        <f t="shared" si="2"/>
        <v>0.98666666666666669</v>
      </c>
      <c r="N34" s="262">
        <f t="shared" si="2"/>
        <v>0.9933333333333334</v>
      </c>
      <c r="O34" s="262">
        <f t="shared" si="2"/>
        <v>1</v>
      </c>
      <c r="P34" s="457">
        <f t="shared" ref="P34" si="3">+O34</f>
        <v>1</v>
      </c>
      <c r="Q34" s="779" t="s">
        <v>274</v>
      </c>
      <c r="R34" s="780"/>
      <c r="S34" s="780"/>
      <c r="T34" s="780"/>
      <c r="U34" s="780"/>
      <c r="V34" s="780"/>
      <c r="W34" s="779" t="s">
        <v>275</v>
      </c>
      <c r="X34" s="780"/>
      <c r="Y34" s="780"/>
      <c r="Z34" s="780"/>
      <c r="AA34" s="779" t="s">
        <v>276</v>
      </c>
      <c r="AB34" s="780"/>
      <c r="AC34" s="780"/>
      <c r="AD34" s="780"/>
      <c r="AE34" s="254"/>
      <c r="AF34" s="1"/>
      <c r="AG34" s="38"/>
      <c r="AH34" s="38"/>
      <c r="AI34" s="38"/>
      <c r="AJ34" s="38"/>
      <c r="AK34" s="38"/>
      <c r="AL34" s="38"/>
      <c r="AM34" s="38"/>
      <c r="AN34" s="38"/>
      <c r="AO34" s="38"/>
    </row>
    <row r="35" spans="1:41" ht="97.5" customHeight="1">
      <c r="A35" s="800"/>
      <c r="B35" s="553"/>
      <c r="C35" s="214" t="s">
        <v>162</v>
      </c>
      <c r="D35" s="215">
        <f t="shared" ref="D35:O35" si="4">+D47</f>
        <v>0.75372499999999998</v>
      </c>
      <c r="E35" s="215">
        <f t="shared" si="4"/>
        <v>0.79977500000000001</v>
      </c>
      <c r="F35" s="215">
        <f t="shared" si="4"/>
        <v>0.84582500000000005</v>
      </c>
      <c r="G35" s="421">
        <f t="shared" si="4"/>
        <v>0.88266500000000003</v>
      </c>
      <c r="H35" s="421">
        <f t="shared" si="4"/>
        <v>0.91183000000000003</v>
      </c>
      <c r="I35" s="216">
        <f t="shared" si="4"/>
        <v>0.91183000000000003</v>
      </c>
      <c r="J35" s="216">
        <f t="shared" si="4"/>
        <v>0.91183000000000003</v>
      </c>
      <c r="K35" s="216">
        <f t="shared" si="4"/>
        <v>0.91183000000000003</v>
      </c>
      <c r="L35" s="216">
        <f t="shared" si="4"/>
        <v>0.91183000000000003</v>
      </c>
      <c r="M35" s="216">
        <f t="shared" si="4"/>
        <v>0.91183000000000003</v>
      </c>
      <c r="N35" s="216">
        <f t="shared" si="4"/>
        <v>0.91183000000000003</v>
      </c>
      <c r="O35" s="216">
        <f t="shared" si="4"/>
        <v>0.91183000000000003</v>
      </c>
      <c r="P35" s="458">
        <f>H35</f>
        <v>0.91183000000000003</v>
      </c>
      <c r="Q35" s="780"/>
      <c r="R35" s="780"/>
      <c r="S35" s="780"/>
      <c r="T35" s="780"/>
      <c r="U35" s="780"/>
      <c r="V35" s="780"/>
      <c r="W35" s="780"/>
      <c r="X35" s="780"/>
      <c r="Y35" s="780"/>
      <c r="Z35" s="780"/>
      <c r="AA35" s="780"/>
      <c r="AB35" s="780"/>
      <c r="AC35" s="780"/>
      <c r="AD35" s="780"/>
      <c r="AE35" s="459"/>
      <c r="AF35" s="1"/>
      <c r="AG35" s="38"/>
      <c r="AH35" s="38"/>
      <c r="AI35" s="38"/>
      <c r="AJ35" s="38"/>
      <c r="AK35" s="38"/>
      <c r="AL35" s="38"/>
      <c r="AM35" s="38"/>
      <c r="AN35" s="38"/>
      <c r="AO35" s="38"/>
    </row>
    <row r="36" spans="1:41" ht="39" customHeight="1">
      <c r="A36" s="525" t="s">
        <v>164</v>
      </c>
      <c r="B36" s="527" t="s">
        <v>165</v>
      </c>
      <c r="C36" s="530" t="s">
        <v>166</v>
      </c>
      <c r="D36" s="531"/>
      <c r="E36" s="531"/>
      <c r="F36" s="531"/>
      <c r="G36" s="531"/>
      <c r="H36" s="531"/>
      <c r="I36" s="531"/>
      <c r="J36" s="531"/>
      <c r="K36" s="531"/>
      <c r="L36" s="531"/>
      <c r="M36" s="531"/>
      <c r="N36" s="531"/>
      <c r="O36" s="531"/>
      <c r="P36" s="532"/>
      <c r="Q36" s="577" t="s">
        <v>167</v>
      </c>
      <c r="R36" s="561"/>
      <c r="S36" s="561"/>
      <c r="T36" s="561"/>
      <c r="U36" s="561"/>
      <c r="V36" s="561"/>
      <c r="W36" s="561"/>
      <c r="X36" s="561"/>
      <c r="Y36" s="561"/>
      <c r="Z36" s="561"/>
      <c r="AA36" s="561"/>
      <c r="AB36" s="561"/>
      <c r="AC36" s="561"/>
      <c r="AD36" s="797"/>
      <c r="AE36" s="1"/>
      <c r="AF36" s="1"/>
      <c r="AG36" s="38"/>
      <c r="AH36" s="38"/>
      <c r="AI36" s="38"/>
      <c r="AJ36" s="38"/>
      <c r="AK36" s="38"/>
      <c r="AL36" s="38"/>
      <c r="AM36" s="38"/>
      <c r="AN36" s="38"/>
      <c r="AO36" s="38"/>
    </row>
    <row r="37" spans="1:41" ht="44.1" customHeight="1">
      <c r="A37" s="526"/>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36"/>
      <c r="AE37" s="1"/>
      <c r="AF37" s="1"/>
      <c r="AG37" s="41"/>
      <c r="AH37" s="41"/>
      <c r="AI37" s="41"/>
      <c r="AJ37" s="41"/>
      <c r="AK37" s="41"/>
      <c r="AL37" s="41"/>
      <c r="AM37" s="41"/>
      <c r="AN37" s="41"/>
      <c r="AO37" s="41"/>
    </row>
    <row r="38" spans="1:41" ht="59.1" customHeight="1">
      <c r="A38" s="789" t="s">
        <v>277</v>
      </c>
      <c r="B38" s="529">
        <v>0.05</v>
      </c>
      <c r="C38" s="217" t="s">
        <v>159</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18">
        <f t="shared" ref="P38:P40" si="5">SUM(D38:O38)</f>
        <v>0.99999999999999967</v>
      </c>
      <c r="Q38" s="783" t="s">
        <v>278</v>
      </c>
      <c r="R38" s="784"/>
      <c r="S38" s="784"/>
      <c r="T38" s="784"/>
      <c r="U38" s="784"/>
      <c r="V38" s="784"/>
      <c r="W38" s="784"/>
      <c r="X38" s="784"/>
      <c r="Y38" s="784"/>
      <c r="Z38" s="784"/>
      <c r="AA38" s="784"/>
      <c r="AB38" s="784"/>
      <c r="AC38" s="784"/>
      <c r="AD38" s="785"/>
      <c r="AE38" s="43"/>
      <c r="AF38" s="1"/>
      <c r="AG38" s="44"/>
      <c r="AH38" s="44"/>
      <c r="AI38" s="44"/>
      <c r="AJ38" s="44"/>
      <c r="AK38" s="44"/>
      <c r="AL38" s="44"/>
      <c r="AM38" s="44"/>
      <c r="AN38" s="44"/>
      <c r="AO38" s="44"/>
    </row>
    <row r="39" spans="1:41" ht="74.25" customHeight="1">
      <c r="A39" s="798"/>
      <c r="B39" s="528"/>
      <c r="C39" s="45" t="s">
        <v>162</v>
      </c>
      <c r="D39" s="46">
        <v>0.2</v>
      </c>
      <c r="E39" s="46">
        <v>0.15</v>
      </c>
      <c r="F39" s="213">
        <v>0.15</v>
      </c>
      <c r="G39" s="46">
        <v>0.09</v>
      </c>
      <c r="H39" s="46">
        <v>0.04</v>
      </c>
      <c r="I39" s="46"/>
      <c r="J39" s="46"/>
      <c r="K39" s="46"/>
      <c r="L39" s="46"/>
      <c r="M39" s="46"/>
      <c r="N39" s="46"/>
      <c r="O39" s="46"/>
      <c r="P39" s="219">
        <f t="shared" si="5"/>
        <v>0.63</v>
      </c>
      <c r="Q39" s="786"/>
      <c r="R39" s="787"/>
      <c r="S39" s="787"/>
      <c r="T39" s="787"/>
      <c r="U39" s="787"/>
      <c r="V39" s="787"/>
      <c r="W39" s="787"/>
      <c r="X39" s="787"/>
      <c r="Y39" s="787"/>
      <c r="Z39" s="787"/>
      <c r="AA39" s="787"/>
      <c r="AB39" s="787"/>
      <c r="AC39" s="787"/>
      <c r="AD39" s="788"/>
      <c r="AE39" s="43"/>
      <c r="AF39" s="1"/>
      <c r="AG39" s="1"/>
      <c r="AH39" s="1"/>
      <c r="AI39" s="1"/>
      <c r="AJ39" s="1"/>
      <c r="AK39" s="1"/>
      <c r="AL39" s="1"/>
      <c r="AM39" s="1"/>
      <c r="AN39" s="1"/>
      <c r="AO39" s="1"/>
    </row>
    <row r="40" spans="1:41" ht="94.5" customHeight="1">
      <c r="A40" s="789" t="s">
        <v>279</v>
      </c>
      <c r="B40" s="523">
        <v>0.05</v>
      </c>
      <c r="C40" s="47" t="s">
        <v>159</v>
      </c>
      <c r="D40" s="42">
        <v>0.15</v>
      </c>
      <c r="E40" s="42">
        <v>0.15</v>
      </c>
      <c r="F40" s="42">
        <v>0.15</v>
      </c>
      <c r="G40" s="42">
        <v>0.15</v>
      </c>
      <c r="H40" s="455">
        <v>0.15</v>
      </c>
      <c r="I40" s="42">
        <v>0.15</v>
      </c>
      <c r="J40" s="42">
        <v>0.1</v>
      </c>
      <c r="K40" s="42">
        <v>0</v>
      </c>
      <c r="L40" s="42">
        <v>0</v>
      </c>
      <c r="M40" s="42">
        <v>0</v>
      </c>
      <c r="N40" s="42">
        <v>0</v>
      </c>
      <c r="O40" s="42">
        <v>0</v>
      </c>
      <c r="P40" s="219">
        <f t="shared" si="5"/>
        <v>1</v>
      </c>
      <c r="Q40" s="791" t="s">
        <v>280</v>
      </c>
      <c r="R40" s="792"/>
      <c r="S40" s="792"/>
      <c r="T40" s="792"/>
      <c r="U40" s="792"/>
      <c r="V40" s="792"/>
      <c r="W40" s="792"/>
      <c r="X40" s="792"/>
      <c r="Y40" s="792"/>
      <c r="Z40" s="792"/>
      <c r="AA40" s="792"/>
      <c r="AB40" s="792"/>
      <c r="AC40" s="792"/>
      <c r="AD40" s="793"/>
      <c r="AE40" s="43"/>
      <c r="AF40" s="1"/>
      <c r="AG40" s="1"/>
      <c r="AH40" s="1"/>
      <c r="AI40" s="1"/>
      <c r="AJ40" s="1"/>
      <c r="AK40" s="1"/>
      <c r="AL40" s="1"/>
      <c r="AM40" s="1"/>
      <c r="AN40" s="1"/>
      <c r="AO40" s="1"/>
    </row>
    <row r="41" spans="1:41" ht="74.25" customHeight="1">
      <c r="A41" s="790"/>
      <c r="B41" s="524"/>
      <c r="C41" s="220" t="s">
        <v>162</v>
      </c>
      <c r="D41" s="221">
        <v>0.15</v>
      </c>
      <c r="E41" s="221">
        <v>0.15</v>
      </c>
      <c r="F41" s="386">
        <v>0.15</v>
      </c>
      <c r="G41" s="221">
        <v>0.15</v>
      </c>
      <c r="H41" s="221">
        <v>0.15</v>
      </c>
      <c r="I41" s="221"/>
      <c r="J41" s="221"/>
      <c r="K41" s="221"/>
      <c r="L41" s="222"/>
      <c r="M41" s="222"/>
      <c r="N41" s="222"/>
      <c r="O41" s="222"/>
      <c r="P41" s="223">
        <f>SUM(D41:O41)</f>
        <v>0.75</v>
      </c>
      <c r="Q41" s="794"/>
      <c r="R41" s="795"/>
      <c r="S41" s="795"/>
      <c r="T41" s="795"/>
      <c r="U41" s="795"/>
      <c r="V41" s="795"/>
      <c r="W41" s="795"/>
      <c r="X41" s="795"/>
      <c r="Y41" s="795"/>
      <c r="Z41" s="795"/>
      <c r="AA41" s="795"/>
      <c r="AB41" s="795"/>
      <c r="AC41" s="795"/>
      <c r="AD41" s="796"/>
      <c r="AE41" s="43"/>
      <c r="AF41" s="1"/>
      <c r="AG41" s="1"/>
      <c r="AH41" s="1"/>
      <c r="AI41" s="1"/>
      <c r="AJ41" s="1"/>
      <c r="AK41" s="1"/>
      <c r="AL41" s="1"/>
      <c r="AM41" s="1"/>
      <c r="AN41" s="1"/>
      <c r="AO41" s="1"/>
    </row>
    <row r="42" spans="1:41" ht="14.25" customHeight="1">
      <c r="A42" s="1" t="s">
        <v>185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186</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187</v>
      </c>
      <c r="D47" s="55">
        <f>((((D39+D41)/2)*0.307)+C45)</f>
        <v>0.75372499999999998</v>
      </c>
      <c r="E47" s="55">
        <f>((((E39+E41)/2)*0.307)+$D$47)</f>
        <v>0.79977500000000001</v>
      </c>
      <c r="F47" s="55">
        <f t="shared" ref="F47:O47" si="7">((((F39+F41)/2)*0.307)+E47)</f>
        <v>0.84582500000000005</v>
      </c>
      <c r="G47" s="55">
        <f t="shared" si="7"/>
        <v>0.88266500000000003</v>
      </c>
      <c r="H47" s="55">
        <f t="shared" si="7"/>
        <v>0.91183000000000003</v>
      </c>
      <c r="I47" s="55">
        <f t="shared" si="7"/>
        <v>0.91183000000000003</v>
      </c>
      <c r="J47" s="55">
        <f t="shared" si="7"/>
        <v>0.91183000000000003</v>
      </c>
      <c r="K47" s="55">
        <f t="shared" si="7"/>
        <v>0.91183000000000003</v>
      </c>
      <c r="L47" s="55">
        <f t="shared" si="7"/>
        <v>0.91183000000000003</v>
      </c>
      <c r="M47" s="55">
        <f t="shared" si="7"/>
        <v>0.91183000000000003</v>
      </c>
      <c r="N47" s="55">
        <f t="shared" si="7"/>
        <v>0.91183000000000003</v>
      </c>
      <c r="O47" s="55">
        <f t="shared" si="7"/>
        <v>0.91183000000000003</v>
      </c>
      <c r="P47" s="1"/>
      <c r="Q47" s="689"/>
      <c r="R47" s="689"/>
      <c r="S47" s="689"/>
      <c r="T47" s="689"/>
      <c r="U47" s="689"/>
      <c r="V47" s="689"/>
      <c r="W47" s="689"/>
      <c r="X47" s="689"/>
      <c r="Y47" s="689"/>
      <c r="Z47" s="689"/>
      <c r="AA47" s="689"/>
      <c r="AB47" s="689"/>
      <c r="AC47" s="689"/>
      <c r="AD47" s="689"/>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689"/>
      <c r="R48" s="689"/>
      <c r="S48" s="689"/>
      <c r="T48" s="689"/>
      <c r="U48" s="689"/>
      <c r="V48" s="689"/>
      <c r="W48" s="689"/>
      <c r="X48" s="689"/>
      <c r="Y48" s="689"/>
      <c r="Z48" s="689"/>
      <c r="AA48" s="689"/>
      <c r="AB48" s="689"/>
      <c r="AC48" s="689"/>
      <c r="AD48" s="689"/>
      <c r="AE48" s="1"/>
      <c r="AF48" s="1"/>
      <c r="AG48" s="1"/>
      <c r="AH48" s="1"/>
      <c r="AI48" s="1"/>
      <c r="AJ48" s="1"/>
      <c r="AK48" s="1"/>
      <c r="AL48" s="1"/>
      <c r="AM48" s="1"/>
      <c r="AN48" s="1"/>
      <c r="AO48" s="1"/>
    </row>
    <row r="49" spans="1:41" ht="23.25" customHeight="1">
      <c r="A49" s="1"/>
      <c r="B49" s="1"/>
      <c r="C49" s="76" t="s">
        <v>281</v>
      </c>
      <c r="D49" s="86">
        <v>0.2</v>
      </c>
      <c r="E49" s="86">
        <v>0.2</v>
      </c>
      <c r="F49" s="86">
        <v>0.2</v>
      </c>
      <c r="G49" s="86">
        <v>0.2</v>
      </c>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26" t="s">
        <v>282</v>
      </c>
      <c r="D50" s="79"/>
      <c r="E50" s="79"/>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27" t="s">
        <v>283</v>
      </c>
      <c r="D51" s="77"/>
      <c r="E51" s="77"/>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284</v>
      </c>
      <c r="D52" s="79"/>
      <c r="E52" s="79"/>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B1:AA1"/>
    <mergeCell ref="AB1:AD1"/>
    <mergeCell ref="B2:AA2"/>
    <mergeCell ref="AB2:AD2"/>
    <mergeCell ref="B3:AA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B30:C30"/>
    <mergeCell ref="A32:A33"/>
    <mergeCell ref="C32:C33"/>
    <mergeCell ref="A31:AD31"/>
    <mergeCell ref="D32:P32"/>
    <mergeCell ref="Q30:AD30"/>
    <mergeCell ref="Q32:AD32"/>
    <mergeCell ref="W33:Z33"/>
    <mergeCell ref="B32:B33"/>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7" xr:uid="{00000000-0002-0000-0500-000001000000}">
      <formula1>LTE(LEN(Q34),(2000))</formula1>
    </dataValidation>
    <dataValidation type="list" allowBlank="1" showInputMessage="1" showErrorMessage="1" sqref="C7:C9" xr:uid="{3B620471-5E6C-490E-A2AE-D8E64F633D97}">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98"/>
  <sheetViews>
    <sheetView showGridLines="0" tabSelected="1" view="pageBreakPreview" topLeftCell="A30" zoomScale="70" zoomScaleNormal="80" zoomScaleSheetLayoutView="70" workbookViewId="0">
      <selection activeCell="C36" sqref="C36:P36"/>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14" width="12.7109375" customWidth="1"/>
    <col min="15" max="15" width="16.42578125" bestFit="1" customWidth="1"/>
    <col min="16" max="16" width="14.7109375" customWidth="1"/>
    <col min="17" max="17" width="18.28515625" customWidth="1"/>
    <col min="18" max="20" width="16.28515625" customWidth="1"/>
    <col min="21" max="21" width="16" customWidth="1"/>
    <col min="22" max="24" width="14.42578125" customWidth="1"/>
    <col min="25" max="28" width="15.28515625" customWidth="1"/>
    <col min="29" max="29" width="19" customWidth="1"/>
    <col min="30" max="30" width="19.42578125" customWidth="1"/>
    <col min="31" max="31" width="18.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621"/>
      <c r="B1" s="624" t="s">
        <v>0</v>
      </c>
      <c r="C1" s="600"/>
      <c r="D1" s="600"/>
      <c r="E1" s="600"/>
      <c r="F1" s="600"/>
      <c r="G1" s="600"/>
      <c r="H1" s="600"/>
      <c r="I1" s="600"/>
      <c r="J1" s="600"/>
      <c r="K1" s="600"/>
      <c r="L1" s="600"/>
      <c r="M1" s="600"/>
      <c r="N1" s="600"/>
      <c r="O1" s="600"/>
      <c r="P1" s="600"/>
      <c r="Q1" s="600"/>
      <c r="R1" s="600"/>
      <c r="S1" s="600"/>
      <c r="T1" s="600"/>
      <c r="U1" s="600"/>
      <c r="V1" s="600"/>
      <c r="W1" s="600"/>
      <c r="X1" s="600"/>
      <c r="Y1" s="600"/>
      <c r="Z1" s="600"/>
      <c r="AA1" s="494"/>
      <c r="AB1" s="603" t="s">
        <v>1</v>
      </c>
      <c r="AC1" s="570"/>
      <c r="AD1" s="589"/>
      <c r="AE1" s="1"/>
      <c r="AF1" s="1"/>
      <c r="AG1" s="1"/>
      <c r="AH1" s="1"/>
      <c r="AI1" s="1"/>
      <c r="AJ1" s="1"/>
      <c r="AK1" s="1"/>
      <c r="AL1" s="1"/>
      <c r="AM1" s="1"/>
      <c r="AN1" s="1"/>
      <c r="AO1" s="1"/>
    </row>
    <row r="2" spans="1:41" ht="30.75" customHeight="1">
      <c r="A2" s="622"/>
      <c r="B2" s="604" t="s">
        <v>2</v>
      </c>
      <c r="C2" s="601"/>
      <c r="D2" s="601"/>
      <c r="E2" s="601"/>
      <c r="F2" s="601"/>
      <c r="G2" s="601"/>
      <c r="H2" s="601"/>
      <c r="I2" s="601"/>
      <c r="J2" s="601"/>
      <c r="K2" s="601"/>
      <c r="L2" s="601"/>
      <c r="M2" s="601"/>
      <c r="N2" s="601"/>
      <c r="O2" s="601"/>
      <c r="P2" s="601"/>
      <c r="Q2" s="601"/>
      <c r="R2" s="601"/>
      <c r="S2" s="601"/>
      <c r="T2" s="601"/>
      <c r="U2" s="601"/>
      <c r="V2" s="601"/>
      <c r="W2" s="601"/>
      <c r="X2" s="601"/>
      <c r="Y2" s="601"/>
      <c r="Z2" s="601"/>
      <c r="AA2" s="496"/>
      <c r="AB2" s="608" t="s">
        <v>3</v>
      </c>
      <c r="AC2" s="535"/>
      <c r="AD2" s="587"/>
      <c r="AE2" s="1"/>
      <c r="AF2" s="1"/>
      <c r="AG2" s="1"/>
      <c r="AH2" s="1"/>
      <c r="AI2" s="1"/>
      <c r="AJ2" s="1"/>
      <c r="AK2" s="1"/>
      <c r="AL2" s="1"/>
      <c r="AM2" s="1"/>
      <c r="AN2" s="1"/>
      <c r="AO2" s="1"/>
    </row>
    <row r="3" spans="1:41" ht="24" customHeight="1">
      <c r="A3" s="622"/>
      <c r="B3" s="605" t="s">
        <v>119</v>
      </c>
      <c r="C3" s="601"/>
      <c r="D3" s="601"/>
      <c r="E3" s="601"/>
      <c r="F3" s="601"/>
      <c r="G3" s="601"/>
      <c r="H3" s="601"/>
      <c r="I3" s="601"/>
      <c r="J3" s="601"/>
      <c r="K3" s="601"/>
      <c r="L3" s="601"/>
      <c r="M3" s="601"/>
      <c r="N3" s="601"/>
      <c r="O3" s="601"/>
      <c r="P3" s="601"/>
      <c r="Q3" s="601"/>
      <c r="R3" s="601"/>
      <c r="S3" s="601"/>
      <c r="T3" s="601"/>
      <c r="U3" s="601"/>
      <c r="V3" s="601"/>
      <c r="W3" s="601"/>
      <c r="X3" s="601"/>
      <c r="Y3" s="601"/>
      <c r="Z3" s="601"/>
      <c r="AA3" s="496"/>
      <c r="AB3" s="608" t="s">
        <v>5</v>
      </c>
      <c r="AC3" s="535"/>
      <c r="AD3" s="587"/>
      <c r="AE3" s="1"/>
      <c r="AF3" s="1"/>
      <c r="AG3" s="1"/>
      <c r="AH3" s="1"/>
      <c r="AI3" s="1"/>
      <c r="AJ3" s="1"/>
      <c r="AK3" s="1"/>
      <c r="AL3" s="1"/>
      <c r="AM3" s="1"/>
      <c r="AN3" s="1"/>
      <c r="AO3" s="1"/>
    </row>
    <row r="4" spans="1:41" ht="21.75" customHeight="1">
      <c r="A4" s="623"/>
      <c r="B4" s="497"/>
      <c r="C4" s="593"/>
      <c r="D4" s="593"/>
      <c r="E4" s="593"/>
      <c r="F4" s="593"/>
      <c r="G4" s="593"/>
      <c r="H4" s="593"/>
      <c r="I4" s="593"/>
      <c r="J4" s="593"/>
      <c r="K4" s="593"/>
      <c r="L4" s="593"/>
      <c r="M4" s="593"/>
      <c r="N4" s="593"/>
      <c r="O4" s="593"/>
      <c r="P4" s="593"/>
      <c r="Q4" s="593"/>
      <c r="R4" s="593"/>
      <c r="S4" s="593"/>
      <c r="T4" s="593"/>
      <c r="U4" s="593"/>
      <c r="V4" s="593"/>
      <c r="W4" s="593"/>
      <c r="X4" s="593"/>
      <c r="Y4" s="593"/>
      <c r="Z4" s="593"/>
      <c r="AA4" s="498"/>
      <c r="AB4" s="606" t="s">
        <v>120</v>
      </c>
      <c r="AC4" s="598"/>
      <c r="AD4" s="607"/>
      <c r="AE4" s="1"/>
      <c r="AF4" s="1"/>
      <c r="AG4" s="1"/>
      <c r="AH4" s="1"/>
      <c r="AI4" s="1"/>
      <c r="AJ4" s="1"/>
      <c r="AK4" s="1"/>
      <c r="AL4" s="1"/>
      <c r="AM4" s="1"/>
      <c r="AN4" s="1"/>
      <c r="AO4" s="1"/>
    </row>
    <row r="5" spans="1:41" ht="9" customHeight="1">
      <c r="A5" s="2"/>
      <c r="B5" s="3"/>
      <c r="C5" s="4"/>
      <c r="D5" s="233"/>
      <c r="E5" s="233"/>
      <c r="F5" s="233"/>
      <c r="G5" s="233"/>
      <c r="H5" s="233"/>
      <c r="I5" s="233"/>
      <c r="J5" s="233"/>
      <c r="K5" s="233"/>
      <c r="L5" s="233"/>
      <c r="M5" s="233"/>
      <c r="N5" s="233"/>
      <c r="O5" s="233"/>
      <c r="P5" s="233"/>
      <c r="Q5" s="233"/>
      <c r="R5" s="233"/>
      <c r="S5" s="233"/>
      <c r="T5" s="233"/>
      <c r="U5" s="233"/>
      <c r="V5" s="233"/>
      <c r="W5" s="233"/>
      <c r="X5" s="233"/>
      <c r="Y5" s="233"/>
      <c r="Z5" s="234"/>
      <c r="AA5" s="233"/>
      <c r="AB5" s="5"/>
      <c r="AC5" s="6"/>
      <c r="AD5" s="7"/>
      <c r="AE5" s="1"/>
      <c r="AF5" s="1"/>
      <c r="AG5" s="1"/>
      <c r="AH5" s="1"/>
      <c r="AI5" s="1"/>
      <c r="AJ5" s="1"/>
      <c r="AK5" s="1"/>
      <c r="AL5" s="1"/>
      <c r="AM5" s="1"/>
      <c r="AN5" s="1"/>
      <c r="AO5" s="1"/>
    </row>
    <row r="6" spans="1:41" ht="9" customHeight="1" thickBot="1">
      <c r="A6" s="235"/>
      <c r="B6" s="233"/>
      <c r="C6" s="233"/>
      <c r="D6" s="233"/>
      <c r="E6" s="233"/>
      <c r="F6" s="233"/>
      <c r="G6" s="233"/>
      <c r="H6" s="233"/>
      <c r="I6" s="233"/>
      <c r="J6" s="233"/>
      <c r="K6" s="233"/>
      <c r="L6" s="233"/>
      <c r="M6" s="233"/>
      <c r="N6" s="233"/>
      <c r="O6" s="233"/>
      <c r="P6" s="233"/>
      <c r="Q6" s="233"/>
      <c r="R6" s="233"/>
      <c r="S6" s="233"/>
      <c r="T6" s="233"/>
      <c r="U6" s="233"/>
      <c r="V6" s="233"/>
      <c r="W6" s="233"/>
      <c r="X6" s="233"/>
      <c r="Y6" s="233"/>
      <c r="Z6" s="234"/>
      <c r="AA6" s="233"/>
      <c r="AB6" s="233"/>
      <c r="AC6" s="236"/>
      <c r="AD6" s="237"/>
      <c r="AE6" s="1"/>
      <c r="AF6" s="1"/>
      <c r="AG6" s="1"/>
      <c r="AH6" s="1"/>
      <c r="AI6" s="1"/>
      <c r="AJ6" s="1"/>
      <c r="AK6" s="1"/>
      <c r="AL6" s="1"/>
      <c r="AM6" s="1"/>
      <c r="AN6" s="1"/>
      <c r="AO6" s="1"/>
    </row>
    <row r="7" spans="1:41" ht="14.25" customHeight="1">
      <c r="A7" s="615" t="s">
        <v>121</v>
      </c>
      <c r="B7" s="616"/>
      <c r="C7" s="625" t="s">
        <v>48</v>
      </c>
      <c r="D7" s="615" t="s">
        <v>12</v>
      </c>
      <c r="E7" s="628"/>
      <c r="F7" s="628"/>
      <c r="G7" s="628"/>
      <c r="H7" s="616"/>
      <c r="I7" s="631">
        <v>44715</v>
      </c>
      <c r="J7" s="632"/>
      <c r="K7" s="615" t="s">
        <v>13</v>
      </c>
      <c r="L7" s="616"/>
      <c r="M7" s="609" t="s">
        <v>14</v>
      </c>
      <c r="N7" s="610"/>
      <c r="O7" s="637"/>
      <c r="P7" s="638"/>
      <c r="Q7" s="233"/>
      <c r="R7" s="233"/>
      <c r="S7" s="233"/>
      <c r="T7" s="233"/>
      <c r="U7" s="233"/>
      <c r="V7" s="233"/>
      <c r="W7" s="233"/>
      <c r="X7" s="233"/>
      <c r="Y7" s="233"/>
      <c r="Z7" s="234"/>
      <c r="AA7" s="233"/>
      <c r="AB7" s="233"/>
      <c r="AC7" s="236"/>
      <c r="AD7" s="237"/>
      <c r="AE7" s="1"/>
      <c r="AF7" s="1"/>
      <c r="AG7" s="1"/>
      <c r="AH7" s="1"/>
      <c r="AI7" s="1"/>
      <c r="AJ7" s="1"/>
      <c r="AK7" s="1"/>
      <c r="AL7" s="1"/>
      <c r="AM7" s="1"/>
      <c r="AN7" s="1"/>
      <c r="AO7" s="1"/>
    </row>
    <row r="8" spans="1:41" ht="14.25" customHeight="1">
      <c r="A8" s="617"/>
      <c r="B8" s="618"/>
      <c r="C8" s="626"/>
      <c r="D8" s="617"/>
      <c r="E8" s="629"/>
      <c r="F8" s="629"/>
      <c r="G8" s="629"/>
      <c r="H8" s="618"/>
      <c r="I8" s="633"/>
      <c r="J8" s="634"/>
      <c r="K8" s="617"/>
      <c r="L8" s="618"/>
      <c r="M8" s="639" t="s">
        <v>15</v>
      </c>
      <c r="N8" s="640"/>
      <c r="O8" s="641"/>
      <c r="P8" s="642"/>
      <c r="Q8" s="233"/>
      <c r="R8" s="233"/>
      <c r="S8" s="233"/>
      <c r="T8" s="233"/>
      <c r="U8" s="233"/>
      <c r="V8" s="233"/>
      <c r="W8" s="233"/>
      <c r="X8" s="233"/>
      <c r="Y8" s="233"/>
      <c r="Z8" s="234"/>
      <c r="AA8" s="233"/>
      <c r="AB8" s="233"/>
      <c r="AC8" s="236"/>
      <c r="AD8" s="237"/>
      <c r="AE8" s="1"/>
      <c r="AF8" s="1"/>
      <c r="AG8" s="1"/>
      <c r="AH8" s="1"/>
      <c r="AI8" s="1"/>
      <c r="AJ8" s="1"/>
      <c r="AK8" s="1"/>
      <c r="AL8" s="1"/>
      <c r="AM8" s="1"/>
      <c r="AN8" s="1"/>
      <c r="AO8" s="1"/>
    </row>
    <row r="9" spans="1:41" ht="15" customHeight="1" thickBot="1">
      <c r="A9" s="619"/>
      <c r="B9" s="620"/>
      <c r="C9" s="627"/>
      <c r="D9" s="619"/>
      <c r="E9" s="630"/>
      <c r="F9" s="630"/>
      <c r="G9" s="630"/>
      <c r="H9" s="620"/>
      <c r="I9" s="635"/>
      <c r="J9" s="636"/>
      <c r="K9" s="619"/>
      <c r="L9" s="620"/>
      <c r="M9" s="611" t="s">
        <v>8</v>
      </c>
      <c r="N9" s="612"/>
      <c r="O9" s="613" t="s">
        <v>16</v>
      </c>
      <c r="P9" s="614"/>
      <c r="Q9" s="233"/>
      <c r="R9" s="233"/>
      <c r="S9" s="233"/>
      <c r="T9" s="233"/>
      <c r="U9" s="233"/>
      <c r="V9" s="233"/>
      <c r="W9" s="233"/>
      <c r="X9" s="233"/>
      <c r="Y9" s="233"/>
      <c r="Z9" s="234"/>
      <c r="AA9" s="233"/>
      <c r="AB9" s="233"/>
      <c r="AC9" s="236"/>
      <c r="AD9" s="237"/>
      <c r="AE9" s="1"/>
      <c r="AF9" s="1"/>
      <c r="AG9" s="1"/>
      <c r="AH9" s="1"/>
      <c r="AI9" s="1"/>
      <c r="AJ9" s="1"/>
      <c r="AK9" s="1"/>
      <c r="AL9" s="1"/>
      <c r="AM9" s="1"/>
      <c r="AN9" s="1"/>
      <c r="AO9" s="1"/>
    </row>
    <row r="10" spans="1:41" ht="15" customHeight="1" thickBot="1">
      <c r="A10" s="235"/>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7"/>
      <c r="AE10" s="1"/>
      <c r="AF10" s="1"/>
      <c r="AG10" s="1"/>
      <c r="AH10" s="1"/>
      <c r="AI10" s="1"/>
      <c r="AJ10" s="1"/>
      <c r="AK10" s="1"/>
      <c r="AL10" s="1"/>
      <c r="AM10" s="1"/>
      <c r="AN10" s="1"/>
      <c r="AO10" s="1"/>
    </row>
    <row r="11" spans="1:41" ht="15" customHeight="1">
      <c r="A11" s="602" t="s">
        <v>122</v>
      </c>
      <c r="B11" s="494"/>
      <c r="C11" s="599" t="s">
        <v>123</v>
      </c>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494"/>
      <c r="AE11" s="1"/>
      <c r="AF11" s="1"/>
      <c r="AG11" s="1"/>
      <c r="AH11" s="1"/>
      <c r="AI11" s="1"/>
      <c r="AJ11" s="1"/>
      <c r="AK11" s="1"/>
      <c r="AL11" s="1"/>
      <c r="AM11" s="1"/>
      <c r="AN11" s="1"/>
      <c r="AO11" s="1"/>
    </row>
    <row r="12" spans="1:41" ht="15" customHeight="1">
      <c r="A12" s="495"/>
      <c r="B12" s="496"/>
      <c r="C12" s="495"/>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496"/>
      <c r="AE12" s="1"/>
      <c r="AF12" s="1"/>
      <c r="AG12" s="1"/>
      <c r="AH12" s="1"/>
      <c r="AI12" s="1"/>
      <c r="AJ12" s="1"/>
      <c r="AK12" s="1"/>
      <c r="AL12" s="1"/>
      <c r="AM12" s="1"/>
      <c r="AN12" s="1"/>
      <c r="AO12" s="1"/>
    </row>
    <row r="13" spans="1:41" ht="15" customHeight="1">
      <c r="A13" s="497"/>
      <c r="B13" s="498"/>
      <c r="C13" s="497"/>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498"/>
      <c r="AE13" s="1"/>
      <c r="AF13" s="1"/>
      <c r="AG13" s="1"/>
      <c r="AH13" s="1"/>
      <c r="AI13" s="1"/>
      <c r="AJ13" s="1"/>
      <c r="AK13" s="1"/>
      <c r="AL13" s="1"/>
      <c r="AM13" s="1"/>
      <c r="AN13" s="1"/>
      <c r="AO13" s="1"/>
    </row>
    <row r="14" spans="1:41" ht="9" customHeight="1">
      <c r="A14" s="232"/>
      <c r="B14" s="15"/>
      <c r="C14" s="238"/>
      <c r="D14" s="238"/>
      <c r="E14" s="238"/>
      <c r="F14" s="238"/>
      <c r="G14" s="238"/>
      <c r="H14" s="238"/>
      <c r="I14" s="238"/>
      <c r="J14" s="238"/>
      <c r="K14" s="238"/>
      <c r="L14" s="238"/>
      <c r="M14" s="239"/>
      <c r="N14" s="239"/>
      <c r="O14" s="239"/>
      <c r="P14" s="239"/>
      <c r="Q14" s="239"/>
      <c r="R14" s="16"/>
      <c r="S14" s="16"/>
      <c r="T14" s="16"/>
      <c r="U14" s="16"/>
      <c r="V14" s="16"/>
      <c r="W14" s="16"/>
      <c r="X14" s="16"/>
      <c r="Y14" s="9"/>
      <c r="Z14" s="9"/>
      <c r="AA14" s="9"/>
      <c r="AB14" s="9"/>
      <c r="AC14" s="9"/>
      <c r="AD14" s="240"/>
      <c r="AE14" s="1"/>
      <c r="AF14" s="1"/>
      <c r="AG14" s="1"/>
      <c r="AH14" s="1"/>
      <c r="AI14" s="1"/>
      <c r="AJ14" s="1"/>
      <c r="AK14" s="1"/>
      <c r="AL14" s="1"/>
      <c r="AM14" s="1"/>
      <c r="AN14" s="1"/>
      <c r="AO14" s="1"/>
    </row>
    <row r="15" spans="1:41" ht="61.5" customHeight="1">
      <c r="A15" s="564" t="s">
        <v>124</v>
      </c>
      <c r="B15" s="565"/>
      <c r="C15" s="591" t="s">
        <v>125</v>
      </c>
      <c r="D15" s="573"/>
      <c r="E15" s="573"/>
      <c r="F15" s="573"/>
      <c r="G15" s="573"/>
      <c r="H15" s="573"/>
      <c r="I15" s="573"/>
      <c r="J15" s="573"/>
      <c r="K15" s="565"/>
      <c r="L15" s="574" t="s">
        <v>126</v>
      </c>
      <c r="M15" s="573"/>
      <c r="N15" s="573"/>
      <c r="O15" s="573"/>
      <c r="P15" s="573"/>
      <c r="Q15" s="565"/>
      <c r="R15" s="596" t="s">
        <v>127</v>
      </c>
      <c r="S15" s="573"/>
      <c r="T15" s="573"/>
      <c r="U15" s="573"/>
      <c r="V15" s="573"/>
      <c r="W15" s="573"/>
      <c r="X15" s="565"/>
      <c r="Y15" s="574" t="s">
        <v>128</v>
      </c>
      <c r="Z15" s="565"/>
      <c r="AA15" s="596" t="s">
        <v>129</v>
      </c>
      <c r="AB15" s="573"/>
      <c r="AC15" s="573"/>
      <c r="AD15" s="565"/>
      <c r="AE15" s="1"/>
      <c r="AF15" s="1"/>
      <c r="AG15" s="1"/>
      <c r="AH15" s="1"/>
      <c r="AI15" s="1"/>
      <c r="AJ15" s="1"/>
      <c r="AK15" s="1"/>
      <c r="AL15" s="1"/>
      <c r="AM15" s="1"/>
      <c r="AN15" s="1"/>
      <c r="AO15" s="1"/>
    </row>
    <row r="16" spans="1:41" ht="9" customHeight="1">
      <c r="A16" s="235"/>
      <c r="B16" s="233"/>
      <c r="C16" s="595"/>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17"/>
      <c r="AD16" s="241"/>
      <c r="AE16" s="1"/>
      <c r="AF16" s="1"/>
      <c r="AG16" s="1"/>
      <c r="AH16" s="1"/>
      <c r="AI16" s="1"/>
      <c r="AJ16" s="1"/>
      <c r="AK16" s="1"/>
      <c r="AL16" s="1"/>
      <c r="AM16" s="1"/>
      <c r="AN16" s="1"/>
      <c r="AO16" s="1"/>
    </row>
    <row r="17" spans="1:41" ht="37.5" customHeight="1" thickBot="1">
      <c r="A17" s="564" t="s">
        <v>130</v>
      </c>
      <c r="B17" s="565"/>
      <c r="C17" s="591" t="s">
        <v>285</v>
      </c>
      <c r="D17" s="573"/>
      <c r="E17" s="573"/>
      <c r="F17" s="573"/>
      <c r="G17" s="573"/>
      <c r="H17" s="573"/>
      <c r="I17" s="573"/>
      <c r="J17" s="573"/>
      <c r="K17" s="573"/>
      <c r="L17" s="573"/>
      <c r="M17" s="573"/>
      <c r="N17" s="573"/>
      <c r="O17" s="573"/>
      <c r="P17" s="573"/>
      <c r="Q17" s="565"/>
      <c r="R17" s="574" t="s">
        <v>132</v>
      </c>
      <c r="S17" s="573"/>
      <c r="T17" s="573"/>
      <c r="U17" s="573"/>
      <c r="V17" s="565"/>
      <c r="W17" s="571">
        <v>1</v>
      </c>
      <c r="X17" s="565"/>
      <c r="Y17" s="572" t="s">
        <v>133</v>
      </c>
      <c r="Z17" s="573"/>
      <c r="AA17" s="573"/>
      <c r="AB17" s="565"/>
      <c r="AC17" s="594">
        <f>+B34</f>
        <v>0.2</v>
      </c>
      <c r="AD17" s="565"/>
      <c r="AE17" s="242"/>
      <c r="AF17" s="242"/>
      <c r="AG17" s="242"/>
      <c r="AH17" s="242"/>
      <c r="AI17" s="242"/>
      <c r="AJ17" s="242"/>
      <c r="AK17" s="242"/>
      <c r="AL17" s="242"/>
      <c r="AM17" s="242"/>
      <c r="AN17" s="242"/>
      <c r="AO17" s="242"/>
    </row>
    <row r="18" spans="1:41" ht="35.65" customHeight="1" thickBot="1">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1"/>
      <c r="AF18" s="1"/>
      <c r="AG18" s="1"/>
      <c r="AH18" s="1"/>
      <c r="AI18" s="1"/>
      <c r="AJ18" s="1"/>
      <c r="AK18" s="1"/>
      <c r="AL18" s="1"/>
      <c r="AM18" s="1"/>
      <c r="AN18" s="1"/>
      <c r="AO18" s="1"/>
    </row>
    <row r="19" spans="1:41" ht="31.5" customHeight="1" thickBot="1">
      <c r="A19" s="574" t="s">
        <v>134</v>
      </c>
      <c r="B19" s="573"/>
      <c r="C19" s="573"/>
      <c r="D19" s="573"/>
      <c r="E19" s="573"/>
      <c r="F19" s="573"/>
      <c r="G19" s="573"/>
      <c r="H19" s="573"/>
      <c r="I19" s="573"/>
      <c r="J19" s="573"/>
      <c r="K19" s="573"/>
      <c r="L19" s="723"/>
      <c r="M19" s="573"/>
      <c r="N19" s="573"/>
      <c r="O19" s="573"/>
      <c r="P19" s="573"/>
      <c r="Q19" s="573"/>
      <c r="R19" s="573"/>
      <c r="S19" s="573"/>
      <c r="T19" s="573"/>
      <c r="U19" s="573"/>
      <c r="V19" s="573"/>
      <c r="W19" s="573"/>
      <c r="X19" s="573"/>
      <c r="Y19" s="573"/>
      <c r="Z19" s="573"/>
      <c r="AA19" s="573"/>
      <c r="AB19" s="573"/>
      <c r="AC19" s="573"/>
      <c r="AD19" s="565"/>
      <c r="AE19" s="18"/>
      <c r="AF19" s="18"/>
      <c r="AG19" s="1"/>
      <c r="AH19" s="1"/>
      <c r="AI19" s="1"/>
      <c r="AJ19" s="1"/>
      <c r="AK19" s="1"/>
      <c r="AL19" s="1"/>
      <c r="AM19" s="1"/>
      <c r="AN19" s="1"/>
      <c r="AO19" s="1"/>
    </row>
    <row r="20" spans="1:41" ht="31.5" customHeight="1" thickBot="1">
      <c r="A20" s="246"/>
      <c r="B20" s="236"/>
      <c r="C20" s="592" t="s">
        <v>135</v>
      </c>
      <c r="D20" s="593"/>
      <c r="E20" s="593"/>
      <c r="F20" s="593"/>
      <c r="G20" s="593"/>
      <c r="H20" s="593"/>
      <c r="I20" s="593"/>
      <c r="J20" s="593"/>
      <c r="K20" s="593"/>
      <c r="L20" s="593"/>
      <c r="M20" s="593"/>
      <c r="N20" s="593"/>
      <c r="O20" s="593"/>
      <c r="P20" s="498"/>
      <c r="Q20" s="575" t="s">
        <v>136</v>
      </c>
      <c r="R20" s="576"/>
      <c r="S20" s="576"/>
      <c r="T20" s="576"/>
      <c r="U20" s="576"/>
      <c r="V20" s="576"/>
      <c r="W20" s="576"/>
      <c r="X20" s="576"/>
      <c r="Y20" s="576"/>
      <c r="Z20" s="576"/>
      <c r="AA20" s="576"/>
      <c r="AB20" s="576"/>
      <c r="AC20" s="576"/>
      <c r="AD20" s="496"/>
      <c r="AE20" s="18"/>
      <c r="AF20" s="18"/>
      <c r="AG20" s="1"/>
      <c r="AH20" s="1"/>
      <c r="AI20" s="1"/>
      <c r="AJ20" s="1"/>
      <c r="AK20" s="1"/>
      <c r="AL20" s="1"/>
      <c r="AM20" s="1"/>
      <c r="AN20" s="1"/>
      <c r="AO20" s="1"/>
    </row>
    <row r="21" spans="1:41" ht="31.15" customHeight="1">
      <c r="A21" s="235"/>
      <c r="B21" s="233"/>
      <c r="C21" s="19" t="s">
        <v>44</v>
      </c>
      <c r="D21" s="20" t="s">
        <v>45</v>
      </c>
      <c r="E21" s="20" t="s">
        <v>46</v>
      </c>
      <c r="F21" s="20" t="s">
        <v>47</v>
      </c>
      <c r="G21" s="20" t="s">
        <v>48</v>
      </c>
      <c r="H21" s="20" t="s">
        <v>49</v>
      </c>
      <c r="I21" s="20" t="s">
        <v>50</v>
      </c>
      <c r="J21" s="20" t="s">
        <v>51</v>
      </c>
      <c r="K21" s="20" t="s">
        <v>52</v>
      </c>
      <c r="L21" s="20" t="s">
        <v>53</v>
      </c>
      <c r="M21" s="20" t="s">
        <v>54</v>
      </c>
      <c r="N21" s="20" t="s">
        <v>55</v>
      </c>
      <c r="O21" s="20" t="s">
        <v>35</v>
      </c>
      <c r="P21" s="21" t="s">
        <v>137</v>
      </c>
      <c r="Q21" s="19" t="s">
        <v>44</v>
      </c>
      <c r="R21" s="20" t="s">
        <v>45</v>
      </c>
      <c r="S21" s="20" t="s">
        <v>46</v>
      </c>
      <c r="T21" s="20" t="s">
        <v>47</v>
      </c>
      <c r="U21" s="20" t="s">
        <v>48</v>
      </c>
      <c r="V21" s="20" t="s">
        <v>49</v>
      </c>
      <c r="W21" s="20" t="s">
        <v>50</v>
      </c>
      <c r="X21" s="20" t="s">
        <v>51</v>
      </c>
      <c r="Y21" s="20" t="s">
        <v>52</v>
      </c>
      <c r="Z21" s="20" t="s">
        <v>53</v>
      </c>
      <c r="AA21" s="20" t="s">
        <v>54</v>
      </c>
      <c r="AB21" s="20" t="s">
        <v>55</v>
      </c>
      <c r="AC21" s="20" t="s">
        <v>35</v>
      </c>
      <c r="AD21" s="21" t="s">
        <v>137</v>
      </c>
      <c r="AE21" s="18"/>
      <c r="AF21" s="18"/>
      <c r="AG21" s="1"/>
      <c r="AH21" s="1"/>
      <c r="AI21" s="1"/>
      <c r="AJ21" s="1"/>
      <c r="AK21" s="1"/>
      <c r="AL21" s="1"/>
      <c r="AM21" s="1"/>
      <c r="AN21" s="1"/>
      <c r="AO21" s="1"/>
    </row>
    <row r="22" spans="1:41" ht="31.5" customHeight="1">
      <c r="A22" s="569" t="s">
        <v>138</v>
      </c>
      <c r="B22" s="570"/>
      <c r="C22" s="22"/>
      <c r="D22" s="23"/>
      <c r="E22" s="23"/>
      <c r="F22" s="23"/>
      <c r="G22" s="449"/>
      <c r="H22" s="23"/>
      <c r="I22" s="23"/>
      <c r="J22" s="23"/>
      <c r="K22" s="23"/>
      <c r="L22" s="23"/>
      <c r="M22" s="23"/>
      <c r="N22" s="23"/>
      <c r="O22" s="142">
        <f t="shared" ref="O22:O25" si="0">SUM(C22:N22)</f>
        <v>0</v>
      </c>
      <c r="P22" s="247"/>
      <c r="Q22" s="429">
        <v>371243829</v>
      </c>
      <c r="R22" s="72">
        <v>22500000</v>
      </c>
      <c r="S22" s="72"/>
      <c r="T22" s="72">
        <f>7200000+19980500</f>
        <v>27180500</v>
      </c>
      <c r="U22" s="427">
        <f>2310000+2000000+500000+14000000</f>
        <v>18810000</v>
      </c>
      <c r="V22" s="72">
        <v>1000000</v>
      </c>
      <c r="W22" s="72">
        <v>34000000</v>
      </c>
      <c r="X22" s="72">
        <f>35000000+37500000</f>
        <v>72500000</v>
      </c>
      <c r="Y22" s="72"/>
      <c r="Z22" s="72"/>
      <c r="AA22" s="72"/>
      <c r="AB22" s="72"/>
      <c r="AC22" s="142">
        <f t="shared" ref="AC22" si="1">SUM(Q22:AB22)</f>
        <v>547234329</v>
      </c>
      <c r="AD22" s="24"/>
      <c r="AE22" s="18"/>
      <c r="AF22" s="18"/>
      <c r="AG22" s="1"/>
      <c r="AH22" s="1"/>
      <c r="AI22" s="1"/>
      <c r="AJ22" s="1"/>
      <c r="AK22" s="1"/>
      <c r="AL22" s="1"/>
      <c r="AM22" s="1"/>
      <c r="AN22" s="1"/>
      <c r="AO22" s="1"/>
    </row>
    <row r="23" spans="1:41" ht="31.5" customHeight="1">
      <c r="A23" s="563" t="s">
        <v>139</v>
      </c>
      <c r="B23" s="535"/>
      <c r="C23" s="25">
        <v>224665526</v>
      </c>
      <c r="D23" s="26"/>
      <c r="E23" s="26">
        <v>-2744000</v>
      </c>
      <c r="F23" s="26">
        <v>0</v>
      </c>
      <c r="G23" s="447">
        <v>-179378</v>
      </c>
      <c r="H23" s="26"/>
      <c r="I23" s="26"/>
      <c r="J23" s="26"/>
      <c r="K23" s="26"/>
      <c r="L23" s="26"/>
      <c r="M23" s="26"/>
      <c r="N23" s="26"/>
      <c r="O23" s="27">
        <f t="shared" si="0"/>
        <v>221742148</v>
      </c>
      <c r="P23" s="430" t="str">
        <f>IFERROR(O23/(SUMIF(C23:N23,"&gt;0",C22:N22))," ")</f>
        <v xml:space="preserve"> </v>
      </c>
      <c r="Q23" s="431">
        <v>371243829</v>
      </c>
      <c r="R23" s="28">
        <v>0</v>
      </c>
      <c r="S23" s="427">
        <v>15695590</v>
      </c>
      <c r="T23" s="427">
        <v>14195831</v>
      </c>
      <c r="U23" s="427">
        <v>18226266</v>
      </c>
      <c r="V23" s="28"/>
      <c r="W23" s="28"/>
      <c r="X23" s="28"/>
      <c r="Y23" s="28"/>
      <c r="Z23" s="28"/>
      <c r="AA23" s="28"/>
      <c r="AB23" s="28"/>
      <c r="AC23" s="27">
        <f>SUM(Q23:AB23)+270</f>
        <v>419361786</v>
      </c>
      <c r="AD23" s="29">
        <f>AC23/AC22</f>
        <v>0.76632945664488827</v>
      </c>
      <c r="AE23" s="358" t="s">
        <v>286</v>
      </c>
      <c r="AF23" s="18"/>
      <c r="AG23" s="1"/>
      <c r="AH23" s="1"/>
      <c r="AI23" s="1"/>
      <c r="AJ23" s="1"/>
      <c r="AK23" s="1"/>
      <c r="AL23" s="1"/>
      <c r="AM23" s="1"/>
      <c r="AN23" s="1"/>
      <c r="AO23" s="1"/>
    </row>
    <row r="24" spans="1:41" ht="31.5" customHeight="1">
      <c r="A24" s="563" t="s">
        <v>141</v>
      </c>
      <c r="B24" s="535"/>
      <c r="C24" s="30"/>
      <c r="D24" s="26">
        <v>200686598</v>
      </c>
      <c r="E24" s="26">
        <f>9803928+E23</f>
        <v>7059928</v>
      </c>
      <c r="F24" s="26">
        <v>14175000</v>
      </c>
      <c r="G24" s="447"/>
      <c r="H24" s="26"/>
      <c r="I24" s="26"/>
      <c r="J24" s="26"/>
      <c r="K24" s="26"/>
      <c r="L24" s="26"/>
      <c r="M24" s="26"/>
      <c r="N24" s="26"/>
      <c r="O24" s="27">
        <f t="shared" si="0"/>
        <v>221921526</v>
      </c>
      <c r="P24" s="248"/>
      <c r="Q24" s="432"/>
      <c r="R24" s="26">
        <v>13926297</v>
      </c>
      <c r="S24" s="428">
        <v>32504200</v>
      </c>
      <c r="T24" s="26">
        <v>35879200</v>
      </c>
      <c r="U24" s="427">
        <v>34724254</v>
      </c>
      <c r="V24" s="26">
        <v>41640923</v>
      </c>
      <c r="W24" s="26">
        <v>52324256</v>
      </c>
      <c r="X24" s="26">
        <v>70160922</v>
      </c>
      <c r="Y24" s="26">
        <v>35890922</v>
      </c>
      <c r="Z24" s="26">
        <v>39760922</v>
      </c>
      <c r="AA24" s="26">
        <v>66765922</v>
      </c>
      <c r="AB24" s="26">
        <f>55660922+67995589</f>
        <v>123656511</v>
      </c>
      <c r="AC24" s="27">
        <f>SUM(R24:AB24)</f>
        <v>547234329</v>
      </c>
      <c r="AD24" s="29"/>
      <c r="AE24" s="18"/>
      <c r="AF24" s="18"/>
      <c r="AG24" s="1"/>
      <c r="AH24" s="1"/>
      <c r="AI24" s="1"/>
      <c r="AJ24" s="1"/>
      <c r="AK24" s="1"/>
      <c r="AL24" s="1"/>
      <c r="AM24" s="1"/>
      <c r="AN24" s="1"/>
      <c r="AO24" s="1"/>
    </row>
    <row r="25" spans="1:41" ht="31.5" customHeight="1">
      <c r="A25" s="597" t="s">
        <v>142</v>
      </c>
      <c r="B25" s="598"/>
      <c r="C25" s="31"/>
      <c r="D25" s="32">
        <v>183052517</v>
      </c>
      <c r="E25" s="32">
        <f>19911870+E23</f>
        <v>17167870</v>
      </c>
      <c r="F25" s="32">
        <v>1175000</v>
      </c>
      <c r="G25" s="445">
        <v>7134987</v>
      </c>
      <c r="H25" s="32"/>
      <c r="I25" s="32"/>
      <c r="J25" s="32"/>
      <c r="K25" s="32"/>
      <c r="L25" s="32"/>
      <c r="M25" s="32"/>
      <c r="N25" s="32"/>
      <c r="O25" s="33">
        <f t="shared" si="0"/>
        <v>208530374</v>
      </c>
      <c r="P25" s="433">
        <f>O25/O24</f>
        <v>0.9396581654724202</v>
      </c>
      <c r="Q25" s="31"/>
      <c r="R25" s="32">
        <v>8988603</v>
      </c>
      <c r="S25" s="32">
        <v>31806534</v>
      </c>
      <c r="T25" s="32">
        <v>33177133</v>
      </c>
      <c r="U25" s="427">
        <v>31609200</v>
      </c>
      <c r="V25" s="32"/>
      <c r="W25" s="32"/>
      <c r="X25" s="32"/>
      <c r="Y25" s="32"/>
      <c r="Z25" s="32"/>
      <c r="AA25" s="32"/>
      <c r="AB25" s="32"/>
      <c r="AC25" s="33">
        <f>SUM(Q25:AB25)</f>
        <v>105581470</v>
      </c>
      <c r="AD25" s="34">
        <f>AC25/AC24</f>
        <v>0.19293648882177492</v>
      </c>
      <c r="AE25" s="18"/>
      <c r="AF25" s="18"/>
      <c r="AG25" s="1"/>
      <c r="AH25" s="1"/>
      <c r="AI25" s="1"/>
      <c r="AJ25" s="1"/>
      <c r="AK25" s="1"/>
      <c r="AL25" s="1"/>
      <c r="AM25" s="1"/>
      <c r="AN25" s="1"/>
      <c r="AO25" s="1"/>
    </row>
    <row r="26" spans="1:41" ht="31.5" customHeight="1">
      <c r="A26" s="235"/>
      <c r="B26" s="23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36"/>
      <c r="AD26" s="237"/>
      <c r="AE26" s="1"/>
      <c r="AF26" s="1"/>
      <c r="AG26" s="1"/>
      <c r="AH26" s="1"/>
      <c r="AI26" s="1"/>
      <c r="AJ26" s="1"/>
      <c r="AK26" s="1"/>
      <c r="AL26" s="1"/>
      <c r="AM26" s="1"/>
      <c r="AN26" s="1"/>
      <c r="AO26" s="1"/>
    </row>
    <row r="27" spans="1:41" ht="33.75" customHeight="1">
      <c r="A27" s="588" t="s">
        <v>143</v>
      </c>
      <c r="B27" s="570"/>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89"/>
      <c r="AE27" s="1"/>
      <c r="AF27" s="1"/>
      <c r="AG27" s="1"/>
      <c r="AH27" s="1"/>
      <c r="AI27" s="1"/>
      <c r="AJ27" s="1"/>
      <c r="AK27" s="1"/>
      <c r="AL27" s="1"/>
      <c r="AM27" s="1"/>
      <c r="AN27" s="1"/>
      <c r="AO27" s="1"/>
    </row>
    <row r="28" spans="1:41" ht="15" customHeight="1">
      <c r="A28" s="566" t="s">
        <v>144</v>
      </c>
      <c r="B28" s="557" t="s">
        <v>145</v>
      </c>
      <c r="C28" s="555"/>
      <c r="D28" s="534" t="s">
        <v>146</v>
      </c>
      <c r="E28" s="535"/>
      <c r="F28" s="535"/>
      <c r="G28" s="535"/>
      <c r="H28" s="535"/>
      <c r="I28" s="535"/>
      <c r="J28" s="535"/>
      <c r="K28" s="535"/>
      <c r="L28" s="535"/>
      <c r="M28" s="535"/>
      <c r="N28" s="535"/>
      <c r="O28" s="590"/>
      <c r="P28" s="556" t="s">
        <v>35</v>
      </c>
      <c r="Q28" s="557" t="s">
        <v>147</v>
      </c>
      <c r="R28" s="558"/>
      <c r="S28" s="558"/>
      <c r="T28" s="558"/>
      <c r="U28" s="558"/>
      <c r="V28" s="558"/>
      <c r="W28" s="558"/>
      <c r="X28" s="558"/>
      <c r="Y28" s="558"/>
      <c r="Z28" s="558"/>
      <c r="AA28" s="558"/>
      <c r="AB28" s="558"/>
      <c r="AC28" s="558"/>
      <c r="AD28" s="559"/>
      <c r="AE28" s="1"/>
      <c r="AF28" s="1"/>
      <c r="AG28" s="1"/>
      <c r="AH28" s="1"/>
      <c r="AI28" s="1"/>
      <c r="AJ28" s="1"/>
      <c r="AK28" s="1"/>
      <c r="AL28" s="1"/>
      <c r="AM28" s="1"/>
      <c r="AN28" s="1"/>
      <c r="AO28" s="1"/>
    </row>
    <row r="29" spans="1:41" ht="27" customHeight="1">
      <c r="A29" s="567"/>
      <c r="B29" s="560"/>
      <c r="C29" s="568"/>
      <c r="D29" s="35" t="s">
        <v>44</v>
      </c>
      <c r="E29" s="35" t="s">
        <v>45</v>
      </c>
      <c r="F29" s="35" t="s">
        <v>46</v>
      </c>
      <c r="G29" s="35" t="s">
        <v>47</v>
      </c>
      <c r="H29" s="35" t="s">
        <v>48</v>
      </c>
      <c r="I29" s="35" t="s">
        <v>49</v>
      </c>
      <c r="J29" s="35" t="s">
        <v>50</v>
      </c>
      <c r="K29" s="35" t="s">
        <v>51</v>
      </c>
      <c r="L29" s="35" t="s">
        <v>52</v>
      </c>
      <c r="M29" s="35" t="s">
        <v>53</v>
      </c>
      <c r="N29" s="35" t="s">
        <v>54</v>
      </c>
      <c r="O29" s="35" t="s">
        <v>55</v>
      </c>
      <c r="P29" s="528"/>
      <c r="Q29" s="560"/>
      <c r="R29" s="561"/>
      <c r="S29" s="561"/>
      <c r="T29" s="561"/>
      <c r="U29" s="561"/>
      <c r="V29" s="561"/>
      <c r="W29" s="561"/>
      <c r="X29" s="561"/>
      <c r="Y29" s="561"/>
      <c r="Z29" s="561"/>
      <c r="AA29" s="561"/>
      <c r="AB29" s="561"/>
      <c r="AC29" s="561"/>
      <c r="AD29" s="562"/>
      <c r="AE29" s="1"/>
      <c r="AF29" s="1"/>
      <c r="AG29" s="1"/>
      <c r="AH29" s="1"/>
      <c r="AI29" s="1"/>
      <c r="AJ29" s="1"/>
      <c r="AK29" s="1"/>
      <c r="AL29" s="1"/>
      <c r="AM29" s="1"/>
      <c r="AN29" s="1"/>
      <c r="AO29" s="1"/>
    </row>
    <row r="30" spans="1:41" ht="70.5" customHeight="1">
      <c r="A30" s="438" t="s">
        <v>287</v>
      </c>
      <c r="B30" s="554" t="s">
        <v>58</v>
      </c>
      <c r="C30" s="555"/>
      <c r="D30" s="250"/>
      <c r="E30" s="250"/>
      <c r="F30" s="73"/>
      <c r="G30" s="250"/>
      <c r="H30" s="250"/>
      <c r="I30" s="250"/>
      <c r="J30" s="250"/>
      <c r="K30" s="250"/>
      <c r="L30" s="250"/>
      <c r="M30" s="250"/>
      <c r="N30" s="250"/>
      <c r="O30" s="250"/>
      <c r="P30" s="251">
        <f>SUM(D30:O30)</f>
        <v>0</v>
      </c>
      <c r="Q30" s="646"/>
      <c r="R30" s="535"/>
      <c r="S30" s="535"/>
      <c r="T30" s="535"/>
      <c r="U30" s="535"/>
      <c r="V30" s="535"/>
      <c r="W30" s="535"/>
      <c r="X30" s="535"/>
      <c r="Y30" s="535"/>
      <c r="Z30" s="535"/>
      <c r="AA30" s="535"/>
      <c r="AB30" s="535"/>
      <c r="AC30" s="535"/>
      <c r="AD30" s="587"/>
      <c r="AE30" s="1"/>
      <c r="AF30" s="1"/>
      <c r="AG30" s="1"/>
      <c r="AH30" s="1"/>
      <c r="AI30" s="1"/>
      <c r="AJ30" s="1"/>
      <c r="AK30" s="1"/>
      <c r="AL30" s="1"/>
      <c r="AM30" s="1"/>
      <c r="AN30" s="1"/>
      <c r="AO30" s="1"/>
    </row>
    <row r="31" spans="1:41" ht="45" customHeight="1">
      <c r="A31" s="588" t="s">
        <v>151</v>
      </c>
      <c r="B31" s="570"/>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89"/>
      <c r="AE31" s="1"/>
      <c r="AF31" s="1"/>
      <c r="AG31" s="1"/>
      <c r="AH31" s="1"/>
      <c r="AI31" s="1"/>
      <c r="AJ31" s="1"/>
      <c r="AK31" s="1"/>
      <c r="AL31" s="1"/>
      <c r="AM31" s="1"/>
      <c r="AN31" s="1"/>
      <c r="AO31" s="1"/>
    </row>
    <row r="32" spans="1:41" ht="22.5" customHeight="1">
      <c r="A32" s="548" t="s">
        <v>152</v>
      </c>
      <c r="B32" s="556" t="s">
        <v>153</v>
      </c>
      <c r="C32" s="556" t="s">
        <v>145</v>
      </c>
      <c r="D32" s="534" t="s">
        <v>154</v>
      </c>
      <c r="E32" s="535"/>
      <c r="F32" s="535"/>
      <c r="G32" s="535"/>
      <c r="H32" s="535"/>
      <c r="I32" s="535"/>
      <c r="J32" s="535"/>
      <c r="K32" s="535"/>
      <c r="L32" s="535"/>
      <c r="M32" s="535"/>
      <c r="N32" s="535"/>
      <c r="O32" s="535"/>
      <c r="P32" s="590"/>
      <c r="Q32" s="534" t="s">
        <v>155</v>
      </c>
      <c r="R32" s="535"/>
      <c r="S32" s="535"/>
      <c r="T32" s="535"/>
      <c r="U32" s="535"/>
      <c r="V32" s="535"/>
      <c r="W32" s="535"/>
      <c r="X32" s="535"/>
      <c r="Y32" s="535"/>
      <c r="Z32" s="535"/>
      <c r="AA32" s="535"/>
      <c r="AB32" s="535"/>
      <c r="AC32" s="535"/>
      <c r="AD32" s="587"/>
      <c r="AE32" s="1"/>
      <c r="AF32" s="1"/>
      <c r="AG32" s="38"/>
      <c r="AH32" s="38"/>
      <c r="AI32" s="38"/>
      <c r="AJ32" s="38"/>
      <c r="AK32" s="38"/>
      <c r="AL32" s="38"/>
      <c r="AM32" s="38"/>
      <c r="AN32" s="38"/>
      <c r="AO32" s="38"/>
    </row>
    <row r="33" spans="1:41" ht="22.5" customHeight="1">
      <c r="A33" s="549"/>
      <c r="B33" s="528"/>
      <c r="C33" s="528"/>
      <c r="D33" s="35" t="s">
        <v>44</v>
      </c>
      <c r="E33" s="35" t="s">
        <v>45</v>
      </c>
      <c r="F33" s="35" t="s">
        <v>46</v>
      </c>
      <c r="G33" s="35" t="s">
        <v>47</v>
      </c>
      <c r="H33" s="35" t="s">
        <v>48</v>
      </c>
      <c r="I33" s="35" t="s">
        <v>49</v>
      </c>
      <c r="J33" s="35" t="s">
        <v>50</v>
      </c>
      <c r="K33" s="35" t="s">
        <v>51</v>
      </c>
      <c r="L33" s="35" t="s">
        <v>52</v>
      </c>
      <c r="M33" s="35" t="s">
        <v>53</v>
      </c>
      <c r="N33" s="35" t="s">
        <v>54</v>
      </c>
      <c r="O33" s="35" t="s">
        <v>55</v>
      </c>
      <c r="P33" s="35" t="s">
        <v>35</v>
      </c>
      <c r="Q33" s="577" t="s">
        <v>156</v>
      </c>
      <c r="R33" s="561"/>
      <c r="S33" s="561"/>
      <c r="T33" s="561"/>
      <c r="U33" s="561"/>
      <c r="V33" s="568"/>
      <c r="W33" s="577" t="s">
        <v>157</v>
      </c>
      <c r="X33" s="561"/>
      <c r="Y33" s="561"/>
      <c r="Z33" s="568"/>
      <c r="AA33" s="577" t="s">
        <v>158</v>
      </c>
      <c r="AB33" s="561"/>
      <c r="AC33" s="561"/>
      <c r="AD33" s="562"/>
      <c r="AE33" s="1"/>
      <c r="AF33" s="1"/>
      <c r="AG33" s="38"/>
      <c r="AH33" s="38"/>
      <c r="AI33" s="38"/>
      <c r="AJ33" s="38"/>
      <c r="AK33" s="38"/>
      <c r="AL33" s="38"/>
      <c r="AM33" s="38"/>
      <c r="AN33" s="38"/>
      <c r="AO33" s="38"/>
    </row>
    <row r="34" spans="1:41" ht="135.75" customHeight="1">
      <c r="A34" s="799" t="s">
        <v>287</v>
      </c>
      <c r="B34" s="552">
        <f>SUM(B38,B40,B42,B44)</f>
        <v>0.2</v>
      </c>
      <c r="C34" s="217" t="s">
        <v>159</v>
      </c>
      <c r="D34" s="262">
        <f t="shared" ref="D34:O34" si="2">+D50</f>
        <v>0.72499999999999998</v>
      </c>
      <c r="E34" s="262">
        <f t="shared" si="2"/>
        <v>0.75</v>
      </c>
      <c r="F34" s="262">
        <f t="shared" si="2"/>
        <v>0.77500000000000002</v>
      </c>
      <c r="G34" s="262">
        <f t="shared" si="2"/>
        <v>0.8</v>
      </c>
      <c r="H34" s="262">
        <f t="shared" si="2"/>
        <v>0.82500000000000007</v>
      </c>
      <c r="I34" s="262">
        <f t="shared" si="2"/>
        <v>0.85000000000000009</v>
      </c>
      <c r="J34" s="262">
        <f t="shared" si="2"/>
        <v>0.87500000000000011</v>
      </c>
      <c r="K34" s="262">
        <f t="shared" si="2"/>
        <v>0.90000000000000013</v>
      </c>
      <c r="L34" s="262">
        <f t="shared" si="2"/>
        <v>0.92500000000000016</v>
      </c>
      <c r="M34" s="262">
        <f t="shared" si="2"/>
        <v>0.95000000000000018</v>
      </c>
      <c r="N34" s="262">
        <f t="shared" si="2"/>
        <v>0.9750000000000002</v>
      </c>
      <c r="O34" s="262">
        <f t="shared" si="2"/>
        <v>1.0000000000000002</v>
      </c>
      <c r="P34" s="265">
        <f>+O34</f>
        <v>1.0000000000000002</v>
      </c>
      <c r="Q34" s="752" t="s">
        <v>741</v>
      </c>
      <c r="R34" s="807"/>
      <c r="S34" s="807"/>
      <c r="T34" s="807"/>
      <c r="U34" s="807"/>
      <c r="V34" s="808"/>
      <c r="W34" s="752" t="s">
        <v>288</v>
      </c>
      <c r="X34" s="807"/>
      <c r="Y34" s="807"/>
      <c r="Z34" s="808"/>
      <c r="AA34" s="752" t="s">
        <v>289</v>
      </c>
      <c r="AB34" s="807"/>
      <c r="AC34" s="807"/>
      <c r="AD34" s="812"/>
      <c r="AE34" s="425"/>
      <c r="AF34" s="1"/>
      <c r="AG34" s="38"/>
      <c r="AH34" s="38"/>
      <c r="AI34" s="38"/>
      <c r="AJ34" s="38"/>
      <c r="AK34" s="38"/>
      <c r="AL34" s="38"/>
      <c r="AM34" s="38"/>
      <c r="AN34" s="38"/>
      <c r="AO34" s="38"/>
    </row>
    <row r="35" spans="1:41" ht="135.75" customHeight="1" thickBot="1">
      <c r="A35" s="836"/>
      <c r="B35" s="656"/>
      <c r="C35" s="39" t="s">
        <v>162</v>
      </c>
      <c r="D35" s="179">
        <f t="shared" ref="D35:O35" si="3">+D51</f>
        <v>0.71841999999999995</v>
      </c>
      <c r="E35" s="179">
        <f t="shared" si="3"/>
        <v>0.74681749999999991</v>
      </c>
      <c r="F35" s="179">
        <f t="shared" si="3"/>
        <v>0.77444749999999996</v>
      </c>
      <c r="G35" s="424">
        <v>0.77444749999999996</v>
      </c>
      <c r="H35" s="424">
        <f t="shared" si="3"/>
        <v>0.82203249999999994</v>
      </c>
      <c r="I35" s="138">
        <f t="shared" si="3"/>
        <v>0.82203249999999994</v>
      </c>
      <c r="J35" s="138">
        <f t="shared" si="3"/>
        <v>0.82203249999999994</v>
      </c>
      <c r="K35" s="138">
        <f t="shared" si="3"/>
        <v>0.82203249999999994</v>
      </c>
      <c r="L35" s="138">
        <f t="shared" si="3"/>
        <v>0.82203249999999994</v>
      </c>
      <c r="M35" s="138">
        <f t="shared" si="3"/>
        <v>0.82203249999999994</v>
      </c>
      <c r="N35" s="138">
        <f t="shared" si="3"/>
        <v>0.82203249999999994</v>
      </c>
      <c r="O35" s="138">
        <f t="shared" si="3"/>
        <v>0.82203249999999994</v>
      </c>
      <c r="P35" s="180">
        <f>+H35</f>
        <v>0.82203249999999994</v>
      </c>
      <c r="Q35" s="809"/>
      <c r="R35" s="810"/>
      <c r="S35" s="810"/>
      <c r="T35" s="810"/>
      <c r="U35" s="810"/>
      <c r="V35" s="811"/>
      <c r="W35" s="809"/>
      <c r="X35" s="810"/>
      <c r="Y35" s="810"/>
      <c r="Z35" s="811"/>
      <c r="AA35" s="813"/>
      <c r="AB35" s="814"/>
      <c r="AC35" s="814"/>
      <c r="AD35" s="815"/>
      <c r="AE35" s="40"/>
      <c r="AF35" s="1"/>
      <c r="AG35" s="38"/>
      <c r="AH35" s="38"/>
      <c r="AI35" s="38"/>
      <c r="AJ35" s="38"/>
      <c r="AK35" s="38"/>
      <c r="AL35" s="38"/>
      <c r="AM35" s="38"/>
      <c r="AN35" s="38"/>
      <c r="AO35" s="38"/>
    </row>
    <row r="36" spans="1:41" ht="39.6" customHeight="1">
      <c r="A36" s="644" t="s">
        <v>164</v>
      </c>
      <c r="B36" s="648" t="s">
        <v>165</v>
      </c>
      <c r="C36" s="649" t="s">
        <v>166</v>
      </c>
      <c r="D36" s="570"/>
      <c r="E36" s="570"/>
      <c r="F36" s="570"/>
      <c r="G36" s="570"/>
      <c r="H36" s="570"/>
      <c r="I36" s="570"/>
      <c r="J36" s="570"/>
      <c r="K36" s="570"/>
      <c r="L36" s="570"/>
      <c r="M36" s="570"/>
      <c r="N36" s="570"/>
      <c r="O36" s="570"/>
      <c r="P36" s="650"/>
      <c r="Q36" s="649" t="s">
        <v>167</v>
      </c>
      <c r="R36" s="570"/>
      <c r="S36" s="570"/>
      <c r="T36" s="570"/>
      <c r="U36" s="570"/>
      <c r="V36" s="570"/>
      <c r="W36" s="570"/>
      <c r="X36" s="570"/>
      <c r="Y36" s="570"/>
      <c r="Z36" s="570"/>
      <c r="AA36" s="570"/>
      <c r="AB36" s="570"/>
      <c r="AC36" s="570"/>
      <c r="AD36" s="589"/>
      <c r="AE36" s="1"/>
      <c r="AF36" s="1"/>
      <c r="AG36" s="38"/>
      <c r="AH36" s="38"/>
      <c r="AI36" s="38"/>
      <c r="AJ36" s="38"/>
      <c r="AK36" s="38"/>
      <c r="AL36" s="38"/>
      <c r="AM36" s="38"/>
      <c r="AN36" s="38"/>
      <c r="AO36" s="38"/>
    </row>
    <row r="37" spans="1:41" ht="45.6" customHeight="1">
      <c r="A37" s="549"/>
      <c r="B37" s="528"/>
      <c r="C37" s="35" t="s">
        <v>168</v>
      </c>
      <c r="D37" s="35" t="s">
        <v>169</v>
      </c>
      <c r="E37" s="35" t="s">
        <v>170</v>
      </c>
      <c r="F37" s="35" t="s">
        <v>171</v>
      </c>
      <c r="G37" s="35" t="s">
        <v>172</v>
      </c>
      <c r="H37" s="35" t="s">
        <v>173</v>
      </c>
      <c r="I37" s="35" t="s">
        <v>174</v>
      </c>
      <c r="J37" s="35" t="s">
        <v>175</v>
      </c>
      <c r="K37" s="35" t="s">
        <v>176</v>
      </c>
      <c r="L37" s="35" t="s">
        <v>177</v>
      </c>
      <c r="M37" s="35" t="s">
        <v>178</v>
      </c>
      <c r="N37" s="35" t="s">
        <v>179</v>
      </c>
      <c r="O37" s="35" t="s">
        <v>180</v>
      </c>
      <c r="P37" s="35" t="s">
        <v>181</v>
      </c>
      <c r="Q37" s="534" t="s">
        <v>182</v>
      </c>
      <c r="R37" s="535"/>
      <c r="S37" s="535"/>
      <c r="T37" s="535"/>
      <c r="U37" s="535"/>
      <c r="V37" s="535"/>
      <c r="W37" s="535"/>
      <c r="X37" s="535"/>
      <c r="Y37" s="535"/>
      <c r="Z37" s="535"/>
      <c r="AA37" s="535"/>
      <c r="AB37" s="535"/>
      <c r="AC37" s="535"/>
      <c r="AD37" s="587"/>
      <c r="AE37" s="1"/>
      <c r="AF37" s="1"/>
      <c r="AG37" s="41"/>
      <c r="AH37" s="41"/>
      <c r="AI37" s="41"/>
      <c r="AJ37" s="41"/>
      <c r="AK37" s="41"/>
      <c r="AL37" s="41"/>
      <c r="AM37" s="41"/>
      <c r="AN37" s="41"/>
      <c r="AO37" s="41"/>
    </row>
    <row r="38" spans="1:41" ht="49.5" customHeight="1">
      <c r="A38" s="835" t="s">
        <v>290</v>
      </c>
      <c r="B38" s="529">
        <v>0.05</v>
      </c>
      <c r="C38" s="217" t="s">
        <v>159</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8">
        <f t="shared" ref="P38:P45" si="4">SUM(D38:O38)</f>
        <v>1.0000000000000002</v>
      </c>
      <c r="Q38" s="801" t="s">
        <v>740</v>
      </c>
      <c r="R38" s="802"/>
      <c r="S38" s="802"/>
      <c r="T38" s="802"/>
      <c r="U38" s="802"/>
      <c r="V38" s="802"/>
      <c r="W38" s="802"/>
      <c r="X38" s="802"/>
      <c r="Y38" s="802"/>
      <c r="Z38" s="802"/>
      <c r="AA38" s="802"/>
      <c r="AB38" s="802"/>
      <c r="AC38" s="802"/>
      <c r="AD38" s="803"/>
      <c r="AE38" s="43"/>
      <c r="AF38" s="1"/>
      <c r="AG38" s="44"/>
      <c r="AH38" s="44"/>
      <c r="AI38" s="44"/>
      <c r="AJ38" s="44"/>
      <c r="AK38" s="44"/>
      <c r="AL38" s="44"/>
      <c r="AM38" s="44"/>
      <c r="AN38" s="44"/>
      <c r="AO38" s="44"/>
    </row>
    <row r="39" spans="1:41" ht="49.5" customHeight="1">
      <c r="A39" s="822"/>
      <c r="B39" s="528"/>
      <c r="C39" s="45" t="s">
        <v>162</v>
      </c>
      <c r="D39" s="46">
        <v>0.08</v>
      </c>
      <c r="E39" s="46">
        <v>0.04</v>
      </c>
      <c r="F39" s="213">
        <v>0.12</v>
      </c>
      <c r="G39" s="46">
        <v>0.06</v>
      </c>
      <c r="H39" s="46">
        <v>0.08</v>
      </c>
      <c r="I39" s="46"/>
      <c r="J39" s="46"/>
      <c r="K39" s="46"/>
      <c r="L39" s="46"/>
      <c r="M39" s="46"/>
      <c r="N39" s="46"/>
      <c r="O39" s="46"/>
      <c r="P39" s="219">
        <f t="shared" si="4"/>
        <v>0.38</v>
      </c>
      <c r="Q39" s="804"/>
      <c r="R39" s="805"/>
      <c r="S39" s="805"/>
      <c r="T39" s="805"/>
      <c r="U39" s="805"/>
      <c r="V39" s="805"/>
      <c r="W39" s="805"/>
      <c r="X39" s="805"/>
      <c r="Y39" s="805"/>
      <c r="Z39" s="805"/>
      <c r="AA39" s="805"/>
      <c r="AB39" s="805"/>
      <c r="AC39" s="805"/>
      <c r="AD39" s="806"/>
      <c r="AE39" s="43"/>
      <c r="AF39" s="1"/>
      <c r="AG39" s="1"/>
      <c r="AH39" s="1"/>
      <c r="AI39" s="1"/>
      <c r="AJ39" s="1"/>
      <c r="AK39" s="1"/>
      <c r="AL39" s="1"/>
      <c r="AM39" s="1"/>
      <c r="AN39" s="1"/>
      <c r="AO39" s="1"/>
    </row>
    <row r="40" spans="1:41" ht="113.25" customHeight="1">
      <c r="A40" s="821" t="s">
        <v>291</v>
      </c>
      <c r="B40" s="529">
        <v>0.05</v>
      </c>
      <c r="C40" s="47" t="s">
        <v>159</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9">
        <f t="shared" si="4"/>
        <v>1.0000000000000002</v>
      </c>
      <c r="Q40" s="823" t="s">
        <v>292</v>
      </c>
      <c r="R40" s="824"/>
      <c r="S40" s="824"/>
      <c r="T40" s="824"/>
      <c r="U40" s="824"/>
      <c r="V40" s="824"/>
      <c r="W40" s="824"/>
      <c r="X40" s="824"/>
      <c r="Y40" s="824"/>
      <c r="Z40" s="824"/>
      <c r="AA40" s="824"/>
      <c r="AB40" s="824"/>
      <c r="AC40" s="824"/>
      <c r="AD40" s="825"/>
      <c r="AE40" s="43"/>
      <c r="AF40" s="1"/>
      <c r="AG40" s="1"/>
      <c r="AH40" s="1"/>
      <c r="AI40" s="1"/>
      <c r="AJ40" s="1"/>
      <c r="AK40" s="1"/>
      <c r="AL40" s="1"/>
      <c r="AM40" s="1"/>
      <c r="AN40" s="1"/>
      <c r="AO40" s="1"/>
    </row>
    <row r="41" spans="1:41" ht="108.75" customHeight="1">
      <c r="A41" s="822"/>
      <c r="B41" s="528"/>
      <c r="C41" s="45" t="s">
        <v>162</v>
      </c>
      <c r="D41" s="46">
        <v>0.08</v>
      </c>
      <c r="E41" s="46">
        <v>0.08</v>
      </c>
      <c r="F41" s="213">
        <v>0.08</v>
      </c>
      <c r="G41" s="46">
        <v>0.08</v>
      </c>
      <c r="H41" s="46">
        <v>0.08</v>
      </c>
      <c r="I41" s="46"/>
      <c r="J41" s="46"/>
      <c r="K41" s="46"/>
      <c r="L41" s="48"/>
      <c r="M41" s="48"/>
      <c r="N41" s="48"/>
      <c r="O41" s="48"/>
      <c r="P41" s="219">
        <f t="shared" si="4"/>
        <v>0.4</v>
      </c>
      <c r="Q41" s="826"/>
      <c r="R41" s="827"/>
      <c r="S41" s="827"/>
      <c r="T41" s="827"/>
      <c r="U41" s="827"/>
      <c r="V41" s="827"/>
      <c r="W41" s="827"/>
      <c r="X41" s="827"/>
      <c r="Y41" s="827"/>
      <c r="Z41" s="827"/>
      <c r="AA41" s="827"/>
      <c r="AB41" s="827"/>
      <c r="AC41" s="827"/>
      <c r="AD41" s="828"/>
      <c r="AE41" s="43"/>
      <c r="AF41" s="1"/>
      <c r="AG41" s="1"/>
      <c r="AH41" s="1"/>
      <c r="AI41" s="1"/>
      <c r="AJ41" s="1"/>
      <c r="AK41" s="1"/>
      <c r="AL41" s="1"/>
      <c r="AM41" s="1"/>
      <c r="AN41" s="1"/>
      <c r="AO41" s="1"/>
    </row>
    <row r="42" spans="1:41" ht="49.5" customHeight="1">
      <c r="A42" s="821" t="s">
        <v>293</v>
      </c>
      <c r="B42" s="529">
        <v>0.05</v>
      </c>
      <c r="C42" s="47" t="s">
        <v>159</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9">
        <f t="shared" si="4"/>
        <v>1.0000000000000002</v>
      </c>
      <c r="Q42" s="829" t="s">
        <v>294</v>
      </c>
      <c r="R42" s="830"/>
      <c r="S42" s="830"/>
      <c r="T42" s="830"/>
      <c r="U42" s="830"/>
      <c r="V42" s="830"/>
      <c r="W42" s="830"/>
      <c r="X42" s="830"/>
      <c r="Y42" s="830"/>
      <c r="Z42" s="830"/>
      <c r="AA42" s="830"/>
      <c r="AB42" s="830"/>
      <c r="AC42" s="830"/>
      <c r="AD42" s="831"/>
      <c r="AE42" s="43"/>
      <c r="AF42" s="1"/>
      <c r="AG42" s="1"/>
      <c r="AH42" s="1"/>
      <c r="AI42" s="1"/>
      <c r="AJ42" s="1"/>
      <c r="AK42" s="1"/>
      <c r="AL42" s="1"/>
      <c r="AM42" s="1"/>
      <c r="AN42" s="1"/>
      <c r="AO42" s="1"/>
    </row>
    <row r="43" spans="1:41" ht="49.5" customHeight="1">
      <c r="A43" s="822"/>
      <c r="B43" s="528"/>
      <c r="C43" s="45" t="s">
        <v>162</v>
      </c>
      <c r="D43" s="46">
        <v>0.08</v>
      </c>
      <c r="E43" s="46">
        <v>0.08</v>
      </c>
      <c r="F43" s="213">
        <v>0.08</v>
      </c>
      <c r="G43" s="46">
        <v>0.08</v>
      </c>
      <c r="H43" s="46">
        <v>0.08</v>
      </c>
      <c r="I43" s="46"/>
      <c r="J43" s="46"/>
      <c r="K43" s="46"/>
      <c r="L43" s="48"/>
      <c r="M43" s="48"/>
      <c r="N43" s="48"/>
      <c r="O43" s="48"/>
      <c r="P43" s="219">
        <f t="shared" si="4"/>
        <v>0.4</v>
      </c>
      <c r="Q43" s="832"/>
      <c r="R43" s="833"/>
      <c r="S43" s="833"/>
      <c r="T43" s="833"/>
      <c r="U43" s="833"/>
      <c r="V43" s="833"/>
      <c r="W43" s="833"/>
      <c r="X43" s="833"/>
      <c r="Y43" s="833"/>
      <c r="Z43" s="833"/>
      <c r="AA43" s="833"/>
      <c r="AB43" s="833"/>
      <c r="AC43" s="833"/>
      <c r="AD43" s="834"/>
      <c r="AE43" s="43"/>
      <c r="AF43" s="1"/>
      <c r="AG43" s="1"/>
      <c r="AH43" s="1"/>
      <c r="AI43" s="1"/>
      <c r="AJ43" s="1"/>
      <c r="AK43" s="1"/>
      <c r="AL43" s="1"/>
      <c r="AM43" s="1"/>
      <c r="AN43" s="1"/>
      <c r="AO43" s="1"/>
    </row>
    <row r="44" spans="1:41" ht="48.6" customHeight="1">
      <c r="A44" s="821" t="s">
        <v>295</v>
      </c>
      <c r="B44" s="529">
        <v>0.05</v>
      </c>
      <c r="C44" s="47" t="s">
        <v>159</v>
      </c>
      <c r="D44" s="42">
        <v>8.3333333333333343E-2</v>
      </c>
      <c r="E44" s="42">
        <v>8.3333333333333343E-2</v>
      </c>
      <c r="F44" s="42">
        <v>8.3333333333333343E-2</v>
      </c>
      <c r="G44" s="42">
        <v>8.3333333333333343E-2</v>
      </c>
      <c r="H44" s="42">
        <v>8.3333333333333343E-2</v>
      </c>
      <c r="I44" s="42">
        <v>8.3333333333333343E-2</v>
      </c>
      <c r="J44" s="42">
        <v>8.3333333333333343E-2</v>
      </c>
      <c r="K44" s="42">
        <v>8.3333333333333343E-2</v>
      </c>
      <c r="L44" s="42">
        <v>8.3333333333333343E-2</v>
      </c>
      <c r="M44" s="42">
        <v>8.3333333333333343E-2</v>
      </c>
      <c r="N44" s="42">
        <v>8.3333333333333343E-2</v>
      </c>
      <c r="O44" s="42">
        <v>8.3333333333333343E-2</v>
      </c>
      <c r="P44" s="219">
        <f t="shared" si="4"/>
        <v>1.0000000000000002</v>
      </c>
      <c r="Q44" s="783" t="s">
        <v>296</v>
      </c>
      <c r="R44" s="816"/>
      <c r="S44" s="816"/>
      <c r="T44" s="816"/>
      <c r="U44" s="816"/>
      <c r="V44" s="816"/>
      <c r="W44" s="816"/>
      <c r="X44" s="816"/>
      <c r="Y44" s="816"/>
      <c r="Z44" s="816"/>
      <c r="AA44" s="816"/>
      <c r="AB44" s="816"/>
      <c r="AC44" s="816"/>
      <c r="AD44" s="817"/>
      <c r="AE44" s="43"/>
      <c r="AF44" s="1"/>
      <c r="AG44" s="1"/>
      <c r="AH44" s="1"/>
      <c r="AI44" s="1"/>
      <c r="AJ44" s="1"/>
      <c r="AK44" s="1"/>
      <c r="AL44" s="1"/>
      <c r="AM44" s="1"/>
      <c r="AN44" s="1"/>
      <c r="AO44" s="1"/>
    </row>
    <row r="45" spans="1:41" ht="48.6" customHeight="1" thickBot="1">
      <c r="A45" s="822"/>
      <c r="B45" s="528"/>
      <c r="C45" s="39" t="s">
        <v>162</v>
      </c>
      <c r="D45" s="70">
        <v>0</v>
      </c>
      <c r="E45" s="70">
        <v>0.17</v>
      </c>
      <c r="F45" s="408">
        <v>0.08</v>
      </c>
      <c r="G45" s="70">
        <v>0.08</v>
      </c>
      <c r="H45" s="70">
        <v>0.08</v>
      </c>
      <c r="I45" s="70"/>
      <c r="J45" s="70"/>
      <c r="K45" s="70"/>
      <c r="L45" s="71"/>
      <c r="M45" s="71"/>
      <c r="N45" s="71"/>
      <c r="O45" s="71"/>
      <c r="P45" s="259">
        <f t="shared" si="4"/>
        <v>0.41000000000000003</v>
      </c>
      <c r="Q45" s="818"/>
      <c r="R45" s="819"/>
      <c r="S45" s="819"/>
      <c r="T45" s="819"/>
      <c r="U45" s="819"/>
      <c r="V45" s="819"/>
      <c r="W45" s="819"/>
      <c r="X45" s="819"/>
      <c r="Y45" s="819"/>
      <c r="Z45" s="819"/>
      <c r="AA45" s="819"/>
      <c r="AB45" s="819"/>
      <c r="AC45" s="819"/>
      <c r="AD45" s="820"/>
      <c r="AE45" s="43"/>
      <c r="AF45" s="1"/>
      <c r="AG45" s="1"/>
      <c r="AH45" s="1"/>
      <c r="AI45" s="1"/>
      <c r="AJ45" s="1"/>
      <c r="AK45" s="1"/>
      <c r="AL45" s="1"/>
      <c r="AM45" s="1"/>
      <c r="AN45" s="1"/>
      <c r="AO45" s="1"/>
    </row>
    <row r="46" spans="1:41" ht="14.25" customHeight="1">
      <c r="A46" s="1" t="s">
        <v>185</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181">
        <f>+D51/D50</f>
        <v>0.9909241379310344</v>
      </c>
      <c r="E49" s="181">
        <f t="shared" ref="E49:O49" si="5">+E51/E50</f>
        <v>0.99575666666666651</v>
      </c>
      <c r="F49" s="181">
        <f t="shared" si="5"/>
        <v>0.99928709677419347</v>
      </c>
      <c r="G49" s="181">
        <f t="shared" si="5"/>
        <v>0.99684062499999981</v>
      </c>
      <c r="H49" s="181">
        <f t="shared" si="5"/>
        <v>0.99640303030303012</v>
      </c>
      <c r="I49" s="181">
        <f t="shared" si="5"/>
        <v>0.96709705882352925</v>
      </c>
      <c r="J49" s="181">
        <f t="shared" si="5"/>
        <v>0.93946571428571413</v>
      </c>
      <c r="K49" s="181">
        <f t="shared" si="5"/>
        <v>0.91336944444444423</v>
      </c>
      <c r="L49" s="181">
        <f t="shared" si="5"/>
        <v>0.88868378378378354</v>
      </c>
      <c r="M49" s="181">
        <f t="shared" si="5"/>
        <v>0.86529736842105243</v>
      </c>
      <c r="N49" s="181">
        <f t="shared" si="5"/>
        <v>0.84311025641025616</v>
      </c>
      <c r="O49" s="181">
        <f t="shared" si="5"/>
        <v>0.82203249999999972</v>
      </c>
      <c r="P49" s="1"/>
      <c r="Q49" s="1">
        <f>+LEN(Q34)</f>
        <v>958</v>
      </c>
      <c r="R49" s="1">
        <f>+LEN(Q52)</f>
        <v>294</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186</v>
      </c>
      <c r="D50" s="74">
        <f>((((D38+D40+D42+D44)/4)*0.3)+C49)</f>
        <v>0.72499999999999998</v>
      </c>
      <c r="E50" s="52">
        <f t="shared" ref="E50:O50" si="6">((((E38+E40+E42+E44)/4)*0.3)+D50)</f>
        <v>0.75</v>
      </c>
      <c r="F50" s="52">
        <f t="shared" si="6"/>
        <v>0.77500000000000002</v>
      </c>
      <c r="G50" s="52">
        <f t="shared" si="6"/>
        <v>0.8</v>
      </c>
      <c r="H50" s="52">
        <f t="shared" si="6"/>
        <v>0.82500000000000007</v>
      </c>
      <c r="I50" s="52">
        <f t="shared" si="6"/>
        <v>0.85000000000000009</v>
      </c>
      <c r="J50" s="52">
        <f t="shared" si="6"/>
        <v>0.87500000000000011</v>
      </c>
      <c r="K50" s="52">
        <f t="shared" si="6"/>
        <v>0.90000000000000013</v>
      </c>
      <c r="L50" s="52">
        <f t="shared" si="6"/>
        <v>0.92500000000000016</v>
      </c>
      <c r="M50" s="52">
        <f t="shared" si="6"/>
        <v>0.95000000000000018</v>
      </c>
      <c r="N50" s="52">
        <f t="shared" si="6"/>
        <v>0.9750000000000002</v>
      </c>
      <c r="O50" s="52">
        <f t="shared" si="6"/>
        <v>1.0000000000000002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187</v>
      </c>
      <c r="D51" s="75">
        <f>((((D39+D41+D43+D45)/4)*0.307)+C49)</f>
        <v>0.71841999999999995</v>
      </c>
      <c r="E51" s="55">
        <f>((((E39+E41+E43+E45)/4)*0.307)+D51)</f>
        <v>0.74681749999999991</v>
      </c>
      <c r="F51" s="55">
        <f t="shared" ref="F51:O51" si="7">((((F39+F41+F43+F45)/4)*0.307)+E51)</f>
        <v>0.77444749999999996</v>
      </c>
      <c r="G51" s="55">
        <f t="shared" si="7"/>
        <v>0.79747249999999992</v>
      </c>
      <c r="H51" s="55">
        <f t="shared" si="7"/>
        <v>0.82203249999999994</v>
      </c>
      <c r="I51" s="55">
        <f t="shared" si="7"/>
        <v>0.82203249999999994</v>
      </c>
      <c r="J51" s="55">
        <f t="shared" si="7"/>
        <v>0.82203249999999994</v>
      </c>
      <c r="K51" s="55">
        <f t="shared" si="7"/>
        <v>0.82203249999999994</v>
      </c>
      <c r="L51" s="55">
        <f t="shared" si="7"/>
        <v>0.82203249999999994</v>
      </c>
      <c r="M51" s="55">
        <f t="shared" si="7"/>
        <v>0.82203249999999994</v>
      </c>
      <c r="N51" s="55">
        <f t="shared" si="7"/>
        <v>0.82203249999999994</v>
      </c>
      <c r="O51" s="55">
        <f t="shared" si="7"/>
        <v>0.82203249999999994</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689" t="s">
        <v>297</v>
      </c>
      <c r="R52" s="689"/>
      <c r="S52" s="689"/>
      <c r="T52" s="689"/>
      <c r="U52" s="689"/>
      <c r="V52" s="689"/>
      <c r="W52" s="689"/>
      <c r="X52" s="689"/>
      <c r="Y52" s="689"/>
      <c r="Z52" s="689"/>
      <c r="AA52" s="689"/>
      <c r="AB52" s="689"/>
      <c r="AC52" s="689"/>
      <c r="AD52" s="689"/>
      <c r="AE52" s="1"/>
      <c r="AF52" s="1"/>
      <c r="AG52" s="1"/>
      <c r="AH52" s="1"/>
      <c r="AI52" s="1"/>
      <c r="AJ52" s="1"/>
      <c r="AK52" s="1"/>
      <c r="AL52" s="1"/>
      <c r="AM52" s="1"/>
      <c r="AN52" s="1"/>
      <c r="AO52" s="1"/>
    </row>
    <row r="53" spans="1:41" ht="28.5" customHeight="1">
      <c r="A53" s="1"/>
      <c r="B53" s="1"/>
      <c r="C53" s="76" t="s">
        <v>298</v>
      </c>
      <c r="D53" s="86"/>
      <c r="E53" s="302">
        <v>3</v>
      </c>
      <c r="F53" s="302"/>
      <c r="G53" s="302"/>
      <c r="H53" s="302"/>
      <c r="I53" s="302"/>
      <c r="J53" s="302"/>
      <c r="K53" s="302"/>
      <c r="L53" s="302"/>
      <c r="M53" s="302"/>
      <c r="N53" s="302"/>
      <c r="O53" s="302"/>
      <c r="P53" s="1"/>
      <c r="Q53" s="689"/>
      <c r="R53" s="689"/>
      <c r="S53" s="689"/>
      <c r="T53" s="689"/>
      <c r="U53" s="689"/>
      <c r="V53" s="689"/>
      <c r="W53" s="689"/>
      <c r="X53" s="689"/>
      <c r="Y53" s="689"/>
      <c r="Z53" s="689"/>
      <c r="AA53" s="689"/>
      <c r="AB53" s="689"/>
      <c r="AC53" s="689"/>
      <c r="AD53" s="689"/>
      <c r="AE53" s="1"/>
      <c r="AF53" s="1"/>
      <c r="AG53" s="1"/>
      <c r="AH53" s="1"/>
      <c r="AI53" s="1"/>
      <c r="AJ53" s="1"/>
      <c r="AK53" s="1"/>
      <c r="AL53" s="1"/>
      <c r="AM53" s="1"/>
      <c r="AN53" s="1"/>
      <c r="AO53" s="1"/>
    </row>
    <row r="54" spans="1:41" ht="37.15" customHeight="1">
      <c r="A54" s="1"/>
      <c r="B54" s="1"/>
      <c r="C54" s="226" t="s">
        <v>299</v>
      </c>
      <c r="D54" s="87"/>
      <c r="E54" s="357">
        <v>181</v>
      </c>
      <c r="F54" s="357">
        <v>474</v>
      </c>
      <c r="G54" s="357">
        <v>336</v>
      </c>
      <c r="H54" s="357"/>
      <c r="I54" s="357"/>
      <c r="J54" s="357"/>
      <c r="K54" s="357"/>
      <c r="L54" s="357"/>
      <c r="M54" s="357"/>
      <c r="N54" s="357"/>
      <c r="O54" s="357"/>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27" t="s">
        <v>264</v>
      </c>
      <c r="D55" s="86"/>
      <c r="E55" s="302">
        <v>94</v>
      </c>
      <c r="F55" s="302">
        <v>184</v>
      </c>
      <c r="G55" s="302"/>
      <c r="H55" s="302">
        <v>200</v>
      </c>
      <c r="I55" s="302"/>
      <c r="J55" s="302"/>
      <c r="K55" s="302"/>
      <c r="L55" s="302"/>
      <c r="M55" s="302"/>
      <c r="N55" s="302"/>
      <c r="O55" s="302"/>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26" t="s">
        <v>300</v>
      </c>
      <c r="D56" s="87"/>
      <c r="E56" s="357">
        <v>68</v>
      </c>
      <c r="F56" s="357">
        <v>294</v>
      </c>
      <c r="G56" s="357"/>
      <c r="H56" s="357">
        <v>129</v>
      </c>
      <c r="I56" s="357"/>
      <c r="J56" s="357"/>
      <c r="K56" s="357"/>
      <c r="L56" s="357"/>
      <c r="M56" s="357"/>
      <c r="N56" s="357"/>
      <c r="O56" s="357"/>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sheetData>
  <mergeCells count="81">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 ref="W33:Z33"/>
    <mergeCell ref="Q44:AD45"/>
    <mergeCell ref="A40:A41"/>
    <mergeCell ref="B40:B41"/>
    <mergeCell ref="A42:A43"/>
    <mergeCell ref="B42:B43"/>
    <mergeCell ref="Q40:AD41"/>
    <mergeCell ref="Q42:AD43"/>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A24:B24"/>
    <mergeCell ref="Q20:AD20"/>
    <mergeCell ref="C16:AB16"/>
    <mergeCell ref="C17:Q17"/>
    <mergeCell ref="R17:V17"/>
    <mergeCell ref="W17:X17"/>
    <mergeCell ref="Y17:AB17"/>
    <mergeCell ref="AC17:AD17"/>
    <mergeCell ref="C20:P20"/>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Q38 Q52 Q40 AA34" xr:uid="{00000000-0002-0000-0600-000001000000}">
      <formula1>LTE(LEN(Q34),(2000))</formula1>
    </dataValidation>
    <dataValidation type="list" allowBlank="1" showInputMessage="1" showErrorMessage="1" sqref="C7:C9" xr:uid="{18C1033C-36EF-4C06-B88D-707769EF595E}">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María Camila Ramírez</DisplayName>
        <AccountId>380</AccountId>
        <AccountType/>
      </UserInfo>
      <UserInfo>
        <DisplayName>Nelsy Aracely Garzón Guzmán</DisplayName>
        <AccountId>407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A49296-7F32-4276-828F-0A5738A6065A}">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2.xml><?xml version="1.0" encoding="utf-8"?>
<ds:datastoreItem xmlns:ds="http://schemas.openxmlformats.org/officeDocument/2006/customXml" ds:itemID="{7F35D61A-E2A0-4E09-B780-C2EAD445D1DE}">
  <ds:schemaRefs>
    <ds:schemaRef ds:uri="http://schemas.microsoft.com/sharepoint/v3/contenttype/forms"/>
  </ds:schemaRefs>
</ds:datastoreItem>
</file>

<file path=customXml/itemProps3.xml><?xml version="1.0" encoding="utf-8"?>
<ds:datastoreItem xmlns:ds="http://schemas.openxmlformats.org/officeDocument/2006/customXml" ds:itemID="{86FB1648-5F45-4C89-8E29-C0EADDD43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11</vt:i4>
      </vt:variant>
    </vt:vector>
  </HeadingPairs>
  <TitlesOfParts>
    <vt:vector size="32" baseType="lpstr">
      <vt:lpstr>VALIDACION</vt:lpstr>
      <vt:lpstr>Indicadores PA</vt:lpstr>
      <vt:lpstr>Metas 1</vt:lpstr>
      <vt:lpstr>Meta 1..n</vt:lpstr>
      <vt:lpstr>Metas 2</vt:lpstr>
      <vt:lpstr>Metas 3</vt:lpstr>
      <vt:lpstr>Metas 4 (Contrato relevos)</vt:lpstr>
      <vt:lpstr>Metas 5</vt:lpstr>
      <vt:lpstr>Metas 6 (ONU Mujeres)</vt:lpstr>
      <vt:lpstr>Metas 7 (Unidades Moviles)</vt:lpstr>
      <vt:lpstr>Ptto2022</vt:lpstr>
      <vt:lpstr>Indic Gestión SPI</vt:lpstr>
      <vt:lpstr>ejec31may</vt:lpstr>
      <vt:lpstr>Territorialización PA - PMR</vt:lpstr>
      <vt:lpstr>Relevos 2021-2022</vt:lpstr>
      <vt:lpstr>Manzanas2020-2022</vt:lpstr>
      <vt:lpstr>Formación 2020-2022</vt:lpstr>
      <vt:lpstr>Instructivo</vt:lpstr>
      <vt:lpstr>Generalidades</vt:lpstr>
      <vt:lpstr>Hoja13</vt:lpstr>
      <vt:lpstr>Hoja1</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lpstr>'Territorialización PA - PMR'!Área_de_impresión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Sonia Yaneth Orjuela Perilla</cp:lastModifiedBy>
  <cp:revision/>
  <dcterms:created xsi:type="dcterms:W3CDTF">2011-04-26T22:16:52Z</dcterms:created>
  <dcterms:modified xsi:type="dcterms:W3CDTF">2022-06-07T14:42:49Z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