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7.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https://secretariadistritald-my.sharepoint.com/personal/aforero_sdmujer_gov_co/Documents/SDM/SDM 2022/01 PROYECTOS DE INVERSIÓN/7673/PLAN DE ACCIÓN/"/>
    </mc:Choice>
  </mc:AlternateContent>
  <xr:revisionPtr revIDLastSave="19" documentId="8_{CA3BF8E8-2031-459C-AB68-40EAA1303B7C}" xr6:coauthVersionLast="47" xr6:coauthVersionMax="47" xr10:uidLastSave="{AD919054-0668-471F-AE5D-77986C05E9A2}"/>
  <bookViews>
    <workbookView xWindow="-120" yWindow="-120" windowWidth="20730" windowHeight="11160" tabRatio="853" activeTab="6" xr2:uid="{00000000-000D-0000-FFFF-FFFF00000000}"/>
  </bookViews>
  <sheets>
    <sheet name="Meta 1" sheetId="43" r:id="rId1"/>
    <sheet name="Meta 2" sheetId="41" r:id="rId2"/>
    <sheet name="Meta 3" sheetId="42" r:id="rId3"/>
    <sheet name="Meta 4" sheetId="40" r:id="rId4"/>
    <sheet name="Meta 1..n" sheetId="1" state="hidden" r:id="rId5"/>
    <sheet name="Territorialización PA" sheetId="52" r:id="rId6"/>
    <sheet name="Indicadores PA" sheetId="36" r:id="rId7"/>
    <sheet name="Prog.Pptal" sheetId="46" r:id="rId8"/>
    <sheet name="Vigencia" sheetId="47" r:id="rId9"/>
    <sheet name="Reserva" sheetId="48" r:id="rId10"/>
    <sheet name="Avance PDD" sheetId="50" r:id="rId11"/>
    <sheet name="Instructivo" sheetId="39" r:id="rId12"/>
    <sheet name="Generalidades" sheetId="38" r:id="rId13"/>
    <sheet name="Hoja2" sheetId="51" r:id="rId14"/>
    <sheet name="Hoja13" sheetId="32" state="hidden" r:id="rId15"/>
    <sheet name="Hoja1" sheetId="20" state="hidden" r:id="rId16"/>
  </sheets>
  <externalReferences>
    <externalReference r:id="rId17"/>
    <externalReference r:id="rId18"/>
    <externalReference r:id="rId19"/>
    <externalReference r:id="rId20"/>
  </externalReferences>
  <definedNames>
    <definedName name="_xlnm._FilterDatabase" localSheetId="6" hidden="1">'Indicadores PA'!$A$12:$AX$12</definedName>
    <definedName name="_xlnm._FilterDatabase" localSheetId="8" hidden="1">Vigencia!$A$1:$BB$78</definedName>
    <definedName name="_xlnm.Print_Area" localSheetId="0">'Meta 1'!$A$1:$AD$49</definedName>
    <definedName name="_xlnm.Print_Area" localSheetId="1">'Meta 2'!$A$1:$AD$39</definedName>
    <definedName name="_xlnm.Print_Area" localSheetId="2">'Meta 3'!$A$1:$AD$47</definedName>
    <definedName name="_xlnm.Print_Area" localSheetId="3">'Meta 4'!$A$1:$AD$45</definedName>
    <definedName name="_xlnm.Print_Area" localSheetId="5">'Territorialización PA'!$A$1:$CF$61</definedName>
    <definedName name="_xlnm.Print_Titles" localSheetId="6">'Indicadores PA'!$1:$12</definedName>
    <definedName name="_xlnm.Print_Titles" localSheetId="5">'Territorialización PA'!$1:$4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T24" i="36" l="1"/>
  <c r="AT23" i="36"/>
  <c r="AP45" i="42" l="1"/>
  <c r="AO45" i="42"/>
  <c r="AN45" i="42"/>
  <c r="AM45" i="42"/>
  <c r="AL45" i="42"/>
  <c r="AJ35" i="41"/>
  <c r="AI35" i="41"/>
  <c r="C106" i="52"/>
  <c r="C100" i="52"/>
  <c r="CF32" i="52" l="1"/>
  <c r="CE32" i="52"/>
  <c r="CD32" i="52"/>
  <c r="CC32" i="52"/>
  <c r="CB32" i="52"/>
  <c r="CA32" i="52"/>
  <c r="BZ32" i="52"/>
  <c r="BY32" i="52"/>
  <c r="BX32" i="52"/>
  <c r="BW32" i="52"/>
  <c r="BV32" i="52"/>
  <c r="BU32" i="52"/>
  <c r="BR32" i="52"/>
  <c r="BQ32" i="52"/>
  <c r="BP32" i="52"/>
  <c r="BO32" i="52"/>
  <c r="BN32" i="52"/>
  <c r="BM32" i="52"/>
  <c r="BL32" i="52"/>
  <c r="BK32" i="52"/>
  <c r="BJ32" i="52"/>
  <c r="BI32" i="52"/>
  <c r="BH32" i="52"/>
  <c r="BG32" i="52"/>
  <c r="BF32" i="52"/>
  <c r="BE32" i="52"/>
  <c r="BD32" i="52"/>
  <c r="BC32" i="52"/>
  <c r="BB32" i="52"/>
  <c r="BA32" i="52"/>
  <c r="AX32" i="52"/>
  <c r="AV32" i="52"/>
  <c r="AU32" i="52"/>
  <c r="AT32" i="52"/>
  <c r="AQ32" i="52"/>
  <c r="AP32" i="52"/>
  <c r="AO32" i="52"/>
  <c r="AN32" i="52"/>
  <c r="AM32" i="52"/>
  <c r="AL32" i="52"/>
  <c r="AK32" i="52"/>
  <c r="AJ32" i="52"/>
  <c r="AI32" i="52"/>
  <c r="AH32" i="52"/>
  <c r="AG32" i="52"/>
  <c r="AF32" i="52"/>
  <c r="AA32" i="52"/>
  <c r="Z32" i="52"/>
  <c r="Y32" i="52"/>
  <c r="X32" i="52"/>
  <c r="W32" i="52"/>
  <c r="T32" i="52"/>
  <c r="S32" i="52"/>
  <c r="R32" i="52"/>
  <c r="Q32" i="52"/>
  <c r="P32" i="52"/>
  <c r="M32" i="52"/>
  <c r="L32" i="52"/>
  <c r="K32" i="52"/>
  <c r="J32" i="52"/>
  <c r="I32" i="52"/>
  <c r="F32" i="52"/>
  <c r="E32" i="52"/>
  <c r="D32" i="52"/>
  <c r="C32" i="52"/>
  <c r="B32" i="52"/>
  <c r="BS31" i="52"/>
  <c r="AZ31" i="52"/>
  <c r="BT31" i="52" s="1"/>
  <c r="AY31" i="52"/>
  <c r="AD31" i="52"/>
  <c r="AC31" i="52"/>
  <c r="AE31" i="52" s="1"/>
  <c r="V31" i="52"/>
  <c r="O31" i="52"/>
  <c r="H31" i="52"/>
  <c r="G31" i="52"/>
  <c r="N31" i="52" s="1"/>
  <c r="U31" i="52" s="1"/>
  <c r="AB31" i="52" s="1"/>
  <c r="BS30" i="52"/>
  <c r="AZ30" i="52"/>
  <c r="BT30" i="52" s="1"/>
  <c r="AY30" i="52"/>
  <c r="AD30" i="52"/>
  <c r="AC30" i="52"/>
  <c r="AE30" i="52" s="1"/>
  <c r="V30" i="52"/>
  <c r="O30" i="52"/>
  <c r="H30" i="52"/>
  <c r="G30" i="52"/>
  <c r="N30" i="52" s="1"/>
  <c r="U30" i="52" s="1"/>
  <c r="AB30" i="52" s="1"/>
  <c r="BS29" i="52"/>
  <c r="AZ29" i="52"/>
  <c r="BT29" i="52" s="1"/>
  <c r="AY29" i="52"/>
  <c r="AD29" i="52"/>
  <c r="AC29" i="52"/>
  <c r="AE29" i="52" s="1"/>
  <c r="V29" i="52"/>
  <c r="O29" i="52"/>
  <c r="N29" i="52"/>
  <c r="U29" i="52" s="1"/>
  <c r="AB29" i="52" s="1"/>
  <c r="H29" i="52"/>
  <c r="G29" i="52"/>
  <c r="BS28" i="52"/>
  <c r="AZ28" i="52"/>
  <c r="BT28" i="52" s="1"/>
  <c r="AY28" i="52"/>
  <c r="AD28" i="52"/>
  <c r="AC28" i="52"/>
  <c r="AE28" i="52" s="1"/>
  <c r="V28" i="52"/>
  <c r="O28" i="52"/>
  <c r="H28" i="52"/>
  <c r="G28" i="52"/>
  <c r="N28" i="52" s="1"/>
  <c r="U28" i="52" s="1"/>
  <c r="AB28" i="52" s="1"/>
  <c r="BS27" i="52"/>
  <c r="AZ27" i="52"/>
  <c r="BT27" i="52" s="1"/>
  <c r="AY27" i="52"/>
  <c r="AD27" i="52"/>
  <c r="AC27" i="52"/>
  <c r="AE27" i="52" s="1"/>
  <c r="V27" i="52"/>
  <c r="O27" i="52"/>
  <c r="H27" i="52"/>
  <c r="G27" i="52"/>
  <c r="N27" i="52" s="1"/>
  <c r="U27" i="52" s="1"/>
  <c r="AB27" i="52" s="1"/>
  <c r="BS26" i="52"/>
  <c r="AZ26" i="52"/>
  <c r="BT26" i="52" s="1"/>
  <c r="AY26" i="52"/>
  <c r="AD26" i="52"/>
  <c r="AC26" i="52"/>
  <c r="AE26" i="52" s="1"/>
  <c r="V26" i="52"/>
  <c r="O26" i="52"/>
  <c r="H26" i="52"/>
  <c r="G26" i="52"/>
  <c r="N26" i="52" s="1"/>
  <c r="U26" i="52" s="1"/>
  <c r="AB26" i="52" s="1"/>
  <c r="BS25" i="52"/>
  <c r="AZ25" i="52"/>
  <c r="BT25" i="52" s="1"/>
  <c r="AY25" i="52"/>
  <c r="AD25" i="52"/>
  <c r="AC25" i="52"/>
  <c r="AE25" i="52" s="1"/>
  <c r="V25" i="52"/>
  <c r="O25" i="52"/>
  <c r="H25" i="52"/>
  <c r="G25" i="52"/>
  <c r="N25" i="52" s="1"/>
  <c r="U25" i="52" s="1"/>
  <c r="AB25" i="52" s="1"/>
  <c r="BS24" i="52"/>
  <c r="AZ24" i="52"/>
  <c r="BT24" i="52" s="1"/>
  <c r="AY24" i="52"/>
  <c r="AD24" i="52"/>
  <c r="AC24" i="52"/>
  <c r="AE24" i="52" s="1"/>
  <c r="V24" i="52"/>
  <c r="O24" i="52"/>
  <c r="H24" i="52"/>
  <c r="G24" i="52"/>
  <c r="N24" i="52" s="1"/>
  <c r="U24" i="52" s="1"/>
  <c r="AB24" i="52" s="1"/>
  <c r="BS23" i="52"/>
  <c r="AZ23" i="52"/>
  <c r="BT23" i="52" s="1"/>
  <c r="AY23" i="52"/>
  <c r="AD23" i="52"/>
  <c r="AC23" i="52"/>
  <c r="AE23" i="52" s="1"/>
  <c r="V23" i="52"/>
  <c r="O23" i="52"/>
  <c r="H23" i="52"/>
  <c r="G23" i="52"/>
  <c r="N23" i="52" s="1"/>
  <c r="U23" i="52" s="1"/>
  <c r="AB23" i="52" s="1"/>
  <c r="BS22" i="52"/>
  <c r="AZ22" i="52"/>
  <c r="BT22" i="52" s="1"/>
  <c r="AY22" i="52"/>
  <c r="AD22" i="52"/>
  <c r="AC22" i="52"/>
  <c r="AE22" i="52" s="1"/>
  <c r="V22" i="52"/>
  <c r="O22" i="52"/>
  <c r="H22" i="52"/>
  <c r="G22" i="52"/>
  <c r="N22" i="52" s="1"/>
  <c r="U22" i="52" s="1"/>
  <c r="AB22" i="52" s="1"/>
  <c r="BS21" i="52"/>
  <c r="AZ21" i="52"/>
  <c r="BT21" i="52" s="1"/>
  <c r="AY21" i="52"/>
  <c r="AD21" i="52"/>
  <c r="AC21" i="52"/>
  <c r="AE21" i="52" s="1"/>
  <c r="V21" i="52"/>
  <c r="O21" i="52"/>
  <c r="H21" i="52"/>
  <c r="G21" i="52"/>
  <c r="N21" i="52" s="1"/>
  <c r="U21" i="52" s="1"/>
  <c r="AB21" i="52" s="1"/>
  <c r="BS20" i="52"/>
  <c r="AZ20" i="52"/>
  <c r="BT20" i="52" s="1"/>
  <c r="AY20" i="52"/>
  <c r="AD20" i="52"/>
  <c r="AC20" i="52"/>
  <c r="AE20" i="52" s="1"/>
  <c r="V20" i="52"/>
  <c r="O20" i="52"/>
  <c r="H20" i="52"/>
  <c r="G20" i="52"/>
  <c r="N20" i="52" s="1"/>
  <c r="U20" i="52" s="1"/>
  <c r="AB20" i="52" s="1"/>
  <c r="BS19" i="52"/>
  <c r="AZ19" i="52"/>
  <c r="BT19" i="52" s="1"/>
  <c r="AY19" i="52"/>
  <c r="AD19" i="52"/>
  <c r="AC19" i="52"/>
  <c r="AE19" i="52" s="1"/>
  <c r="V19" i="52"/>
  <c r="O19" i="52"/>
  <c r="N19" i="52"/>
  <c r="U19" i="52" s="1"/>
  <c r="AB19" i="52" s="1"/>
  <c r="H19" i="52"/>
  <c r="G19" i="52"/>
  <c r="BT18" i="52"/>
  <c r="BS18" i="52"/>
  <c r="AZ18" i="52"/>
  <c r="AY18" i="52"/>
  <c r="AE18" i="52"/>
  <c r="AD18" i="52"/>
  <c r="AC18" i="52"/>
  <c r="V18" i="52"/>
  <c r="O18" i="52"/>
  <c r="H18" i="52"/>
  <c r="G18" i="52"/>
  <c r="N18" i="52" s="1"/>
  <c r="U18" i="52" s="1"/>
  <c r="AB18" i="52" s="1"/>
  <c r="BS17" i="52"/>
  <c r="AZ17" i="52"/>
  <c r="BT17" i="52" s="1"/>
  <c r="AY17" i="52"/>
  <c r="AD17" i="52"/>
  <c r="AC17" i="52"/>
  <c r="AE17" i="52" s="1"/>
  <c r="V17" i="52"/>
  <c r="O17" i="52"/>
  <c r="H17" i="52"/>
  <c r="G17" i="52"/>
  <c r="N17" i="52" s="1"/>
  <c r="U17" i="52" s="1"/>
  <c r="AB17" i="52" s="1"/>
  <c r="BT16" i="52"/>
  <c r="BS16" i="52"/>
  <c r="AZ16" i="52"/>
  <c r="AY16" i="52"/>
  <c r="AE16" i="52"/>
  <c r="AD16" i="52"/>
  <c r="AC16" i="52"/>
  <c r="V16" i="52"/>
  <c r="O16" i="52"/>
  <c r="O11" i="52" s="1"/>
  <c r="O32" i="52" s="1"/>
  <c r="H16" i="52"/>
  <c r="G16" i="52"/>
  <c r="N16" i="52" s="1"/>
  <c r="U16" i="52" s="1"/>
  <c r="AB16" i="52" s="1"/>
  <c r="BS15" i="52"/>
  <c r="AZ15" i="52"/>
  <c r="BT15" i="52" s="1"/>
  <c r="AY15" i="52"/>
  <c r="AD15" i="52"/>
  <c r="AC15" i="52"/>
  <c r="AE15" i="52" s="1"/>
  <c r="V15" i="52"/>
  <c r="O15" i="52"/>
  <c r="H15" i="52"/>
  <c r="G15" i="52"/>
  <c r="N15" i="52" s="1"/>
  <c r="U15" i="52" s="1"/>
  <c r="AB15" i="52" s="1"/>
  <c r="BS14" i="52"/>
  <c r="AZ14" i="52"/>
  <c r="BT14" i="52" s="1"/>
  <c r="AY14" i="52"/>
  <c r="AD14" i="52"/>
  <c r="AC14" i="52"/>
  <c r="AE14" i="52" s="1"/>
  <c r="V14" i="52"/>
  <c r="O14" i="52"/>
  <c r="H14" i="52"/>
  <c r="G14" i="52"/>
  <c r="N14" i="52" s="1"/>
  <c r="U14" i="52" s="1"/>
  <c r="AB14" i="52" s="1"/>
  <c r="BS13" i="52"/>
  <c r="AZ13" i="52"/>
  <c r="BT13" i="52" s="1"/>
  <c r="AY13" i="52"/>
  <c r="AD13" i="52"/>
  <c r="AC13" i="52"/>
  <c r="AE13" i="52" s="1"/>
  <c r="V13" i="52"/>
  <c r="O13" i="52"/>
  <c r="N13" i="52"/>
  <c r="U13" i="52" s="1"/>
  <c r="AB13" i="52" s="1"/>
  <c r="H13" i="52"/>
  <c r="G13" i="52"/>
  <c r="BS12" i="52"/>
  <c r="AZ12" i="52"/>
  <c r="BT12" i="52" s="1"/>
  <c r="AY12" i="52"/>
  <c r="AD12" i="52"/>
  <c r="AC12" i="52"/>
  <c r="V12" i="52"/>
  <c r="O12" i="52"/>
  <c r="H12" i="52"/>
  <c r="G12" i="52"/>
  <c r="BS11" i="52"/>
  <c r="AY11" i="52"/>
  <c r="AD11" i="52"/>
  <c r="G11" i="52"/>
  <c r="N11" i="52" s="1"/>
  <c r="AC11" i="52" l="1"/>
  <c r="AC32" i="52" s="1"/>
  <c r="G32" i="52"/>
  <c r="AY32" i="52"/>
  <c r="AD32" i="52"/>
  <c r="AZ11" i="52"/>
  <c r="AZ32" i="52" s="1"/>
  <c r="AE12" i="52"/>
  <c r="H11" i="52"/>
  <c r="H32" i="52" s="1"/>
  <c r="BS32" i="52"/>
  <c r="V11" i="52"/>
  <c r="V32" i="52" s="1"/>
  <c r="U11" i="52"/>
  <c r="N12" i="52"/>
  <c r="U12" i="52" s="1"/>
  <c r="AB12" i="52" s="1"/>
  <c r="AE11" i="52"/>
  <c r="AE32" i="52" s="1"/>
  <c r="BT11" i="52"/>
  <c r="BT32" i="52" s="1"/>
  <c r="U32" i="52" l="1"/>
  <c r="AB11" i="52"/>
  <c r="AB32" i="52" s="1"/>
  <c r="N32" i="52"/>
  <c r="G25" i="43" l="1"/>
  <c r="BA10" i="48"/>
  <c r="AM10" i="48"/>
  <c r="BA5" i="48"/>
  <c r="AM5" i="48"/>
  <c r="AM18" i="48" s="1"/>
  <c r="AL14" i="48"/>
  <c r="AL12" i="48"/>
  <c r="AL15" i="48"/>
  <c r="AO19" i="48" l="1"/>
  <c r="AO18" i="48"/>
  <c r="AK35" i="43" l="1"/>
  <c r="P49" i="43"/>
  <c r="P48" i="43"/>
  <c r="P47" i="43"/>
  <c r="P46" i="43"/>
  <c r="P45" i="43"/>
  <c r="P44" i="43"/>
  <c r="P43" i="43"/>
  <c r="P42" i="43"/>
  <c r="P41" i="43"/>
  <c r="P40" i="43"/>
  <c r="P39" i="43"/>
  <c r="P38" i="43"/>
  <c r="P35" i="43"/>
  <c r="P34" i="43"/>
  <c r="B34" i="43"/>
  <c r="P30" i="43"/>
  <c r="A30" i="43"/>
  <c r="A34" i="43" s="1"/>
  <c r="C93" i="52" l="1"/>
  <c r="C95" i="52" s="1"/>
  <c r="A91" i="52"/>
  <c r="AS68" i="52"/>
  <c r="CF61" i="52"/>
  <c r="CE61" i="52"/>
  <c r="CD61" i="52"/>
  <c r="CC61" i="52"/>
  <c r="CB61" i="52"/>
  <c r="CA61" i="52"/>
  <c r="BZ61" i="52"/>
  <c r="BY61" i="52"/>
  <c r="BX61" i="52"/>
  <c r="BW61" i="52"/>
  <c r="BV61" i="52"/>
  <c r="BU61" i="52"/>
  <c r="BR61" i="52"/>
  <c r="BQ61" i="52"/>
  <c r="BP61" i="52"/>
  <c r="BO61" i="52"/>
  <c r="BN61" i="52"/>
  <c r="BM61" i="52"/>
  <c r="BL61" i="52"/>
  <c r="BK61" i="52"/>
  <c r="BJ61" i="52"/>
  <c r="BI61" i="52"/>
  <c r="BH61" i="52"/>
  <c r="BG61" i="52"/>
  <c r="BF61" i="52"/>
  <c r="BE61" i="52"/>
  <c r="BD61" i="52"/>
  <c r="BC61" i="52"/>
  <c r="BB61" i="52"/>
  <c r="AZ61" i="52"/>
  <c r="AW61" i="52"/>
  <c r="AU61" i="52"/>
  <c r="AQ61" i="52"/>
  <c r="AP61" i="52"/>
  <c r="AO61" i="52"/>
  <c r="AN61" i="52"/>
  <c r="AM61" i="52"/>
  <c r="AL61" i="52"/>
  <c r="AK61" i="52"/>
  <c r="AJ61" i="52"/>
  <c r="AI61" i="52"/>
  <c r="AH61" i="52"/>
  <c r="AG61" i="52"/>
  <c r="AF61" i="52"/>
  <c r="AC61" i="52"/>
  <c r="AA61" i="52"/>
  <c r="Z61" i="52"/>
  <c r="Y61" i="52"/>
  <c r="X61" i="52"/>
  <c r="W61" i="52"/>
  <c r="V61" i="52"/>
  <c r="T61" i="52"/>
  <c r="S61" i="52"/>
  <c r="R61" i="52"/>
  <c r="Q61" i="52"/>
  <c r="P61" i="52"/>
  <c r="O61" i="52"/>
  <c r="M61" i="52"/>
  <c r="L61" i="52"/>
  <c r="K61" i="52"/>
  <c r="J61" i="52"/>
  <c r="I61" i="52"/>
  <c r="H61" i="52"/>
  <c r="F61" i="52"/>
  <c r="E61" i="52"/>
  <c r="D61" i="52"/>
  <c r="C61" i="52"/>
  <c r="B61" i="52"/>
  <c r="BT60" i="52"/>
  <c r="BS60" i="52"/>
  <c r="AE60" i="52"/>
  <c r="AD60" i="52"/>
  <c r="BT59" i="52"/>
  <c r="BS59" i="52"/>
  <c r="AE59" i="52"/>
  <c r="AD59" i="52"/>
  <c r="BT58" i="52"/>
  <c r="BS58" i="52"/>
  <c r="AE58" i="52"/>
  <c r="AD58" i="52"/>
  <c r="BT57" i="52"/>
  <c r="BS57" i="52"/>
  <c r="AE57" i="52"/>
  <c r="AD57" i="52"/>
  <c r="BT56" i="52"/>
  <c r="BS56" i="52"/>
  <c r="AE56" i="52"/>
  <c r="AD56" i="52"/>
  <c r="BT55" i="52"/>
  <c r="BS55" i="52"/>
  <c r="AE55" i="52"/>
  <c r="AD55" i="52"/>
  <c r="BT54" i="52"/>
  <c r="BS54" i="52"/>
  <c r="AE54" i="52"/>
  <c r="AD54" i="52"/>
  <c r="BT53" i="52"/>
  <c r="BS53" i="52"/>
  <c r="AE53" i="52"/>
  <c r="AD53" i="52"/>
  <c r="BT52" i="52"/>
  <c r="BS52" i="52"/>
  <c r="AE52" i="52"/>
  <c r="AD52" i="52"/>
  <c r="BT51" i="52"/>
  <c r="BS51" i="52"/>
  <c r="AE51" i="52"/>
  <c r="AD51" i="52"/>
  <c r="BT50" i="52"/>
  <c r="BS50" i="52"/>
  <c r="AE50" i="52"/>
  <c r="AD50" i="52"/>
  <c r="BT49" i="52"/>
  <c r="BS49" i="52"/>
  <c r="AE49" i="52"/>
  <c r="AD49" i="52"/>
  <c r="BT48" i="52"/>
  <c r="BS48" i="52"/>
  <c r="AE48" i="52"/>
  <c r="AD48" i="52"/>
  <c r="BT47" i="52"/>
  <c r="BS47" i="52"/>
  <c r="AE47" i="52"/>
  <c r="AD47" i="52"/>
  <c r="BT46" i="52"/>
  <c r="BS46" i="52"/>
  <c r="AE46" i="52"/>
  <c r="AD46" i="52"/>
  <c r="BT45" i="52"/>
  <c r="BS45" i="52"/>
  <c r="AE45" i="52"/>
  <c r="AD45" i="52"/>
  <c r="BT44" i="52"/>
  <c r="BS44" i="52"/>
  <c r="AE44" i="52"/>
  <c r="AD44" i="52"/>
  <c r="BT43" i="52"/>
  <c r="BS43" i="52"/>
  <c r="AE43" i="52"/>
  <c r="AD43" i="52"/>
  <c r="BT42" i="52"/>
  <c r="BS42" i="52"/>
  <c r="AE42" i="52"/>
  <c r="AD42" i="52"/>
  <c r="BT41" i="52"/>
  <c r="BS41" i="52"/>
  <c r="AE41" i="52"/>
  <c r="AD41" i="52"/>
  <c r="BT40" i="52"/>
  <c r="BT61" i="52" s="1"/>
  <c r="BA40" i="52"/>
  <c r="BA61" i="52" s="1"/>
  <c r="AX40" i="52"/>
  <c r="AX61" i="52" s="1"/>
  <c r="AV40" i="52"/>
  <c r="AV61" i="52" s="1"/>
  <c r="AT40" i="52"/>
  <c r="AT61" i="52" s="1"/>
  <c r="AE40" i="52"/>
  <c r="AD40" i="52"/>
  <c r="AD61" i="52" s="1"/>
  <c r="G40" i="52"/>
  <c r="AE61" i="52" l="1"/>
  <c r="BS40" i="52"/>
  <c r="BS61" i="52" s="1"/>
  <c r="F24" i="43" l="1"/>
  <c r="AK35" i="40"/>
  <c r="AO61" i="42"/>
  <c r="AO56" i="42"/>
  <c r="AO57" i="42" s="1"/>
  <c r="AM56" i="42"/>
  <c r="AN56" i="42"/>
  <c r="AN57" i="42" s="1"/>
  <c r="AO53" i="42"/>
  <c r="AO48" i="42"/>
  <c r="AE38" i="43"/>
  <c r="AE48" i="43"/>
  <c r="AE46" i="43"/>
  <c r="AE44" i="43"/>
  <c r="AE42" i="43"/>
  <c r="AE40" i="43"/>
  <c r="AO35" i="42"/>
  <c r="AD23" i="41"/>
  <c r="AD23" i="40"/>
  <c r="P25" i="41"/>
  <c r="AJ35" i="43"/>
  <c r="D19" i="51" l="1"/>
  <c r="C19" i="51"/>
  <c r="B19" i="51"/>
  <c r="E17" i="51"/>
  <c r="E16" i="51"/>
  <c r="E15" i="51"/>
  <c r="E14" i="51"/>
  <c r="E13" i="51"/>
  <c r="E12" i="51"/>
  <c r="E11" i="51"/>
  <c r="E10" i="51"/>
  <c r="E9" i="51"/>
  <c r="E8" i="51"/>
  <c r="E7" i="51"/>
  <c r="E6" i="51"/>
  <c r="E5" i="51"/>
  <c r="E4" i="51"/>
  <c r="E3" i="51"/>
  <c r="P3" i="50" l="1"/>
  <c r="J2" i="50"/>
  <c r="AT13" i="36"/>
  <c r="AU13" i="36" s="1"/>
  <c r="AC25" i="43"/>
  <c r="F25" i="43" l="1"/>
  <c r="AV14" i="48"/>
  <c r="BF13" i="48"/>
  <c r="BF9" i="48"/>
  <c r="BF8" i="48"/>
  <c r="BF7" i="48"/>
  <c r="BF6" i="48"/>
  <c r="BF4" i="48"/>
  <c r="BB8" i="48"/>
  <c r="AM15" i="48"/>
  <c r="AK15" i="48"/>
  <c r="AJ15" i="48"/>
  <c r="AI15" i="48"/>
  <c r="AJ35" i="40"/>
  <c r="AN61" i="42" l="1"/>
  <c r="AN53" i="42"/>
  <c r="AL48" i="42"/>
  <c r="AN48" i="42"/>
  <c r="AN35" i="42"/>
  <c r="AC23" i="42" l="1"/>
  <c r="BB16" i="48" l="1"/>
  <c r="AX16" i="48"/>
  <c r="AW16" i="48"/>
  <c r="BD14" i="48"/>
  <c r="BF14" i="48" s="1"/>
  <c r="AY14" i="48"/>
  <c r="AN14" i="48"/>
  <c r="BA13" i="48"/>
  <c r="BD13" i="48" s="1"/>
  <c r="AV13" i="48"/>
  <c r="AY13" i="48" s="1"/>
  <c r="AN13" i="48"/>
  <c r="BD12" i="48"/>
  <c r="BF12" i="48" s="1"/>
  <c r="AV12" i="48"/>
  <c r="AN12" i="48"/>
  <c r="BD11" i="48"/>
  <c r="BF11" i="48" s="1"/>
  <c r="AV11" i="48"/>
  <c r="AY11" i="48" s="1"/>
  <c r="AN11" i="48"/>
  <c r="BD10" i="48"/>
  <c r="BF10" i="48" s="1"/>
  <c r="AY10" i="48"/>
  <c r="AV10" i="48"/>
  <c r="AN10" i="48"/>
  <c r="BD9" i="48"/>
  <c r="AY9" i="48"/>
  <c r="AV9" i="48"/>
  <c r="AN9" i="48"/>
  <c r="BD8" i="48"/>
  <c r="AW8" i="48"/>
  <c r="AY8" i="48" s="1"/>
  <c r="AN8" i="48"/>
  <c r="BD7" i="48"/>
  <c r="AY7" i="48"/>
  <c r="AN7" i="48"/>
  <c r="BD6" i="48"/>
  <c r="AY6" i="48"/>
  <c r="AN6" i="48"/>
  <c r="BC5" i="48"/>
  <c r="BC16" i="48" s="1"/>
  <c r="BD5" i="48"/>
  <c r="BF5" i="48" s="1"/>
  <c r="AX5" i="48"/>
  <c r="AV5" i="48"/>
  <c r="AY5" i="48" s="1"/>
  <c r="AN5" i="48"/>
  <c r="BC4" i="48"/>
  <c r="BD4" i="48" s="1"/>
  <c r="AY4" i="48"/>
  <c r="AN4" i="48"/>
  <c r="BA3" i="48"/>
  <c r="BD3" i="48" s="1"/>
  <c r="BF3" i="48" s="1"/>
  <c r="AV3" i="48"/>
  <c r="AY3" i="48" s="1"/>
  <c r="AN3" i="48"/>
  <c r="L3" i="50"/>
  <c r="K3" i="50"/>
  <c r="J3" i="50"/>
  <c r="AT26" i="36"/>
  <c r="AU26" i="36" s="1"/>
  <c r="AT25" i="36"/>
  <c r="AU25" i="36" s="1"/>
  <c r="AU24" i="36"/>
  <c r="AU23" i="36"/>
  <c r="AT22" i="36"/>
  <c r="AU22" i="36" s="1"/>
  <c r="AT21" i="36"/>
  <c r="AU21" i="36" s="1"/>
  <c r="AT20" i="36"/>
  <c r="AU20" i="36" s="1"/>
  <c r="AT19" i="36"/>
  <c r="AU19" i="36" s="1"/>
  <c r="AT18" i="36"/>
  <c r="AU18" i="36" s="1"/>
  <c r="AT17" i="36"/>
  <c r="AU17" i="36" s="1"/>
  <c r="AT16" i="36"/>
  <c r="AU16" i="36" s="1"/>
  <c r="AT15" i="36"/>
  <c r="AU15" i="36" s="1"/>
  <c r="BA16" i="48" l="1"/>
  <c r="AN15" i="48"/>
  <c r="AY12" i="48"/>
  <c r="AV16" i="48"/>
  <c r="AY16" i="48"/>
  <c r="BD16" i="48"/>
  <c r="I3" i="50"/>
  <c r="I2" i="50"/>
  <c r="AB24" i="43" l="1"/>
  <c r="AC25" i="40"/>
  <c r="AC23" i="40"/>
  <c r="AC25" i="42"/>
  <c r="AD25" i="40" l="1"/>
  <c r="BD46" i="48"/>
  <c r="BF46" i="48" s="1"/>
  <c r="BD45" i="48"/>
  <c r="BF45" i="48" s="1"/>
  <c r="BD43" i="48"/>
  <c r="BF43" i="48" s="1"/>
  <c r="BD42" i="48"/>
  <c r="BF42" i="48" s="1"/>
  <c r="BD41" i="48"/>
  <c r="BF41" i="48" s="1"/>
  <c r="BD40" i="48"/>
  <c r="BF40" i="48" s="1"/>
  <c r="BD39" i="48"/>
  <c r="BF39" i="48" s="1"/>
  <c r="BD38" i="48"/>
  <c r="BF38" i="48" s="1"/>
  <c r="BD37" i="48"/>
  <c r="BF37" i="48" s="1"/>
  <c r="AL47" i="48"/>
  <c r="AV36" i="48"/>
  <c r="AV34" i="48"/>
  <c r="AY34" i="48" s="1"/>
  <c r="AM47" i="48"/>
  <c r="AN45" i="48"/>
  <c r="AN44" i="48"/>
  <c r="AN43" i="48"/>
  <c r="AN42" i="48"/>
  <c r="AN41" i="48"/>
  <c r="AN40" i="48"/>
  <c r="AN39" i="48"/>
  <c r="AN38" i="48"/>
  <c r="AN37" i="48"/>
  <c r="AN36" i="48"/>
  <c r="AN35" i="48"/>
  <c r="AN34" i="48"/>
  <c r="AN47" i="48" l="1"/>
  <c r="AI35" i="40" l="1"/>
  <c r="AM61" i="42"/>
  <c r="AM57" i="42"/>
  <c r="AM53" i="42"/>
  <c r="AM48" i="42"/>
  <c r="AM35" i="42"/>
  <c r="AH35" i="41"/>
  <c r="AG35" i="41"/>
  <c r="AF35" i="41"/>
  <c r="AI35" i="43"/>
  <c r="AH35" i="43"/>
  <c r="AG35" i="43"/>
  <c r="BC36" i="48" l="1"/>
  <c r="BA36" i="48"/>
  <c r="BD36" i="48" s="1"/>
  <c r="BF36" i="48" s="1"/>
  <c r="D24" i="42"/>
  <c r="D24" i="43"/>
  <c r="O24" i="43" s="1"/>
  <c r="P25" i="43" s="1"/>
  <c r="BC35" i="48" l="1"/>
  <c r="BD35" i="48" s="1"/>
  <c r="BF35" i="48" s="1"/>
  <c r="BA34" i="48"/>
  <c r="BD34" i="48" s="1"/>
  <c r="BF34" i="48" s="1"/>
  <c r="AV45" i="48"/>
  <c r="AY45" i="48" s="1"/>
  <c r="AV44" i="48"/>
  <c r="AY44" i="48" s="1"/>
  <c r="AV43" i="48"/>
  <c r="AY43" i="48" s="1"/>
  <c r="AV42" i="48"/>
  <c r="AY42" i="48" s="1"/>
  <c r="AV41" i="48"/>
  <c r="AY41" i="48" s="1"/>
  <c r="AV40" i="48"/>
  <c r="AW39" i="48"/>
  <c r="AY38" i="48"/>
  <c r="AY37" i="48"/>
  <c r="AX36" i="48"/>
  <c r="AY36" i="48" s="1"/>
  <c r="BA44" i="48"/>
  <c r="BD44" i="48" s="1"/>
  <c r="BF44" i="48" s="1"/>
  <c r="B35" i="48"/>
  <c r="B36" i="48"/>
  <c r="B37" i="48"/>
  <c r="B38" i="48"/>
  <c r="B39" i="48"/>
  <c r="B40" i="48"/>
  <c r="B41" i="48"/>
  <c r="B42" i="48"/>
  <c r="B43" i="48"/>
  <c r="B44" i="48"/>
  <c r="B45" i="48"/>
  <c r="B34" i="48"/>
  <c r="AY35" i="48" l="1"/>
  <c r="AX47" i="48"/>
  <c r="AY39" i="48"/>
  <c r="AW47" i="48"/>
  <c r="AY40" i="48"/>
  <c r="AV47" i="48"/>
  <c r="AL35" i="42"/>
  <c r="P39" i="41"/>
  <c r="P38" i="41"/>
  <c r="P35" i="41"/>
  <c r="P34" i="41"/>
  <c r="B34" i="41"/>
  <c r="A34" i="41"/>
  <c r="AY47" i="48" l="1"/>
  <c r="BM5" i="48"/>
  <c r="BM16" i="48" s="1"/>
  <c r="BN16" i="48"/>
  <c r="BL16" i="48"/>
  <c r="BJ16" i="48"/>
  <c r="AB24" i="41"/>
  <c r="AA24" i="41"/>
  <c r="Y24" i="41"/>
  <c r="Q3" i="50"/>
  <c r="R3" i="50"/>
  <c r="S3" i="50"/>
  <c r="T3" i="50"/>
  <c r="U3" i="50"/>
  <c r="V3" i="50"/>
  <c r="W3" i="50"/>
  <c r="X3" i="50"/>
  <c r="Y3" i="50"/>
  <c r="Z3" i="50"/>
  <c r="O3" i="50"/>
  <c r="P2" i="50"/>
  <c r="Q2" i="50"/>
  <c r="R2" i="50"/>
  <c r="S2" i="50"/>
  <c r="T2" i="50"/>
  <c r="U2" i="50"/>
  <c r="V2" i="50"/>
  <c r="W2" i="50"/>
  <c r="X2" i="50"/>
  <c r="Y2" i="50"/>
  <c r="Z2" i="50"/>
  <c r="O2" i="50"/>
  <c r="G6" i="50"/>
  <c r="F5" i="50"/>
  <c r="E5" i="50"/>
  <c r="D5" i="50"/>
  <c r="C5" i="50"/>
  <c r="B5" i="50"/>
  <c r="G4" i="50"/>
  <c r="G3" i="50"/>
  <c r="L2" i="50"/>
  <c r="K2" i="50"/>
  <c r="G2" i="50"/>
  <c r="AA2" i="50" l="1"/>
  <c r="M3" i="50"/>
  <c r="G5" i="50"/>
  <c r="AA3" i="50"/>
  <c r="M2" i="50"/>
  <c r="B34" i="42" l="1"/>
  <c r="BK5" i="48" l="1"/>
  <c r="BK16" i="48" s="1"/>
  <c r="BF16" i="48" l="1"/>
  <c r="BE16" i="48"/>
  <c r="AB24" i="40" l="1"/>
  <c r="AB24" i="42"/>
  <c r="AK83" i="47"/>
  <c r="AL83" i="47"/>
  <c r="AM83" i="47"/>
  <c r="AN83" i="47"/>
  <c r="AO83" i="47"/>
  <c r="AP83" i="47"/>
  <c r="AQ83" i="47"/>
  <c r="AR83" i="47"/>
  <c r="AS83" i="47"/>
  <c r="O23" i="41"/>
  <c r="O22" i="41"/>
  <c r="W22" i="43"/>
  <c r="U22" i="43"/>
  <c r="T22" i="42"/>
  <c r="T22" i="43"/>
  <c r="AA75" i="47"/>
  <c r="U22" i="42"/>
  <c r="AA67" i="47"/>
  <c r="V22" i="42"/>
  <c r="V22" i="43"/>
  <c r="AA65" i="47"/>
  <c r="AA61" i="47"/>
  <c r="AA59" i="47"/>
  <c r="AA57" i="47"/>
  <c r="O25" i="43"/>
  <c r="O23" i="43"/>
  <c r="O22" i="43"/>
  <c r="F7" i="46"/>
  <c r="AC22" i="43" l="1"/>
  <c r="B59" i="40"/>
  <c r="A59" i="40"/>
  <c r="B57" i="40"/>
  <c r="A57" i="40"/>
  <c r="B55" i="40"/>
  <c r="A55" i="40"/>
  <c r="B53" i="40"/>
  <c r="A53" i="40"/>
  <c r="B62" i="42"/>
  <c r="A62" i="42"/>
  <c r="A60" i="42"/>
  <c r="A58" i="42"/>
  <c r="B54" i="42"/>
  <c r="A54" i="42"/>
  <c r="B60" i="42"/>
  <c r="B58" i="42"/>
  <c r="B56" i="42"/>
  <c r="P45" i="40"/>
  <c r="N44" i="40"/>
  <c r="M44" i="40"/>
  <c r="L44" i="40"/>
  <c r="K44" i="40"/>
  <c r="J44" i="40"/>
  <c r="I44" i="40"/>
  <c r="H44" i="40"/>
  <c r="G44" i="40"/>
  <c r="F44" i="40"/>
  <c r="P43" i="40"/>
  <c r="L42" i="40"/>
  <c r="K42" i="40"/>
  <c r="J42" i="40"/>
  <c r="I42" i="40"/>
  <c r="H42" i="40"/>
  <c r="G42" i="40"/>
  <c r="F42" i="40"/>
  <c r="P41" i="40"/>
  <c r="G40" i="40"/>
  <c r="F40" i="40"/>
  <c r="P39" i="40"/>
  <c r="G38" i="40"/>
  <c r="F38" i="40"/>
  <c r="P38" i="40" l="1"/>
  <c r="P40" i="40"/>
  <c r="P44" i="40"/>
  <c r="I59" i="40" s="1"/>
  <c r="P42" i="40"/>
  <c r="K57" i="40" s="1"/>
  <c r="D54" i="40" l="1"/>
  <c r="D53" i="40"/>
  <c r="L57" i="40"/>
  <c r="F57" i="40"/>
  <c r="G57" i="40"/>
  <c r="K59" i="40"/>
  <c r="J56" i="40"/>
  <c r="M55" i="40"/>
  <c r="I56" i="40"/>
  <c r="L55" i="40"/>
  <c r="K56" i="40"/>
  <c r="H56" i="40"/>
  <c r="K55" i="40"/>
  <c r="N56" i="40"/>
  <c r="I55" i="40"/>
  <c r="M56" i="40"/>
  <c r="H55" i="40"/>
  <c r="O55" i="40"/>
  <c r="N55" i="40"/>
  <c r="O56" i="40"/>
  <c r="G56" i="40"/>
  <c r="J55" i="40"/>
  <c r="F56" i="40"/>
  <c r="E56" i="40"/>
  <c r="L56" i="40"/>
  <c r="F55" i="40"/>
  <c r="N60" i="40"/>
  <c r="F60" i="40"/>
  <c r="M60" i="40"/>
  <c r="E60" i="40"/>
  <c r="J59" i="40"/>
  <c r="L60" i="40"/>
  <c r="O59" i="40"/>
  <c r="O60" i="40"/>
  <c r="K60" i="40"/>
  <c r="J60" i="40"/>
  <c r="I60" i="40"/>
  <c r="H60" i="40"/>
  <c r="G60" i="40"/>
  <c r="H59" i="40"/>
  <c r="H54" i="40"/>
  <c r="K53" i="40"/>
  <c r="K64" i="40" s="1"/>
  <c r="O54" i="40"/>
  <c r="G54" i="40"/>
  <c r="J53" i="40"/>
  <c r="L54" i="40"/>
  <c r="K54" i="40"/>
  <c r="K61" i="40" s="1"/>
  <c r="N54" i="40"/>
  <c r="N61" i="40" s="1"/>
  <c r="F54" i="40"/>
  <c r="I53" i="40"/>
  <c r="O53" i="40"/>
  <c r="O64" i="40" s="1"/>
  <c r="F53" i="40"/>
  <c r="F64" i="40" s="1"/>
  <c r="J54" i="40"/>
  <c r="E53" i="40"/>
  <c r="I54" i="40"/>
  <c r="M54" i="40"/>
  <c r="E54" i="40"/>
  <c r="H53" i="40"/>
  <c r="G53" i="40"/>
  <c r="N53" i="40"/>
  <c r="N64" i="40" s="1"/>
  <c r="M53" i="40"/>
  <c r="L53" i="40"/>
  <c r="G59" i="40"/>
  <c r="E59" i="40"/>
  <c r="N59" i="40"/>
  <c r="L59" i="40"/>
  <c r="M59" i="40"/>
  <c r="E55" i="40"/>
  <c r="L58" i="40"/>
  <c r="O57" i="40"/>
  <c r="N58" i="40"/>
  <c r="M58" i="40"/>
  <c r="K58" i="40"/>
  <c r="N57" i="40"/>
  <c r="J58" i="40"/>
  <c r="M57" i="40"/>
  <c r="E57" i="40"/>
  <c r="H58" i="40"/>
  <c r="O58" i="40"/>
  <c r="G58" i="40"/>
  <c r="I57" i="40"/>
  <c r="E58" i="40"/>
  <c r="I58" i="40"/>
  <c r="J57" i="40"/>
  <c r="F58" i="40"/>
  <c r="H57" i="40"/>
  <c r="F59" i="40"/>
  <c r="G55" i="40"/>
  <c r="D58" i="40"/>
  <c r="D57" i="40"/>
  <c r="D60" i="40"/>
  <c r="D59" i="40"/>
  <c r="D56" i="40"/>
  <c r="D55" i="40"/>
  <c r="M61" i="40" l="1"/>
  <c r="G64" i="40"/>
  <c r="L64" i="40"/>
  <c r="E64" i="40"/>
  <c r="L61" i="40"/>
  <c r="H61" i="40"/>
  <c r="D64" i="40"/>
  <c r="O61" i="40"/>
  <c r="H64" i="40"/>
  <c r="I64" i="40"/>
  <c r="M64" i="40"/>
  <c r="E61" i="40"/>
  <c r="J61" i="40"/>
  <c r="J64" i="40"/>
  <c r="I61" i="40"/>
  <c r="D61" i="40"/>
  <c r="G61" i="40"/>
  <c r="F61" i="40"/>
  <c r="P55" i="40"/>
  <c r="P59" i="40"/>
  <c r="P53" i="40"/>
  <c r="P57" i="40"/>
  <c r="P60" i="40"/>
  <c r="P58" i="40"/>
  <c r="P56" i="40"/>
  <c r="P54" i="40"/>
  <c r="P61" i="40" l="1"/>
  <c r="P64" i="40"/>
  <c r="AA81" i="47"/>
  <c r="AT68" i="47"/>
  <c r="AT67" i="47"/>
  <c r="AS81" i="47" l="1"/>
  <c r="AQ81" i="47"/>
  <c r="AO81" i="47"/>
  <c r="AN81" i="47"/>
  <c r="AM81" i="47"/>
  <c r="AL81" i="47"/>
  <c r="AK81" i="47"/>
  <c r="AJ81" i="47"/>
  <c r="AI81" i="47"/>
  <c r="AU77" i="47"/>
  <c r="AX77" i="47" s="1"/>
  <c r="BB77" i="47" s="1"/>
  <c r="AT55" i="47" l="1"/>
  <c r="AT81" i="47" s="1"/>
  <c r="AR55" i="47"/>
  <c r="AP55" i="47"/>
  <c r="B34" i="40"/>
  <c r="O65" i="40" l="1"/>
  <c r="O34" i="40" s="1"/>
  <c r="K65" i="40"/>
  <c r="K34" i="40" s="1"/>
  <c r="N62" i="40"/>
  <c r="N35" i="40" s="1"/>
  <c r="N65" i="40"/>
  <c r="N34" i="40" s="1"/>
  <c r="K62" i="40"/>
  <c r="K35" i="40" s="1"/>
  <c r="F65" i="40"/>
  <c r="F34" i="40" s="1"/>
  <c r="J65" i="40"/>
  <c r="J34" i="40" s="1"/>
  <c r="L62" i="40"/>
  <c r="L35" i="40" s="1"/>
  <c r="O62" i="40"/>
  <c r="O35" i="40" s="1"/>
  <c r="F62" i="40"/>
  <c r="F35" i="40" s="1"/>
  <c r="M65" i="40"/>
  <c r="M34" i="40" s="1"/>
  <c r="J62" i="40"/>
  <c r="J35" i="40" s="1"/>
  <c r="D62" i="40"/>
  <c r="G62" i="40"/>
  <c r="G35" i="40" s="1"/>
  <c r="L65" i="40"/>
  <c r="L34" i="40" s="1"/>
  <c r="H65" i="40"/>
  <c r="H34" i="40" s="1"/>
  <c r="E62" i="40"/>
  <c r="E35" i="40" s="1"/>
  <c r="E65" i="40"/>
  <c r="E34" i="40" s="1"/>
  <c r="I62" i="40"/>
  <c r="I35" i="40" s="1"/>
  <c r="M62" i="40"/>
  <c r="M35" i="40" s="1"/>
  <c r="G65" i="40"/>
  <c r="G34" i="40" s="1"/>
  <c r="D65" i="40"/>
  <c r="I65" i="40"/>
  <c r="I34" i="40" s="1"/>
  <c r="H62" i="40"/>
  <c r="H35" i="40" s="1"/>
  <c r="AP81" i="47"/>
  <c r="AR81" i="47"/>
  <c r="D34" i="40" l="1"/>
  <c r="P34" i="40" s="1"/>
  <c r="P65" i="40"/>
  <c r="D35" i="40"/>
  <c r="P62" i="40"/>
  <c r="P43" i="42"/>
  <c r="P42" i="42"/>
  <c r="A34" i="42"/>
  <c r="K7" i="46"/>
  <c r="J3" i="46"/>
  <c r="M59" i="42" l="1"/>
  <c r="E59" i="42"/>
  <c r="H58" i="42"/>
  <c r="L59" i="42"/>
  <c r="O58" i="42"/>
  <c r="G58" i="42"/>
  <c r="I59" i="42"/>
  <c r="O59" i="42"/>
  <c r="K59" i="42"/>
  <c r="N58" i="42"/>
  <c r="F58" i="42"/>
  <c r="H59" i="42"/>
  <c r="K58" i="42"/>
  <c r="D58" i="42"/>
  <c r="G59" i="42"/>
  <c r="N59" i="42"/>
  <c r="F59" i="42"/>
  <c r="J59" i="42"/>
  <c r="M58" i="42"/>
  <c r="E58" i="42"/>
  <c r="L58" i="42"/>
  <c r="D59" i="42"/>
  <c r="J58" i="42"/>
  <c r="I58" i="42"/>
  <c r="AR76" i="47"/>
  <c r="AR75" i="47"/>
  <c r="AP76" i="47"/>
  <c r="AP75" i="47"/>
  <c r="AN76" i="47"/>
  <c r="AN75" i="47"/>
  <c r="AS68" i="47"/>
  <c r="AS67" i="47"/>
  <c r="AR68" i="47"/>
  <c r="AR67" i="47"/>
  <c r="AQ68" i="47"/>
  <c r="AQ67" i="47"/>
  <c r="AP68" i="47"/>
  <c r="AP67" i="47"/>
  <c r="AO68" i="47"/>
  <c r="AO67" i="47"/>
  <c r="AN68" i="47"/>
  <c r="AN67" i="47"/>
  <c r="AM68" i="47"/>
  <c r="AM67" i="47"/>
  <c r="AB68" i="47"/>
  <c r="AB67" i="47"/>
  <c r="AT62" i="47"/>
  <c r="AS62" i="47"/>
  <c r="AR62" i="47"/>
  <c r="AQ62" i="47"/>
  <c r="AP62" i="47"/>
  <c r="AO62" i="47"/>
  <c r="AN62" i="47"/>
  <c r="AM62" i="47"/>
  <c r="AL62" i="47"/>
  <c r="AK62" i="47"/>
  <c r="AK82" i="47" s="1"/>
  <c r="AJ62" i="47"/>
  <c r="AI62" i="47"/>
  <c r="AT61" i="47"/>
  <c r="AS61" i="47"/>
  <c r="AR61" i="47"/>
  <c r="AQ61" i="47"/>
  <c r="AP61" i="47"/>
  <c r="AO61" i="47"/>
  <c r="AN61" i="47"/>
  <c r="AM61" i="47"/>
  <c r="AL61" i="47"/>
  <c r="AK61" i="47"/>
  <c r="AJ61" i="47"/>
  <c r="AI61" i="47"/>
  <c r="AB62" i="47"/>
  <c r="AB61" i="47"/>
  <c r="AT60" i="47"/>
  <c r="AT59" i="47"/>
  <c r="AN58" i="47"/>
  <c r="AN57" i="47"/>
  <c r="AT58" i="47"/>
  <c r="AT57" i="47"/>
  <c r="AS58" i="47"/>
  <c r="AS57" i="47"/>
  <c r="AR58" i="47"/>
  <c r="AR57" i="47"/>
  <c r="AQ58" i="47"/>
  <c r="AQ57" i="47"/>
  <c r="AP58" i="47"/>
  <c r="AP57" i="47"/>
  <c r="AO58" i="47"/>
  <c r="AO57" i="47"/>
  <c r="AB60" i="47"/>
  <c r="AB59" i="47"/>
  <c r="AA60" i="47"/>
  <c r="AB58" i="47"/>
  <c r="AA58" i="47"/>
  <c r="AB57" i="47"/>
  <c r="AT66" i="47"/>
  <c r="AT65" i="47"/>
  <c r="AS66" i="47"/>
  <c r="AS65" i="47"/>
  <c r="AR66" i="47"/>
  <c r="AR65" i="47"/>
  <c r="AQ66" i="47"/>
  <c r="AQ65" i="47"/>
  <c r="AP66" i="47"/>
  <c r="AP65" i="47"/>
  <c r="AO66" i="47"/>
  <c r="AO65" i="47"/>
  <c r="AN66" i="47"/>
  <c r="AN65" i="47"/>
  <c r="AM66" i="47"/>
  <c r="AM65" i="47"/>
  <c r="AL66" i="47"/>
  <c r="AL65" i="47"/>
  <c r="AK66" i="47"/>
  <c r="AK65" i="47"/>
  <c r="AJ66" i="47"/>
  <c r="AJ65" i="47"/>
  <c r="AI66" i="47"/>
  <c r="AI65" i="47"/>
  <c r="AB66" i="47"/>
  <c r="AB65" i="47"/>
  <c r="AA76" i="47"/>
  <c r="AA68" i="47"/>
  <c r="AA66" i="47"/>
  <c r="AA62" i="47"/>
  <c r="AT76" i="47"/>
  <c r="AJ76" i="47"/>
  <c r="AI76" i="47"/>
  <c r="AU60" i="47"/>
  <c r="AZ60" i="47" s="1"/>
  <c r="AU68" i="47" l="1"/>
  <c r="AZ68" i="47" s="1"/>
  <c r="AO82" i="47"/>
  <c r="AQ82" i="47"/>
  <c r="AS82" i="47"/>
  <c r="AN82" i="47"/>
  <c r="AL80" i="47"/>
  <c r="AL78" i="47"/>
  <c r="AL82" i="47"/>
  <c r="AM78" i="47"/>
  <c r="AM80" i="47"/>
  <c r="AM82" i="47"/>
  <c r="AU57" i="47"/>
  <c r="AN78" i="47"/>
  <c r="AN80" i="47"/>
  <c r="AK80" i="47"/>
  <c r="AK78" i="47"/>
  <c r="AA78" i="47"/>
  <c r="AP82" i="47"/>
  <c r="AR82" i="47"/>
  <c r="AU62" i="47"/>
  <c r="AZ62" i="47" s="1"/>
  <c r="AU55" i="47"/>
  <c r="AU81" i="47"/>
  <c r="AW81" i="47" s="1"/>
  <c r="AU76" i="47"/>
  <c r="AX76" i="47" s="1"/>
  <c r="AU58" i="47"/>
  <c r="AZ58" i="47" s="1"/>
  <c r="AU66" i="47"/>
  <c r="AZ66" i="47" s="1"/>
  <c r="AV60" i="47"/>
  <c r="AX60" i="47"/>
  <c r="BB60" i="47" s="1"/>
  <c r="AT69" i="47"/>
  <c r="AS69" i="47"/>
  <c r="AS78" i="47" s="1"/>
  <c r="AR69" i="47"/>
  <c r="AR78" i="47" s="1"/>
  <c r="AQ69" i="47"/>
  <c r="AQ80" i="47" s="1"/>
  <c r="AP69" i="47"/>
  <c r="AP80" i="47" s="1"/>
  <c r="AO69" i="47"/>
  <c r="AO78" i="47" s="1"/>
  <c r="AU61" i="47"/>
  <c r="AZ61" i="47" s="1"/>
  <c r="O24" i="42" l="1"/>
  <c r="AX68" i="47"/>
  <c r="BB68" i="47" s="1"/>
  <c r="AV68" i="47"/>
  <c r="AV62" i="47"/>
  <c r="AS80" i="47"/>
  <c r="AR80" i="47"/>
  <c r="AO80" i="47"/>
  <c r="AP78" i="47"/>
  <c r="AQ78" i="47"/>
  <c r="AX62" i="47"/>
  <c r="BB62" i="47" s="1"/>
  <c r="AX58" i="47"/>
  <c r="BB58" i="47" s="1"/>
  <c r="AV66" i="47"/>
  <c r="AV76" i="47"/>
  <c r="AZ76" i="47"/>
  <c r="BB76" i="47" s="1"/>
  <c r="AV58" i="47"/>
  <c r="AX66" i="47"/>
  <c r="BB66" i="47" s="1"/>
  <c r="AX61" i="47"/>
  <c r="BB61" i="47" s="1"/>
  <c r="AU53" i="47" l="1"/>
  <c r="AT6" i="47"/>
  <c r="AV61" i="47"/>
  <c r="AT3" i="47"/>
  <c r="AT4" i="47"/>
  <c r="AT5" i="47"/>
  <c r="AT8" i="47"/>
  <c r="AT9" i="47"/>
  <c r="AT10" i="47"/>
  <c r="AT11" i="47"/>
  <c r="AT12" i="47"/>
  <c r="AT13" i="47"/>
  <c r="AT14" i="47"/>
  <c r="AT15" i="47"/>
  <c r="AT16" i="47"/>
  <c r="AT17" i="47"/>
  <c r="AT18" i="47"/>
  <c r="AT19" i="47"/>
  <c r="AT20" i="47"/>
  <c r="AT21" i="47"/>
  <c r="AT22" i="47"/>
  <c r="AT23" i="47"/>
  <c r="AT24" i="47"/>
  <c r="AT25" i="47"/>
  <c r="AT26" i="47"/>
  <c r="AT27" i="47"/>
  <c r="AT28" i="47"/>
  <c r="AT29" i="47"/>
  <c r="AT30" i="47"/>
  <c r="AT31" i="47"/>
  <c r="AT32" i="47"/>
  <c r="AT33" i="47"/>
  <c r="AT34" i="47"/>
  <c r="AT35" i="47"/>
  <c r="AT36" i="47"/>
  <c r="AT37" i="47"/>
  <c r="AT38" i="47"/>
  <c r="AT39" i="47"/>
  <c r="AT40" i="47"/>
  <c r="AT41" i="47"/>
  <c r="AT42" i="47"/>
  <c r="AT43" i="47"/>
  <c r="AT44" i="47"/>
  <c r="AT45" i="47"/>
  <c r="AT46" i="47"/>
  <c r="AT47" i="47"/>
  <c r="AT48" i="47"/>
  <c r="AT49" i="47"/>
  <c r="AT50" i="47"/>
  <c r="AT51" i="47"/>
  <c r="AT52" i="47"/>
  <c r="AU54" i="47"/>
  <c r="AU59" i="47"/>
  <c r="AU71" i="47"/>
  <c r="AT73" i="47"/>
  <c r="AT74" i="47"/>
  <c r="AT75" i="47"/>
  <c r="AT2" i="47"/>
  <c r="AU56" i="47"/>
  <c r="AU63" i="47"/>
  <c r="AU64" i="47"/>
  <c r="AU67" i="47"/>
  <c r="AU69" i="47"/>
  <c r="AU70" i="47"/>
  <c r="AJ3" i="47"/>
  <c r="AJ4" i="47"/>
  <c r="AJ5" i="47"/>
  <c r="AJ6" i="47"/>
  <c r="AJ7" i="47"/>
  <c r="AU7" i="47" s="1"/>
  <c r="AJ8" i="47"/>
  <c r="AJ9" i="47"/>
  <c r="AJ10" i="47"/>
  <c r="AJ11" i="47"/>
  <c r="AJ12" i="47"/>
  <c r="AJ13" i="47"/>
  <c r="AJ14" i="47"/>
  <c r="AJ15" i="47"/>
  <c r="AJ16" i="47"/>
  <c r="AJ17" i="47"/>
  <c r="AJ18" i="47"/>
  <c r="AJ19" i="47"/>
  <c r="AJ20" i="47"/>
  <c r="AJ21" i="47"/>
  <c r="AJ22" i="47"/>
  <c r="AJ23" i="47"/>
  <c r="AJ24" i="47"/>
  <c r="AJ25" i="47"/>
  <c r="AJ26" i="47"/>
  <c r="AJ27" i="47"/>
  <c r="AJ28" i="47"/>
  <c r="AJ29" i="47"/>
  <c r="AJ30" i="47"/>
  <c r="AJ31" i="47"/>
  <c r="AJ32" i="47"/>
  <c r="AJ33" i="47"/>
  <c r="AJ34" i="47"/>
  <c r="AJ35" i="47"/>
  <c r="AJ36" i="47"/>
  <c r="AJ37" i="47"/>
  <c r="AJ38" i="47"/>
  <c r="AJ39" i="47"/>
  <c r="AJ40" i="47"/>
  <c r="AJ41" i="47"/>
  <c r="AJ42" i="47"/>
  <c r="AJ43" i="47"/>
  <c r="AJ44" i="47"/>
  <c r="AJ45" i="47"/>
  <c r="AJ46" i="47"/>
  <c r="AJ47" i="47"/>
  <c r="AJ48" i="47"/>
  <c r="AJ49" i="47"/>
  <c r="AJ50" i="47"/>
  <c r="AJ51" i="47"/>
  <c r="AJ52" i="47"/>
  <c r="AJ73" i="47"/>
  <c r="AJ74" i="47"/>
  <c r="AJ75" i="47"/>
  <c r="AJ2" i="47"/>
  <c r="AI3" i="47"/>
  <c r="AI4" i="47"/>
  <c r="AI5" i="47"/>
  <c r="AI8" i="47"/>
  <c r="AI9" i="47"/>
  <c r="AI10" i="47"/>
  <c r="AI11" i="47"/>
  <c r="AI12" i="47"/>
  <c r="AI13" i="47"/>
  <c r="AI14" i="47"/>
  <c r="AI15" i="47"/>
  <c r="AI16" i="47"/>
  <c r="AI17" i="47"/>
  <c r="AI18" i="47"/>
  <c r="AI19" i="47"/>
  <c r="AI20" i="47"/>
  <c r="AI21" i="47"/>
  <c r="AI22" i="47"/>
  <c r="AI23" i="47"/>
  <c r="AI24" i="47"/>
  <c r="AI25" i="47"/>
  <c r="AI26" i="47"/>
  <c r="AI27" i="47"/>
  <c r="AI28" i="47"/>
  <c r="AI29" i="47"/>
  <c r="AI30" i="47"/>
  <c r="AI31" i="47"/>
  <c r="AI32" i="47"/>
  <c r="AI33" i="47"/>
  <c r="AI34" i="47"/>
  <c r="AI35" i="47"/>
  <c r="AI36" i="47"/>
  <c r="AI37" i="47"/>
  <c r="AI38" i="47"/>
  <c r="AI39" i="47"/>
  <c r="AI40" i="47"/>
  <c r="AI41" i="47"/>
  <c r="AI42" i="47"/>
  <c r="AI43" i="47"/>
  <c r="AI44" i="47"/>
  <c r="AI45" i="47"/>
  <c r="AI46" i="47"/>
  <c r="AI47" i="47"/>
  <c r="AI48" i="47"/>
  <c r="AI49" i="47"/>
  <c r="AI50" i="47"/>
  <c r="AI51" i="47"/>
  <c r="AI52" i="47"/>
  <c r="AU72" i="47"/>
  <c r="AI73" i="47"/>
  <c r="AI74" i="47"/>
  <c r="AI75" i="47"/>
  <c r="AI2" i="47"/>
  <c r="A56" i="42"/>
  <c r="J6" i="46"/>
  <c r="J5" i="46"/>
  <c r="J4" i="46"/>
  <c r="AC24" i="41"/>
  <c r="A30" i="40"/>
  <c r="A30" i="42"/>
  <c r="A30" i="41"/>
  <c r="B51" i="43"/>
  <c r="AC24" i="43"/>
  <c r="AD25" i="43" s="1"/>
  <c r="AC23" i="43"/>
  <c r="P23" i="43"/>
  <c r="P45" i="42"/>
  <c r="P44" i="42"/>
  <c r="P47" i="42"/>
  <c r="P46" i="42"/>
  <c r="P41" i="42"/>
  <c r="P40" i="42"/>
  <c r="P39" i="42"/>
  <c r="P38" i="42"/>
  <c r="P30" i="42"/>
  <c r="O25" i="42"/>
  <c r="P25" i="42" s="1"/>
  <c r="AC24" i="42"/>
  <c r="AD25" i="42" s="1"/>
  <c r="O23" i="42"/>
  <c r="P23" i="42" s="1"/>
  <c r="AC22" i="42"/>
  <c r="AD23" i="42" s="1"/>
  <c r="O22" i="42"/>
  <c r="P30" i="41"/>
  <c r="AC25" i="41"/>
  <c r="AD25" i="41" s="1"/>
  <c r="O25" i="41"/>
  <c r="O24" i="41"/>
  <c r="AC23" i="41"/>
  <c r="P23" i="41"/>
  <c r="AC22" i="41"/>
  <c r="O23" i="40"/>
  <c r="P23" i="40" s="1"/>
  <c r="AC24" i="40"/>
  <c r="AC22" i="40"/>
  <c r="O25" i="40"/>
  <c r="O24" i="40"/>
  <c r="O22" i="40"/>
  <c r="P35" i="40"/>
  <c r="P30" i="40"/>
  <c r="P28" i="1"/>
  <c r="P24" i="1"/>
  <c r="P29" i="1"/>
  <c r="P32" i="1"/>
  <c r="P34" i="1"/>
  <c r="P35" i="1"/>
  <c r="P36" i="1"/>
  <c r="P37" i="1"/>
  <c r="P38" i="1"/>
  <c r="P39" i="1"/>
  <c r="N4" i="20"/>
  <c r="N3" i="20"/>
  <c r="F8" i="20"/>
  <c r="F7" i="20"/>
  <c r="J7" i="20"/>
  <c r="J6" i="20"/>
  <c r="J5" i="20"/>
  <c r="J4" i="20"/>
  <c r="J3" i="20"/>
  <c r="F6" i="20"/>
  <c r="F5" i="20"/>
  <c r="F4" i="20"/>
  <c r="F3" i="20"/>
  <c r="P33" i="1"/>
  <c r="AD23" i="43" l="1"/>
  <c r="AI83" i="47"/>
  <c r="O61" i="42"/>
  <c r="G61" i="42"/>
  <c r="J60" i="42"/>
  <c r="I61" i="42"/>
  <c r="N61" i="42"/>
  <c r="F61" i="42"/>
  <c r="I60" i="42"/>
  <c r="K61" i="42"/>
  <c r="F60" i="42"/>
  <c r="H61" i="42"/>
  <c r="M61" i="42"/>
  <c r="E61" i="42"/>
  <c r="H60" i="42"/>
  <c r="D61" i="42"/>
  <c r="M60" i="42"/>
  <c r="L61" i="42"/>
  <c r="O60" i="42"/>
  <c r="G60" i="42"/>
  <c r="D60" i="42"/>
  <c r="N60" i="42"/>
  <c r="J61" i="42"/>
  <c r="E60" i="42"/>
  <c r="L60" i="42"/>
  <c r="K60" i="42"/>
  <c r="D55" i="42"/>
  <c r="I55" i="42"/>
  <c r="L54" i="42"/>
  <c r="H55" i="42"/>
  <c r="K54" i="42"/>
  <c r="M55" i="42"/>
  <c r="N54" i="42"/>
  <c r="O55" i="42"/>
  <c r="G55" i="42"/>
  <c r="J54" i="42"/>
  <c r="O54" i="42"/>
  <c r="K55" i="42"/>
  <c r="D54" i="42"/>
  <c r="J55" i="42"/>
  <c r="N55" i="42"/>
  <c r="F55" i="42"/>
  <c r="I54" i="42"/>
  <c r="E55" i="42"/>
  <c r="H54" i="42"/>
  <c r="L55" i="42"/>
  <c r="G54" i="42"/>
  <c r="F54" i="42"/>
  <c r="M54" i="42"/>
  <c r="E54" i="42"/>
  <c r="K57" i="42"/>
  <c r="N56" i="42"/>
  <c r="F56" i="42"/>
  <c r="J57" i="42"/>
  <c r="M56" i="42"/>
  <c r="E56" i="42"/>
  <c r="O57" i="42"/>
  <c r="I56" i="42"/>
  <c r="M57" i="42"/>
  <c r="G56" i="42"/>
  <c r="I57" i="42"/>
  <c r="L56" i="42"/>
  <c r="F57" i="42"/>
  <c r="E57" i="42"/>
  <c r="D57" i="42"/>
  <c r="L57" i="42"/>
  <c r="D56" i="42"/>
  <c r="H57" i="42"/>
  <c r="K56" i="42"/>
  <c r="G57" i="42"/>
  <c r="J56" i="42"/>
  <c r="N57" i="42"/>
  <c r="H56" i="42"/>
  <c r="O56" i="42"/>
  <c r="I63" i="42"/>
  <c r="L62" i="42"/>
  <c r="D63" i="42"/>
  <c r="M62" i="42"/>
  <c r="H63" i="42"/>
  <c r="K62" i="42"/>
  <c r="D62" i="42"/>
  <c r="M63" i="42"/>
  <c r="E63" i="42"/>
  <c r="H62" i="42"/>
  <c r="O62" i="42"/>
  <c r="K63" i="42"/>
  <c r="F62" i="42"/>
  <c r="O63" i="42"/>
  <c r="G63" i="42"/>
  <c r="J62" i="42"/>
  <c r="G62" i="42"/>
  <c r="E62" i="42"/>
  <c r="N63" i="42"/>
  <c r="F63" i="42"/>
  <c r="I62" i="42"/>
  <c r="L63" i="42"/>
  <c r="N62" i="42"/>
  <c r="J63" i="42"/>
  <c r="AJ83" i="47"/>
  <c r="AT83" i="47"/>
  <c r="AI78" i="47"/>
  <c r="AJ78" i="47"/>
  <c r="AT78" i="47"/>
  <c r="J7" i="46"/>
  <c r="AI82" i="47"/>
  <c r="AJ82" i="47"/>
  <c r="AT82" i="47"/>
  <c r="AI80" i="47"/>
  <c r="AJ80" i="47"/>
  <c r="AT80" i="47"/>
  <c r="AU51" i="47"/>
  <c r="AZ51" i="47" s="1"/>
  <c r="BB51" i="47" s="1"/>
  <c r="AU47" i="47"/>
  <c r="AZ47" i="47" s="1"/>
  <c r="BB47" i="47" s="1"/>
  <c r="AU43" i="47"/>
  <c r="AZ43" i="47" s="1"/>
  <c r="BB43" i="47" s="1"/>
  <c r="AU39" i="47"/>
  <c r="AV39" i="47" s="1"/>
  <c r="AU35" i="47"/>
  <c r="AZ35" i="47" s="1"/>
  <c r="BB35" i="47" s="1"/>
  <c r="AU31" i="47"/>
  <c r="AX31" i="47" s="1"/>
  <c r="BB31" i="47" s="1"/>
  <c r="AU27" i="47"/>
  <c r="AX27" i="47" s="1"/>
  <c r="BB27" i="47" s="1"/>
  <c r="AU23" i="47"/>
  <c r="AV23" i="47" s="1"/>
  <c r="AU19" i="47"/>
  <c r="AX19" i="47" s="1"/>
  <c r="BB19" i="47" s="1"/>
  <c r="AU15" i="47"/>
  <c r="AX15" i="47" s="1"/>
  <c r="BB15" i="47" s="1"/>
  <c r="AU11" i="47"/>
  <c r="AX11" i="47" s="1"/>
  <c r="BB11" i="47" s="1"/>
  <c r="AU4" i="47"/>
  <c r="AX4" i="47" s="1"/>
  <c r="BB4" i="47" s="1"/>
  <c r="AU49" i="47"/>
  <c r="AZ49" i="47" s="1"/>
  <c r="BB49" i="47" s="1"/>
  <c r="AU45" i="47"/>
  <c r="AZ45" i="47" s="1"/>
  <c r="BB45" i="47" s="1"/>
  <c r="AU41" i="47"/>
  <c r="AZ41" i="47" s="1"/>
  <c r="BB41" i="47" s="1"/>
  <c r="AU37" i="47"/>
  <c r="AZ37" i="47" s="1"/>
  <c r="BB37" i="47" s="1"/>
  <c r="AU33" i="47"/>
  <c r="AZ33" i="47" s="1"/>
  <c r="BB33" i="47" s="1"/>
  <c r="AU29" i="47"/>
  <c r="AX29" i="47" s="1"/>
  <c r="BB29" i="47" s="1"/>
  <c r="AU25" i="47"/>
  <c r="AX25" i="47" s="1"/>
  <c r="BB25" i="47" s="1"/>
  <c r="AU21" i="47"/>
  <c r="AX21" i="47" s="1"/>
  <c r="BB21" i="47" s="1"/>
  <c r="AU17" i="47"/>
  <c r="AX17" i="47" s="1"/>
  <c r="BB17" i="47" s="1"/>
  <c r="AU13" i="47"/>
  <c r="AX13" i="47" s="1"/>
  <c r="BB13" i="47" s="1"/>
  <c r="AU9" i="47"/>
  <c r="AX9" i="47" s="1"/>
  <c r="BB9" i="47" s="1"/>
  <c r="AU3" i="47"/>
  <c r="AX3" i="47" s="1"/>
  <c r="BB3" i="47" s="1"/>
  <c r="AU52" i="47"/>
  <c r="AZ52" i="47" s="1"/>
  <c r="BB52" i="47" s="1"/>
  <c r="AU48" i="47"/>
  <c r="AZ48" i="47" s="1"/>
  <c r="BB48" i="47" s="1"/>
  <c r="AU44" i="47"/>
  <c r="AV44" i="47" s="1"/>
  <c r="AU40" i="47"/>
  <c r="AV40" i="47" s="1"/>
  <c r="AU36" i="47"/>
  <c r="AZ36" i="47" s="1"/>
  <c r="BB36" i="47" s="1"/>
  <c r="AU32" i="47"/>
  <c r="AZ32" i="47" s="1"/>
  <c r="BB32" i="47" s="1"/>
  <c r="AU28" i="47"/>
  <c r="AX28" i="47" s="1"/>
  <c r="BB28" i="47" s="1"/>
  <c r="AU24" i="47"/>
  <c r="AV24" i="47" s="1"/>
  <c r="AU20" i="47"/>
  <c r="AX20" i="47" s="1"/>
  <c r="BB20" i="47" s="1"/>
  <c r="AU16" i="47"/>
  <c r="AX16" i="47" s="1"/>
  <c r="BB16" i="47" s="1"/>
  <c r="AU12" i="47"/>
  <c r="AV12" i="47" s="1"/>
  <c r="AU8" i="47"/>
  <c r="AV8" i="47" s="1"/>
  <c r="AU73" i="47"/>
  <c r="AV73" i="47" s="1"/>
  <c r="AU74" i="47"/>
  <c r="BA74" i="47" s="1"/>
  <c r="BB74" i="47" s="1"/>
  <c r="AU5" i="47"/>
  <c r="AX5" i="47" s="1"/>
  <c r="BB5" i="47" s="1"/>
  <c r="AV7" i="47"/>
  <c r="AX7" i="47"/>
  <c r="BB7" i="47" s="1"/>
  <c r="AV70" i="47"/>
  <c r="AZ70" i="47"/>
  <c r="BB70" i="47" s="1"/>
  <c r="AV69" i="47"/>
  <c r="AX69" i="47"/>
  <c r="BB69" i="47" s="1"/>
  <c r="AV57" i="47"/>
  <c r="AZ57" i="47"/>
  <c r="AX57" i="47"/>
  <c r="AV71" i="47"/>
  <c r="AX71" i="47"/>
  <c r="BB71" i="47" s="1"/>
  <c r="AV63" i="47"/>
  <c r="AX63" i="47"/>
  <c r="BB63" i="47" s="1"/>
  <c r="AV53" i="47"/>
  <c r="AX53" i="47"/>
  <c r="BB53" i="47" s="1"/>
  <c r="AU2" i="47"/>
  <c r="AV67" i="47"/>
  <c r="AX67" i="47"/>
  <c r="AZ67" i="47"/>
  <c r="AV56" i="47"/>
  <c r="AX56" i="47"/>
  <c r="BB56" i="47" s="1"/>
  <c r="AU75" i="47"/>
  <c r="AV59" i="47"/>
  <c r="AZ59" i="47"/>
  <c r="AX59" i="47"/>
  <c r="AU50" i="47"/>
  <c r="AU46" i="47"/>
  <c r="AU42" i="47"/>
  <c r="AU38" i="47"/>
  <c r="AU34" i="47"/>
  <c r="AU30" i="47"/>
  <c r="AU26" i="47"/>
  <c r="AU22" i="47"/>
  <c r="AU18" i="47"/>
  <c r="AU14" i="47"/>
  <c r="AU10" i="47"/>
  <c r="AV72" i="47"/>
  <c r="BA72" i="47"/>
  <c r="BB72" i="47" s="1"/>
  <c r="AV64" i="47"/>
  <c r="AX64" i="47"/>
  <c r="BB64" i="47" s="1"/>
  <c r="AV54" i="47"/>
  <c r="AX54" i="47"/>
  <c r="BB54" i="47" s="1"/>
  <c r="AU6" i="47"/>
  <c r="AU65" i="47"/>
  <c r="E67" i="42" l="1"/>
  <c r="E68" i="42" s="1"/>
  <c r="E34" i="42" s="1"/>
  <c r="D64" i="42"/>
  <c r="D65" i="42" s="1"/>
  <c r="D35" i="42" s="1"/>
  <c r="M67" i="42"/>
  <c r="M68" i="42" s="1"/>
  <c r="M34" i="42" s="1"/>
  <c r="H67" i="42"/>
  <c r="H68" i="42" s="1"/>
  <c r="H34" i="42" s="1"/>
  <c r="N64" i="42"/>
  <c r="N65" i="42" s="1"/>
  <c r="O67" i="42"/>
  <c r="O68" i="42" s="1"/>
  <c r="O34" i="42" s="1"/>
  <c r="N67" i="42"/>
  <c r="N68" i="42" s="1"/>
  <c r="N34" i="42" s="1"/>
  <c r="L67" i="42"/>
  <c r="L68" i="42" s="1"/>
  <c r="L34" i="42" s="1"/>
  <c r="F67" i="42"/>
  <c r="F68" i="42" s="1"/>
  <c r="F34" i="42" s="1"/>
  <c r="J64" i="42"/>
  <c r="J65" i="42" s="1"/>
  <c r="J67" i="42"/>
  <c r="J68" i="42" s="1"/>
  <c r="J34" i="42" s="1"/>
  <c r="M64" i="42"/>
  <c r="M65" i="42" s="1"/>
  <c r="G67" i="42"/>
  <c r="G68" i="42" s="1"/>
  <c r="G34" i="42" s="1"/>
  <c r="I67" i="42"/>
  <c r="I68" i="42" s="1"/>
  <c r="I34" i="42" s="1"/>
  <c r="D67" i="42"/>
  <c r="K67" i="42"/>
  <c r="K68" i="42" s="1"/>
  <c r="K34" i="42" s="1"/>
  <c r="P63" i="42"/>
  <c r="L64" i="42"/>
  <c r="L65" i="42" s="1"/>
  <c r="K64" i="42"/>
  <c r="K65" i="42" s="1"/>
  <c r="H64" i="42"/>
  <c r="H65" i="42" s="1"/>
  <c r="E64" i="42"/>
  <c r="E65" i="42" s="1"/>
  <c r="I64" i="42"/>
  <c r="I65" i="42" s="1"/>
  <c r="P62" i="42"/>
  <c r="G64" i="42"/>
  <c r="G65" i="42" s="1"/>
  <c r="AZ39" i="47"/>
  <c r="BB39" i="47" s="1"/>
  <c r="F64" i="42"/>
  <c r="F65" i="42" s="1"/>
  <c r="F35" i="42" s="1"/>
  <c r="O64" i="42"/>
  <c r="O65" i="42" s="1"/>
  <c r="AU83" i="47"/>
  <c r="AW83" i="47" s="1"/>
  <c r="AU78" i="47"/>
  <c r="AX23" i="47"/>
  <c r="BB23" i="47" s="1"/>
  <c r="AU80" i="47"/>
  <c r="AV17" i="47"/>
  <c r="AV33" i="47"/>
  <c r="BA73" i="47"/>
  <c r="BB73" i="47" s="1"/>
  <c r="P60" i="42"/>
  <c r="P59" i="42"/>
  <c r="P58" i="42"/>
  <c r="P61" i="42"/>
  <c r="P56" i="42"/>
  <c r="P55" i="42"/>
  <c r="P57" i="42"/>
  <c r="AV27" i="47"/>
  <c r="AV11" i="47"/>
  <c r="AV15" i="47"/>
  <c r="AV19" i="47"/>
  <c r="AV35" i="47"/>
  <c r="AU82" i="47"/>
  <c r="AW82" i="47" s="1"/>
  <c r="AX8" i="47"/>
  <c r="BB8" i="47" s="1"/>
  <c r="AV37" i="47"/>
  <c r="AZ40" i="47"/>
  <c r="BB40" i="47" s="1"/>
  <c r="AV31" i="47"/>
  <c r="AV43" i="47"/>
  <c r="AV47" i="47"/>
  <c r="AV51" i="47"/>
  <c r="AV4" i="47"/>
  <c r="AV21" i="47"/>
  <c r="AX24" i="47"/>
  <c r="BB24" i="47" s="1"/>
  <c r="AZ44" i="47"/>
  <c r="BB44" i="47" s="1"/>
  <c r="AV32" i="47"/>
  <c r="AV48" i="47"/>
  <c r="AV13" i="47"/>
  <c r="AV25" i="47"/>
  <c r="AX12" i="47"/>
  <c r="BB12" i="47" s="1"/>
  <c r="AV28" i="47"/>
  <c r="AV9" i="47"/>
  <c r="AV41" i="47"/>
  <c r="AV16" i="47"/>
  <c r="AV45" i="47"/>
  <c r="AV49" i="47"/>
  <c r="AV20" i="47"/>
  <c r="AV36" i="47"/>
  <c r="AV52" i="47"/>
  <c r="AV3" i="47"/>
  <c r="AV29" i="47"/>
  <c r="AZ75" i="47"/>
  <c r="AV75" i="47"/>
  <c r="AV5" i="47"/>
  <c r="AV74" i="47"/>
  <c r="BB67" i="47"/>
  <c r="BB59" i="47"/>
  <c r="AV6" i="47"/>
  <c r="AX6" i="47"/>
  <c r="BB6" i="47" s="1"/>
  <c r="AX18" i="47"/>
  <c r="BB18" i="47" s="1"/>
  <c r="AV18" i="47"/>
  <c r="AZ34" i="47"/>
  <c r="BB34" i="47" s="1"/>
  <c r="AV34" i="47"/>
  <c r="AZ50" i="47"/>
  <c r="BB50" i="47" s="1"/>
  <c r="AV50" i="47"/>
  <c r="AX75" i="47"/>
  <c r="AX22" i="47"/>
  <c r="BB22" i="47" s="1"/>
  <c r="AV22" i="47"/>
  <c r="AZ38" i="47"/>
  <c r="BB38" i="47" s="1"/>
  <c r="AV38" i="47"/>
  <c r="AV55" i="47"/>
  <c r="AY55" i="47"/>
  <c r="BB55" i="47" s="1"/>
  <c r="AX10" i="47"/>
  <c r="BB10" i="47" s="1"/>
  <c r="AV10" i="47"/>
  <c r="AX26" i="47"/>
  <c r="BB26" i="47" s="1"/>
  <c r="AV26" i="47"/>
  <c r="AZ42" i="47"/>
  <c r="BB42" i="47" s="1"/>
  <c r="AV42" i="47"/>
  <c r="AV65" i="47"/>
  <c r="AZ65" i="47"/>
  <c r="AX65" i="47"/>
  <c r="AX14" i="47"/>
  <c r="BB14" i="47" s="1"/>
  <c r="AV14" i="47"/>
  <c r="AX30" i="47"/>
  <c r="BB30" i="47" s="1"/>
  <c r="AV30" i="47"/>
  <c r="AZ46" i="47"/>
  <c r="BB46" i="47" s="1"/>
  <c r="AV46" i="47"/>
  <c r="AV2" i="47"/>
  <c r="AX2" i="47"/>
  <c r="BB2" i="47" s="1"/>
  <c r="BB57" i="47"/>
  <c r="P54" i="42"/>
  <c r="O35" i="42" l="1"/>
  <c r="Z4" i="50" s="1"/>
  <c r="Z5" i="50" s="1"/>
  <c r="I35" i="42"/>
  <c r="T4" i="50" s="1"/>
  <c r="T5" i="50" s="1"/>
  <c r="H35" i="42"/>
  <c r="S4" i="50" s="1"/>
  <c r="S5" i="50" s="1"/>
  <c r="AL14" i="36" s="1"/>
  <c r="K35" i="42"/>
  <c r="V4" i="50" s="1"/>
  <c r="V5" i="50" s="1"/>
  <c r="L35" i="42"/>
  <c r="W4" i="50" s="1"/>
  <c r="W5" i="50" s="1"/>
  <c r="M35" i="42"/>
  <c r="X4" i="50" s="1"/>
  <c r="X5" i="50" s="1"/>
  <c r="J35" i="42"/>
  <c r="N35" i="42"/>
  <c r="G35" i="42"/>
  <c r="J4" i="50" s="1"/>
  <c r="J5" i="50" s="1"/>
  <c r="O4" i="50"/>
  <c r="Q4" i="50"/>
  <c r="P65" i="42"/>
  <c r="E35" i="42"/>
  <c r="I4" i="50" s="1"/>
  <c r="I5" i="50" s="1"/>
  <c r="D68" i="42"/>
  <c r="P67" i="42"/>
  <c r="AW80" i="47"/>
  <c r="P64" i="42"/>
  <c r="BB65" i="47"/>
  <c r="BB75" i="47"/>
  <c r="P35" i="42" l="1"/>
  <c r="L4" i="50"/>
  <c r="L5" i="50" s="1"/>
  <c r="Y4" i="50"/>
  <c r="Y5" i="50" s="1"/>
  <c r="K4" i="50"/>
  <c r="K5" i="50" s="1"/>
  <c r="U4" i="50"/>
  <c r="U5" i="50" s="1"/>
  <c r="R4" i="50"/>
  <c r="R5" i="50" s="1"/>
  <c r="AK14" i="36" s="1"/>
  <c r="Q5" i="50"/>
  <c r="AJ14" i="36" s="1"/>
  <c r="P4" i="50"/>
  <c r="P5" i="50" s="1"/>
  <c r="AI14" i="36" s="1"/>
  <c r="O5" i="50"/>
  <c r="AH14" i="36" s="1"/>
  <c r="D34" i="42"/>
  <c r="P34" i="42" s="1"/>
  <c r="P68" i="42"/>
  <c r="BB78" i="47"/>
  <c r="M4" i="50" l="1"/>
  <c r="M5" i="50" s="1"/>
  <c r="AA4" i="50"/>
  <c r="AT14" i="36" l="1"/>
  <c r="AU14" i="36" s="1"/>
  <c r="AA5" i="50"/>
  <c r="BA47" i="48"/>
  <c r="BC47" i="48"/>
  <c r="BB47" i="48"/>
  <c r="BD47" i="4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tc={15F6D739-AFC6-4720-8C41-E8BE9D98CD43}</author>
    <author>Microsoft Office User</author>
    <author/>
    <author>ANGELA MARCELA FORERO RUIZ</author>
    <author>Angela Marcela Forero Ruiz</author>
  </authors>
  <commentList>
    <comment ref="O24" authorId="0" shapeId="0" xr:uid="{15F6D739-AFC6-4720-8C41-E8BE9D98CD43}">
      <text>
        <t>[Comentario encadenado]
Su versión de Excel le permite leer este comentario encadenado; sin embargo, las ediciones que se apliquen se quitarán si el archivo se abre en una versión más reciente de Excel. Más información: https://go.microsoft.com/fwlink/?linkid=870924
Comentario:
    En mayo se restan $4,167,765 asociados a la liberación del contrato 163-2020 con ETB.
En abril se restan $4.759.996, asociados a la liberación del contrato con PANAMERICANA.</t>
      </text>
    </comment>
    <comment ref="C32" authorId="1" shapeId="0" xr:uid="{6CC41929-07AB-4125-9343-3E4DFC677F4B}">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42F348B3-4548-4EFF-A7AD-1329BA273A16}">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A9CD4C9C-5A87-4DF6-88F8-AC34128ED747}">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Q34" authorId="3" shapeId="0" xr:uid="{64BA38B5-70AD-49D4-B01E-12E7DAE0468D}">
      <text>
        <r>
          <rPr>
            <b/>
            <sz val="10"/>
            <color indexed="81"/>
            <rFont val="Tahoma"/>
            <family val="2"/>
          </rPr>
          <t>ANGELA MARCELA FORERO RUIZ:</t>
        </r>
        <r>
          <rPr>
            <sz val="10"/>
            <color indexed="81"/>
            <rFont val="Tahoma"/>
            <family val="2"/>
          </rPr>
          <t xml:space="preserve">
Se ajusta el número de mujeres del curso o. Manejo office Excel 2016 que registraba 4 mujeres y son 7</t>
        </r>
      </text>
    </comment>
    <comment ref="W34" authorId="4" shapeId="0" xr:uid="{C7FB6B3A-9D5A-419D-ADB2-B2BCFDCDD9B6}">
      <text>
        <r>
          <rPr>
            <b/>
            <sz val="10"/>
            <color indexed="81"/>
            <rFont val="Tahoma"/>
            <family val="2"/>
          </rPr>
          <t>Angela Marcela Forero Ruiz:</t>
        </r>
        <r>
          <rPr>
            <sz val="10"/>
            <color indexed="81"/>
            <rFont val="Tahoma"/>
            <family val="2"/>
          </rPr>
          <t xml:space="preserve">
Incluir el retraso de la ctividad 5 cuyo avance programado a la fecha es del 80% y el avance real es del 65%</t>
        </r>
      </text>
    </comment>
    <comment ref="Q40" authorId="3" shapeId="0" xr:uid="{A488D207-BD4B-42D8-9070-3B3785DCE41A}">
      <text>
        <r>
          <rPr>
            <b/>
            <sz val="10"/>
            <color indexed="81"/>
            <rFont val="Tahoma"/>
            <family val="2"/>
          </rPr>
          <t>ANGELA MARCELA FORERO RUIZ:</t>
        </r>
        <r>
          <rPr>
            <sz val="10"/>
            <color indexed="81"/>
            <rFont val="Tahoma"/>
            <family val="2"/>
          </rPr>
          <t xml:space="preserve">
Ajustar redacción que incluya el mes de mayo en la frase resaltada, dado que abajo en la letra b se menciona el avance de mayo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1CFF4DFD-8C56-4667-A644-C0D794841ED3}">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8471B7C-AD44-4AEB-8E36-2A663B431B3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EE564F65-072E-472B-B248-B6BBD4DA6256}">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Microsoft Office User</author>
    <author/>
  </authors>
  <commentList>
    <comment ref="W17" authorId="0" shapeId="0" xr:uid="{D8D301C1-600F-4C0C-A5AE-D730FA6EC8BA}">
      <text>
        <r>
          <rPr>
            <b/>
            <sz val="9"/>
            <color indexed="81"/>
            <rFont val="Tahoma"/>
            <family val="2"/>
          </rPr>
          <t>ANGELA MARCELA FORERO RUIZ:</t>
        </r>
        <r>
          <rPr>
            <sz val="9"/>
            <color indexed="81"/>
            <rFont val="Tahoma"/>
            <family val="2"/>
          </rPr>
          <t xml:space="preserve">
Se ajusta la meta a 0,2 (no 2 como figuraba)</t>
        </r>
      </text>
    </comment>
    <comment ref="C32" authorId="1" shapeId="0" xr:uid="{00000000-0006-0000-01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1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1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D34" authorId="0" shapeId="0" xr:uid="{618A8AA9-BD32-4EB4-AEC7-1805AB7BB2F3}">
      <text>
        <r>
          <rPr>
            <b/>
            <sz val="9"/>
            <color indexed="81"/>
            <rFont val="Tahoma"/>
            <family val="2"/>
          </rPr>
          <t>ANGELA MARCELA FORERO RUIZ:</t>
        </r>
        <r>
          <rPr>
            <sz val="9"/>
            <color indexed="81"/>
            <rFont val="Tahoma"/>
            <family val="2"/>
          </rPr>
          <t xml:space="preserve">
No está trayendo la meta programada</t>
        </r>
      </text>
    </comment>
    <comment ref="E34" authorId="0" shapeId="0" xr:uid="{509C41C9-1714-4527-BD07-5C192AABFB4E}">
      <text>
        <r>
          <rPr>
            <b/>
            <sz val="9"/>
            <color indexed="81"/>
            <rFont val="Tahoma"/>
            <family val="2"/>
          </rPr>
          <t>ANGELA MARCELA FORERO RUIZ:</t>
        </r>
        <r>
          <rPr>
            <sz val="9"/>
            <color indexed="81"/>
            <rFont val="Tahoma"/>
            <family val="2"/>
          </rPr>
          <t xml:space="preserve">
No está trayendo la meta programada</t>
        </r>
      </text>
    </comment>
    <comment ref="F34" authorId="0" shapeId="0" xr:uid="{BB5FD17C-3AD9-4FF2-A9D6-F58B8379460D}">
      <text>
        <r>
          <rPr>
            <b/>
            <sz val="9"/>
            <color indexed="81"/>
            <rFont val="Tahoma"/>
            <family val="2"/>
          </rPr>
          <t>ANGELA MARCELA FORERO RUIZ:</t>
        </r>
        <r>
          <rPr>
            <sz val="9"/>
            <color indexed="81"/>
            <rFont val="Tahoma"/>
            <family val="2"/>
          </rPr>
          <t xml:space="preserve">
No está trayendo la meta programada</t>
        </r>
      </text>
    </comment>
    <comment ref="G34" authorId="0" shapeId="0" xr:uid="{EEB78220-9385-43C6-BFBD-9D5F2E9E8306}">
      <text>
        <r>
          <rPr>
            <b/>
            <sz val="9"/>
            <color indexed="81"/>
            <rFont val="Tahoma"/>
            <family val="2"/>
          </rPr>
          <t>ANGELA MARCELA FORERO RUIZ:</t>
        </r>
        <r>
          <rPr>
            <sz val="9"/>
            <color indexed="81"/>
            <rFont val="Tahoma"/>
            <family val="2"/>
          </rPr>
          <t xml:space="preserve">
No está trayendo la meta programada</t>
        </r>
      </text>
    </comment>
    <comment ref="H34" authorId="0" shapeId="0" xr:uid="{61A4DD9F-B17E-48A8-8D74-8B2E22F8132D}">
      <text>
        <r>
          <rPr>
            <b/>
            <sz val="9"/>
            <color indexed="81"/>
            <rFont val="Tahoma"/>
            <family val="2"/>
          </rPr>
          <t>ANGELA MARCELA FORERO RUIZ:</t>
        </r>
        <r>
          <rPr>
            <sz val="9"/>
            <color indexed="81"/>
            <rFont val="Tahoma"/>
            <family val="2"/>
          </rPr>
          <t xml:space="preserve">
No está trayendo la meta programada</t>
        </r>
      </text>
    </comment>
    <comment ref="I34" authorId="0" shapeId="0" xr:uid="{EFE8BD7C-A646-43EB-BB36-3FE95329B2B2}">
      <text>
        <r>
          <rPr>
            <b/>
            <sz val="9"/>
            <color indexed="81"/>
            <rFont val="Tahoma"/>
            <family val="2"/>
          </rPr>
          <t>ANGELA MARCELA FORERO RUIZ:</t>
        </r>
        <r>
          <rPr>
            <sz val="9"/>
            <color indexed="81"/>
            <rFont val="Tahoma"/>
            <family val="2"/>
          </rPr>
          <t xml:space="preserve">
No está trayendo la meta programada</t>
        </r>
      </text>
    </comment>
    <comment ref="J34" authorId="0" shapeId="0" xr:uid="{59682363-2B61-43CC-922D-1A3AC865C4F1}">
      <text>
        <r>
          <rPr>
            <b/>
            <sz val="9"/>
            <color indexed="81"/>
            <rFont val="Tahoma"/>
            <family val="2"/>
          </rPr>
          <t>ANGELA MARCELA FORERO RUIZ:</t>
        </r>
        <r>
          <rPr>
            <sz val="9"/>
            <color indexed="81"/>
            <rFont val="Tahoma"/>
            <family val="2"/>
          </rPr>
          <t xml:space="preserve">
No está trayendo la meta programada</t>
        </r>
      </text>
    </comment>
    <comment ref="K34" authorId="0" shapeId="0" xr:uid="{EF57793C-8691-4334-9BD4-0A0DE82A6BDD}">
      <text>
        <r>
          <rPr>
            <b/>
            <sz val="9"/>
            <color indexed="81"/>
            <rFont val="Tahoma"/>
            <family val="2"/>
          </rPr>
          <t>ANGELA MARCELA FORERO RUIZ:</t>
        </r>
        <r>
          <rPr>
            <sz val="9"/>
            <color indexed="81"/>
            <rFont val="Tahoma"/>
            <family val="2"/>
          </rPr>
          <t xml:space="preserve">
No está trayendo la meta programada</t>
        </r>
      </text>
    </comment>
    <comment ref="L34" authorId="0" shapeId="0" xr:uid="{EAB73F9D-6802-435D-B762-45F91C54EB9C}">
      <text>
        <r>
          <rPr>
            <b/>
            <sz val="9"/>
            <color indexed="81"/>
            <rFont val="Tahoma"/>
            <family val="2"/>
          </rPr>
          <t>ANGELA MARCELA FORERO RUIZ:</t>
        </r>
        <r>
          <rPr>
            <sz val="9"/>
            <color indexed="81"/>
            <rFont val="Tahoma"/>
            <family val="2"/>
          </rPr>
          <t xml:space="preserve">
No está trayendo la meta programada</t>
        </r>
      </text>
    </comment>
    <comment ref="M34" authorId="0" shapeId="0" xr:uid="{E6BD0394-89E4-4956-97EA-602C22D50652}">
      <text>
        <r>
          <rPr>
            <b/>
            <sz val="9"/>
            <color indexed="81"/>
            <rFont val="Tahoma"/>
            <family val="2"/>
          </rPr>
          <t>ANGELA MARCELA FORERO RUIZ:</t>
        </r>
        <r>
          <rPr>
            <sz val="9"/>
            <color indexed="81"/>
            <rFont val="Tahoma"/>
            <family val="2"/>
          </rPr>
          <t xml:space="preserve">
No está trayendo la meta programada</t>
        </r>
      </text>
    </comment>
    <comment ref="N34" authorId="0" shapeId="0" xr:uid="{CAB7F6F1-9EF5-4C34-8B56-E376CD5BFA78}">
      <text>
        <r>
          <rPr>
            <b/>
            <sz val="9"/>
            <color indexed="81"/>
            <rFont val="Tahoma"/>
            <family val="2"/>
          </rPr>
          <t>ANGELA MARCELA FORERO RUIZ:</t>
        </r>
        <r>
          <rPr>
            <sz val="9"/>
            <color indexed="81"/>
            <rFont val="Tahoma"/>
            <family val="2"/>
          </rPr>
          <t xml:space="preserve">
No está trayendo la meta programada</t>
        </r>
      </text>
    </comment>
    <comment ref="O34" authorId="0" shapeId="0" xr:uid="{A2576D39-665F-4B43-9B13-C2074A32E1F5}">
      <text>
        <r>
          <rPr>
            <b/>
            <sz val="9"/>
            <color indexed="81"/>
            <rFont val="Tahoma"/>
            <family val="2"/>
          </rPr>
          <t>ANGELA MARCELA FORERO RUIZ:</t>
        </r>
        <r>
          <rPr>
            <sz val="9"/>
            <color indexed="81"/>
            <rFont val="Tahoma"/>
            <family val="2"/>
          </rPr>
          <t xml:space="preserve">
No está trayendo la meta programada</t>
        </r>
      </text>
    </comment>
    <comment ref="Q34" authorId="0" shapeId="0" xr:uid="{544CB791-745F-45C9-8DF2-E71CF3B4DFD7}">
      <text>
        <r>
          <rPr>
            <b/>
            <sz val="10"/>
            <color indexed="81"/>
            <rFont val="Tahoma"/>
            <family val="2"/>
          </rPr>
          <t>ANGELA MARCELA FORERO RUIZ:</t>
        </r>
        <r>
          <rPr>
            <sz val="10"/>
            <color indexed="81"/>
            <rFont val="Tahoma"/>
            <family val="2"/>
          </rPr>
          <t xml:space="preserve">
Mencionar que a abril de 2022 se han beneficiado ...</t>
        </r>
      </text>
    </comment>
    <comment ref="AA34" authorId="0" shapeId="0" xr:uid="{B13D9E72-13B6-430B-B67B-8CF8021BDB69}">
      <text>
        <r>
          <rPr>
            <b/>
            <sz val="9"/>
            <color indexed="81"/>
            <rFont val="Tahoma"/>
            <family val="2"/>
          </rPr>
          <t>ANGELA MARCELA FORERO RUIZ:</t>
        </r>
        <r>
          <rPr>
            <sz val="9"/>
            <color indexed="81"/>
            <rFont val="Tahoma"/>
            <family val="2"/>
          </rPr>
          <t xml:space="preserve">
</t>
        </r>
      </text>
    </comment>
    <comment ref="Q38" authorId="0" shapeId="0" xr:uid="{6B2122F6-A329-4670-ADB9-CBB01C0A69A8}">
      <text>
        <r>
          <rPr>
            <b/>
            <sz val="10"/>
            <color indexed="81"/>
            <rFont val="Tahoma"/>
            <family val="2"/>
          </rPr>
          <t>ANGELA MARCELA FORERO RUIZ:</t>
        </r>
        <r>
          <rPr>
            <sz val="10"/>
            <color indexed="81"/>
            <rFont val="Tahoma"/>
            <family val="2"/>
          </rPr>
          <t xml:space="preserve">
No se refleja el avance cualitativo correspondiente al mes de abril</t>
        </r>
      </text>
    </comment>
    <comment ref="Q40" authorId="0" shapeId="0" xr:uid="{B0F2A97F-993A-484C-B3F9-284741FAE75B}">
      <text>
        <r>
          <rPr>
            <b/>
            <sz val="10"/>
            <color indexed="81"/>
            <rFont val="Tahoma"/>
            <family val="2"/>
          </rPr>
          <t>ANGELA MARCELA FORERO RUIZ:</t>
        </r>
        <r>
          <rPr>
            <sz val="10"/>
            <color indexed="81"/>
            <rFont val="Tahoma"/>
            <family val="2"/>
          </rPr>
          <t xml:space="preserve">
No se refleja el avance cualitativo correspondiente al mes de abril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ANGELA MARCELA FORERO RUIZ</author>
  </authors>
  <commentList>
    <comment ref="C32" authorId="0" shapeId="0" xr:uid="{00000000-0006-0000-02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2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Q34" authorId="2" shapeId="0" xr:uid="{0D701DB7-B327-401C-9021-38AE0353AFC9}">
      <text>
        <r>
          <rPr>
            <b/>
            <sz val="9"/>
            <color indexed="81"/>
            <rFont val="Tahoma"/>
            <family val="2"/>
          </rPr>
          <t>ANGELA MARCELA FORERO RUIZ:</t>
        </r>
        <r>
          <rPr>
            <sz val="9"/>
            <color indexed="81"/>
            <rFont val="Tahoma"/>
            <family val="2"/>
          </rPr>
          <t xml:space="preserve">
Se presentaron avances cualitativos pero no cuantitativos y nos pueden mencionar que esto si puede ser cuantificable.
Se sugiere mejorar la redacción indicando que aunque no se tenían actividades programadas para el mes de enero, se pudo avanzar en actividades de alistamiento relacionadas con xxx y mencionar muy corto lo que se hizo</t>
        </r>
      </text>
    </comment>
    <comment ref="Q38" authorId="2" shapeId="0" xr:uid="{7B511DE6-9E91-4080-B45C-AE1F3F375553}">
      <text>
        <r>
          <rPr>
            <b/>
            <sz val="9"/>
            <color indexed="81"/>
            <rFont val="Tahoma"/>
            <family val="2"/>
          </rPr>
          <t>ANGELA MARCELA FORERO RUIZ:</t>
        </r>
        <r>
          <rPr>
            <sz val="9"/>
            <color indexed="81"/>
            <rFont val="Tahoma"/>
            <family val="2"/>
          </rPr>
          <t xml:space="preserve">
ANGELA MARCELA FORERO RUIZ:
Se presentaron avances cualitativos pero no cuantitativos y nos pueden mencionar que porqué está en 0% si hubo avances
Se sugiere mejorar la redacción indicando que aunque no se tenían actividades programadas para el mes de enero, se pudo avanzar en actividades de alistamiento relacionadas con xxx y mencionar muy corto lo que se hizo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3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3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3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Ángela Adriana Ávila Ospina</author>
  </authors>
  <commentList>
    <comment ref="B7" authorId="0" shapeId="0" xr:uid="{DC66AC06-A4F7-45C7-A0F2-6F5285BF281F}">
      <text>
        <r>
          <rPr>
            <b/>
            <sz val="9"/>
            <color indexed="81"/>
            <rFont val="Tahoma"/>
            <family val="2"/>
          </rPr>
          <t>ANGELA MARCELA FORERO RUIZ:</t>
        </r>
        <r>
          <rPr>
            <sz val="9"/>
            <color indexed="81"/>
            <rFont val="Tahoma"/>
            <family val="2"/>
          </rPr>
          <t xml:space="preserve">
Se diligencia el nombre de la meta</t>
        </r>
      </text>
    </comment>
    <comment ref="AW10" authorId="0" shapeId="0" xr:uid="{25A566A2-F271-4B25-933C-4F481C4C9F30}">
      <text>
        <r>
          <rPr>
            <b/>
            <sz val="9"/>
            <color indexed="81"/>
            <rFont val="Tahoma"/>
            <family val="2"/>
          </rPr>
          <t>ANGELA MARCELA FORERO RUIZ:</t>
        </r>
        <r>
          <rPr>
            <sz val="9"/>
            <color indexed="81"/>
            <rFont val="Tahoma"/>
            <family val="2"/>
          </rPr>
          <t xml:space="preserve">
El valor que se territorializa debe corresponder al valor comprometido a febrero es decir 1.351.177.000</t>
        </r>
      </text>
    </comment>
    <comment ref="BD40" authorId="1" shapeId="0" xr:uid="{C92ABCFD-0158-4691-A402-52C25B95662E}">
      <text>
        <r>
          <rPr>
            <b/>
            <sz val="9"/>
            <color indexed="81"/>
            <rFont val="Tahoma"/>
            <family val="2"/>
          </rPr>
          <t>Ángela Adriana Ávila Ospina:</t>
        </r>
        <r>
          <rPr>
            <sz val="9"/>
            <color indexed="81"/>
            <rFont val="Tahoma"/>
            <family val="2"/>
          </rPr>
          <t xml:space="preserve">
Suspensión de contrato de la gestora Yuliana Karolina González.</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Microsoft Office User</author>
    <author>ANGELA MARCELA FORERO RUIZ</author>
    <author>Angela Marcela Forero Ruiz</author>
  </authors>
  <commentList>
    <comment ref="AV5" authorId="0" shapeId="0" xr:uid="{00000000-0006-0000-04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W5" authorId="0" shapeId="0" xr:uid="{00000000-0006-0000-0400-000002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X5" authorId="0" shapeId="0" xr:uid="{00000000-0006-0000-04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400-000004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según: SEGPLAN, PMR, número de actividad, etc.). La codificación se puede consultar en la pestaña de  generalidades.
</t>
        </r>
      </text>
    </comment>
    <comment ref="I11" authorId="0" shapeId="0" xr:uid="{00000000-0006-0000-0400-000005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400-000006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11" authorId="0" shapeId="0" xr:uid="{00000000-0006-0000-0400-000007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11" authorId="0" shapeId="0" xr:uid="{00000000-0006-0000-0400-000008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T11" authorId="0" shapeId="0" xr:uid="{00000000-0006-0000-0400-000009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medición del indicador y del reporte del seguimiento </t>
        </r>
      </text>
    </comment>
    <comment ref="A13" authorId="1" shapeId="0" xr:uid="{CF4580E5-3178-4391-9007-213889081D46}">
      <text>
        <r>
          <rPr>
            <b/>
            <sz val="9"/>
            <color indexed="81"/>
            <rFont val="Tahoma"/>
            <family val="2"/>
          </rPr>
          <t>ANGELA MARCELA FORERO RUIZ:</t>
        </r>
        <r>
          <rPr>
            <sz val="9"/>
            <color indexed="81"/>
            <rFont val="Tahoma"/>
            <family val="2"/>
          </rPr>
          <t xml:space="preserve">
Como este indicador PMR también es meta PDD se incluye el numero de la meta al igual que en la celda del pmr con el numero del indicador pmr</t>
        </r>
      </text>
    </comment>
    <comment ref="D13" authorId="1" shapeId="0" xr:uid="{AC6AD7C7-D8FF-4776-B31B-186BB1C89D43}">
      <text>
        <r>
          <rPr>
            <b/>
            <sz val="9"/>
            <color indexed="81"/>
            <rFont val="Tahoma"/>
            <family val="2"/>
          </rPr>
          <t>ANGELA MARCELA FORERO RUIZ:</t>
        </r>
        <r>
          <rPr>
            <sz val="9"/>
            <color indexed="81"/>
            <rFont val="Tahoma"/>
            <family val="2"/>
          </rPr>
          <t xml:space="preserve">
Como este indicador PMR también es meta PDD se incluye el numero de la meta al igual que en la celda del pmr con el numero del indicador pmr</t>
        </r>
      </text>
    </comment>
    <comment ref="G13" authorId="1" shapeId="0" xr:uid="{258B972B-3D69-4417-B22F-F0A66BAF21D2}">
      <text>
        <r>
          <rPr>
            <b/>
            <sz val="9"/>
            <color indexed="81"/>
            <rFont val="Tahoma"/>
            <family val="2"/>
          </rPr>
          <t>ANGELA MARCELA FORERO RUIZ:</t>
        </r>
        <r>
          <rPr>
            <sz val="9"/>
            <color indexed="81"/>
            <rFont val="Tahoma"/>
            <family val="2"/>
          </rPr>
          <t xml:space="preserve">
Estas celdas solo se diligencian para indicadores POA</t>
        </r>
      </text>
    </comment>
    <comment ref="AL13" authorId="2" shapeId="0" xr:uid="{B915BE96-08FA-4461-BA99-9610545E65C6}">
      <text>
        <r>
          <rPr>
            <b/>
            <sz val="9"/>
            <color indexed="81"/>
            <rFont val="Tahoma"/>
            <family val="2"/>
          </rPr>
          <t>Angela Marcela Forero Ruiz:</t>
        </r>
        <r>
          <rPr>
            <sz val="9"/>
            <color indexed="81"/>
            <rFont val="Tahoma"/>
            <family val="2"/>
          </rPr>
          <t xml:space="preserve">
Se incluye el numero de atenciones del mes de mayo</t>
        </r>
      </text>
    </comment>
    <comment ref="AV13" authorId="1" shapeId="0" xr:uid="{5FA0A32F-62C8-4640-9329-3BEB8074C831}">
      <text>
        <r>
          <rPr>
            <b/>
            <sz val="10"/>
            <color indexed="81"/>
            <rFont val="Tahoma"/>
            <family val="2"/>
          </rPr>
          <t>ANGELA MARCELA FORERO RUIZ:</t>
        </r>
        <r>
          <rPr>
            <sz val="11"/>
            <color indexed="81"/>
            <rFont val="Tahoma"/>
            <family val="2"/>
          </rPr>
          <t xml:space="preserve">
Se ajusta el número de mujeres del curso o. Manejo office Excel 2016 que registraba 4 mujeres y son 7</t>
        </r>
      </text>
    </comment>
    <comment ref="A14" authorId="1" shapeId="0" xr:uid="{04CB7A7A-062F-4EE3-A819-E0A5A51C4710}">
      <text>
        <r>
          <rPr>
            <b/>
            <sz val="9"/>
            <color indexed="81"/>
            <rFont val="Tahoma"/>
            <family val="2"/>
          </rPr>
          <t>ANGELA MARCELA FORERO RUIZ:</t>
        </r>
        <r>
          <rPr>
            <sz val="9"/>
            <color indexed="81"/>
            <rFont val="Tahoma"/>
            <family val="2"/>
          </rPr>
          <t xml:space="preserve">
Incluir el indicador PDD del diseño de la estrategia y toda la información correspondiente</t>
        </r>
      </text>
    </comment>
    <comment ref="AL14" authorId="2" shapeId="0" xr:uid="{0E33DD45-5CFF-426C-8419-EF1C2819D18E}">
      <text>
        <r>
          <rPr>
            <b/>
            <sz val="9"/>
            <color indexed="81"/>
            <rFont val="Tahoma"/>
            <family val="2"/>
          </rPr>
          <t>Angela Marcela Forero Ruiz:</t>
        </r>
        <r>
          <rPr>
            <sz val="9"/>
            <color indexed="81"/>
            <rFont val="Tahoma"/>
            <family val="2"/>
          </rPr>
          <t xml:space="preserve">
Incluir avance del mes de mayo</t>
        </r>
      </text>
    </comment>
    <comment ref="J16" authorId="1" shapeId="0" xr:uid="{AA4FEF72-952C-4A20-9431-FC4C800A76FF}">
      <text>
        <r>
          <rPr>
            <b/>
            <sz val="9"/>
            <color indexed="81"/>
            <rFont val="Tahoma"/>
            <family val="2"/>
          </rPr>
          <t>ANGELA MARCELA FORERO RUIZ:</t>
        </r>
        <r>
          <rPr>
            <sz val="9"/>
            <color indexed="81"/>
            <rFont val="Tahoma"/>
            <family val="2"/>
          </rPr>
          <t xml:space="preserve">
Se sugiere redactar como tipo indicador: 
Número de registros en la ruta de divulgación y orientación</t>
        </r>
      </text>
    </comment>
    <comment ref="AV16" authorId="1" shapeId="0" xr:uid="{96161FAA-C696-4219-99B1-2829697CED9B}">
      <text>
        <r>
          <rPr>
            <b/>
            <sz val="11"/>
            <color indexed="81"/>
            <rFont val="Tahoma"/>
            <family val="2"/>
          </rPr>
          <t>ANGELA MARCELA FORERO RUIZ:</t>
        </r>
        <r>
          <rPr>
            <sz val="11"/>
            <color indexed="81"/>
            <rFont val="Tahoma"/>
            <family val="2"/>
          </rPr>
          <t xml:space="preserve">
Mencionar el resultado de los 422 registros|</t>
        </r>
      </text>
    </comment>
    <comment ref="J17" authorId="1" shapeId="0" xr:uid="{4177ACAB-BEDA-4100-B92B-47B473FD7EF7}">
      <text>
        <r>
          <rPr>
            <b/>
            <sz val="9"/>
            <color indexed="81"/>
            <rFont val="Tahoma"/>
            <family val="2"/>
          </rPr>
          <t>ANGELA MARCELA FORERO RUIZ:</t>
        </r>
        <r>
          <rPr>
            <sz val="9"/>
            <color indexed="81"/>
            <rFont val="Tahoma"/>
            <family val="2"/>
          </rPr>
          <t xml:space="preserve">
Se sugiere redactar como tipo indicador: 
Número de mujeres orientadas a través de la ruta de divulgación y orientación</t>
        </r>
      </text>
    </comment>
    <comment ref="AV17" authorId="1" shapeId="0" xr:uid="{96F99B24-5701-4940-9D7F-06B866DA0277}">
      <text>
        <r>
          <rPr>
            <b/>
            <sz val="10"/>
            <color indexed="81"/>
            <rFont val="Tahoma"/>
            <family val="2"/>
          </rPr>
          <t>ANGELA MARCELA FORERO RUIZ:</t>
        </r>
        <r>
          <rPr>
            <sz val="10"/>
            <color indexed="81"/>
            <rFont val="Tahoma"/>
            <family val="2"/>
          </rPr>
          <t xml:space="preserve">
Mencionar el resultado de las 165 mujeres</t>
        </r>
      </text>
    </comment>
    <comment ref="J18" authorId="1" shapeId="0" xr:uid="{7AC12EFC-ABA6-48F0-A026-FDA2B4F21088}">
      <text>
        <r>
          <rPr>
            <b/>
            <sz val="9"/>
            <color indexed="81"/>
            <rFont val="Tahoma"/>
            <family val="2"/>
          </rPr>
          <t xml:space="preserve">ANGELA MARCELA FORERO RUIZ:
</t>
        </r>
        <r>
          <rPr>
            <sz val="9"/>
            <color indexed="81"/>
            <rFont val="Tahoma"/>
            <family val="2"/>
          </rPr>
          <t xml:space="preserve">Se sugiere redactar como tipo indicador: 
Número de informes ponerle nombre … tal vez numero de informes de cumplimiento al decreto 332 de 2020 por parte de entidades y organismos del Distrito </t>
        </r>
      </text>
    </comment>
    <comment ref="AI18" authorId="1" shapeId="0" xr:uid="{A666E455-7BBD-455B-B0D1-5F69D015BBD8}">
      <text>
        <r>
          <rPr>
            <b/>
            <sz val="10"/>
            <color indexed="81"/>
            <rFont val="Tahoma"/>
            <family val="2"/>
          </rPr>
          <t>ANGELA MARCELA FORERO RUIZ:</t>
        </r>
        <r>
          <rPr>
            <sz val="10"/>
            <color indexed="81"/>
            <rFont val="Tahoma"/>
            <family val="2"/>
          </rPr>
          <t xml:space="preserve">
No se hizo informe en este mes? Se menciona que se hizo el informe pero se pone cero</t>
        </r>
      </text>
    </comment>
    <comment ref="J19" authorId="1" shapeId="0" xr:uid="{AFE6BD1C-938F-4163-A0B8-1D9CDB868613}">
      <text>
        <r>
          <rPr>
            <b/>
            <sz val="9"/>
            <color indexed="81"/>
            <rFont val="Tahoma"/>
            <family val="2"/>
          </rPr>
          <t>ANGELA MARCELA FORERO RUIZ:</t>
        </r>
        <r>
          <rPr>
            <sz val="9"/>
            <color indexed="81"/>
            <rFont val="Tahoma"/>
            <family val="2"/>
          </rPr>
          <t xml:space="preserve">
Se sugiere redactar como tipo indicador: 
Número de propuestas de programas enfocados a la disminución de brecha económica entre hombres y mujeres</t>
        </r>
      </text>
    </comment>
    <comment ref="J20" authorId="1" shapeId="0" xr:uid="{45C937CD-94F1-4AE5-886F-DDF9E084C340}">
      <text>
        <r>
          <rPr>
            <b/>
            <sz val="9"/>
            <color indexed="81"/>
            <rFont val="Tahoma"/>
            <family val="2"/>
          </rPr>
          <t xml:space="preserve">ANGELA MARCELA FORERO RUIZ
ANGELA MARCELA FORERO RUIZ:
</t>
        </r>
        <r>
          <rPr>
            <sz val="9"/>
            <color indexed="81"/>
            <rFont val="Tahoma"/>
            <family val="2"/>
          </rPr>
          <t>Se sugiere redactar como tipo indicador: 
Número de informes trimestrales de supervisión de (ponerle nombre)</t>
        </r>
      </text>
    </comment>
    <comment ref="K20" authorId="1" shapeId="0" xr:uid="{037B5D8A-DEFE-4CD1-B69A-07450E90A321}">
      <text>
        <r>
          <rPr>
            <b/>
            <sz val="9"/>
            <color indexed="81"/>
            <rFont val="Tahoma"/>
            <family val="2"/>
          </rPr>
          <t>ANGELA MARCELA FORERO RUIZ:</t>
        </r>
        <r>
          <rPr>
            <sz val="9"/>
            <color indexed="81"/>
            <rFont val="Tahoma"/>
            <family val="2"/>
          </rPr>
          <t xml:space="preserve">
De acuerdo a la sugerencia el indicador sería tipo suma</t>
        </r>
      </text>
    </comment>
    <comment ref="M20" authorId="1" shapeId="0" xr:uid="{6F8DEBF1-046F-4CF2-891C-6A6915C3945F}">
      <text>
        <r>
          <rPr>
            <b/>
            <sz val="9"/>
            <color indexed="81"/>
            <rFont val="Tahoma"/>
            <family val="2"/>
          </rPr>
          <t>ANGELA MARCELA FORERO RUIZ:</t>
        </r>
        <r>
          <rPr>
            <sz val="9"/>
            <color indexed="81"/>
            <rFont val="Tahoma"/>
            <family val="2"/>
          </rPr>
          <t xml:space="preserve">
Se sugiere dejarlo como suma y poner 1 informe cada trimestre para un total de cuatro, en ese orden la unidad de medida es Número</t>
        </r>
      </text>
    </comment>
    <comment ref="Q20" authorId="1" shapeId="0" xr:uid="{C3F2BFF8-D37A-41A3-9D19-12355923F571}">
      <text>
        <r>
          <rPr>
            <b/>
            <sz val="9"/>
            <color indexed="81"/>
            <rFont val="Tahoma"/>
            <family val="2"/>
          </rPr>
          <t>ANGELA MARCELA FORERO RUIZ:</t>
        </r>
        <r>
          <rPr>
            <sz val="9"/>
            <color indexed="81"/>
            <rFont val="Tahoma"/>
            <family val="2"/>
          </rPr>
          <t xml:space="preserve">
Se sugiere dejarlo como suma y poner 1 informe cada trimestre para una meta de 4</t>
        </r>
      </text>
    </comment>
    <comment ref="X20" authorId="1" shapeId="0" xr:uid="{0F7B8C15-7EB2-440D-B069-36C99D2286A3}">
      <text>
        <r>
          <rPr>
            <b/>
            <sz val="9"/>
            <color indexed="81"/>
            <rFont val="Tahoma"/>
            <family val="2"/>
          </rPr>
          <t>ANGELA MARCELA FORERO RUIZ:</t>
        </r>
        <r>
          <rPr>
            <sz val="9"/>
            <color indexed="81"/>
            <rFont val="Tahoma"/>
            <family val="2"/>
          </rPr>
          <t xml:space="preserve">
De acuerdo a la sugerencia, poner como meta 1 informe y así para cada trimestre</t>
        </r>
      </text>
    </comment>
    <comment ref="AA20" authorId="1" shapeId="0" xr:uid="{870AA46E-BB06-46BD-8F85-F20523942375}">
      <text>
        <r>
          <rPr>
            <b/>
            <sz val="9"/>
            <color indexed="81"/>
            <rFont val="Tahoma"/>
            <family val="2"/>
          </rPr>
          <t>ANGELA MARCELA FORERO RUIZ:</t>
        </r>
        <r>
          <rPr>
            <sz val="9"/>
            <color indexed="81"/>
            <rFont val="Tahoma"/>
            <family val="2"/>
          </rPr>
          <t xml:space="preserve">
De acuerdo a la sugerencia, poner como meta 1 informe y así para cada trimestre</t>
        </r>
      </text>
    </comment>
    <comment ref="AD20" authorId="1" shapeId="0" xr:uid="{89853652-036B-4AEB-B85C-4D53C1228E5B}">
      <text>
        <r>
          <rPr>
            <b/>
            <sz val="9"/>
            <color indexed="81"/>
            <rFont val="Tahoma"/>
            <family val="2"/>
          </rPr>
          <t>ANGELA MARCELA FORERO RUIZ:</t>
        </r>
        <r>
          <rPr>
            <sz val="9"/>
            <color indexed="81"/>
            <rFont val="Tahoma"/>
            <family val="2"/>
          </rPr>
          <t xml:space="preserve">
De acuerdo a la sugerencia, poner como meta 1 informe y así para cada trimestre</t>
        </r>
      </text>
    </comment>
    <comment ref="AG20" authorId="1" shapeId="0" xr:uid="{A8D5AB17-12E6-486C-94BA-0FBA9541335C}">
      <text>
        <r>
          <rPr>
            <b/>
            <sz val="9"/>
            <color indexed="81"/>
            <rFont val="Tahoma"/>
            <family val="2"/>
          </rPr>
          <t>ANGELA MARCELA FORERO RUIZ:</t>
        </r>
        <r>
          <rPr>
            <sz val="9"/>
            <color indexed="81"/>
            <rFont val="Tahoma"/>
            <family val="2"/>
          </rPr>
          <t xml:space="preserve">
De acuerdo a la sugerencia, poner como meta 1 informe y así para cada trimestre</t>
        </r>
      </text>
    </comment>
    <comment ref="J21" authorId="1" shapeId="0" xr:uid="{C613D220-6373-4D5C-8425-EE796FCC6EEC}">
      <text>
        <r>
          <rPr>
            <b/>
            <sz val="9"/>
            <color indexed="81"/>
            <rFont val="Tahoma"/>
            <family val="2"/>
          </rPr>
          <t>ANGELA MARCELA FORERO RUIZ:</t>
        </r>
        <r>
          <rPr>
            <sz val="9"/>
            <color indexed="81"/>
            <rFont val="Tahoma"/>
            <family val="2"/>
          </rPr>
          <t xml:space="preserve">
Se sugiere redactar en términos de indicador, por ejemplo: 
Opción 1: 
Opción 2: 
Porcentaje de avance en la elaboración de los insumos para el documento técnico y así ajustar la unidad de medida, el tipo de meta, el valor, etc.
Opción 3
Documento técnico para el Comité Técnico del Programa xx elaborado 
y en ese orden ajustar el tipo de meta, la unidad de medida y demás información</t>
        </r>
      </text>
    </comment>
    <comment ref="K21" authorId="1" shapeId="0" xr:uid="{93F070DD-A70F-4121-BA1A-644F8B7DFC63}">
      <text>
        <r>
          <rPr>
            <b/>
            <sz val="9"/>
            <color indexed="81"/>
            <rFont val="Tahoma"/>
            <family val="2"/>
          </rPr>
          <t>ANGELA MARCELA FORERO RUIZ:</t>
        </r>
        <r>
          <rPr>
            <sz val="9"/>
            <color indexed="81"/>
            <rFont val="Tahoma"/>
            <family val="2"/>
          </rPr>
          <t xml:space="preserve">
De acuerdo a la sugerencia el indicador sería tipo suma</t>
        </r>
      </text>
    </comment>
    <comment ref="M21" authorId="1" shapeId="0" xr:uid="{DF30DCB5-06FC-45DB-88B1-DBB1851E92E0}">
      <text>
        <r>
          <rPr>
            <b/>
            <sz val="9"/>
            <color indexed="81"/>
            <rFont val="Tahoma"/>
            <family val="2"/>
          </rPr>
          <t>ANGELA MARCELA FORERO RUIZ:</t>
        </r>
        <r>
          <rPr>
            <sz val="9"/>
            <color indexed="81"/>
            <rFont val="Tahoma"/>
            <family val="2"/>
          </rPr>
          <t xml:space="preserve">
Ajustar de acuerdo a lo que se decida dejar como indicador</t>
        </r>
      </text>
    </comment>
    <comment ref="T21" authorId="1" shapeId="0" xr:uid="{31EB74D5-D371-4258-8C81-CE9F141B1377}">
      <text>
        <r>
          <rPr>
            <b/>
            <sz val="9"/>
            <color indexed="81"/>
            <rFont val="Tahoma"/>
            <family val="2"/>
          </rPr>
          <t>ANGELA MARCELA FORERO RUIZ:</t>
        </r>
        <r>
          <rPr>
            <sz val="9"/>
            <color indexed="81"/>
            <rFont val="Tahoma"/>
            <family val="2"/>
          </rPr>
          <t xml:space="preserve">
La periodicidad no es trimestral</t>
        </r>
      </text>
    </comment>
    <comment ref="J22" authorId="1" shapeId="0" xr:uid="{E60E33D8-A76C-4053-AC8D-A3EC42C865F2}">
      <text>
        <r>
          <rPr>
            <b/>
            <sz val="9"/>
            <color indexed="81"/>
            <rFont val="Tahoma"/>
            <family val="2"/>
          </rPr>
          <t>ANGELA MARCELA FORERO RUIZ:</t>
        </r>
        <r>
          <rPr>
            <sz val="9"/>
            <color indexed="81"/>
            <rFont val="Tahoma"/>
            <family val="2"/>
          </rPr>
          <t xml:space="preserve">
Redactar en forma de indicador, por ejemplo
Documento de fortalecimiento organizativo elaborado y poner la meta como 1 cuando se finalice o si son dos documentos entonces 1 documento en cada semestre
O si es porcentaje de avance en la elaboración del documento entonces se dejaría como indicador tipo suma, unidad de medida % y sería 50% de avance en cada uno de los semestres
Revisar por favor</t>
        </r>
      </text>
    </comment>
    <comment ref="K22" authorId="1" shapeId="0" xr:uid="{6EC1DF47-45A3-4576-9B2E-7E7E7AE4B723}">
      <text>
        <r>
          <rPr>
            <b/>
            <sz val="9"/>
            <color indexed="81"/>
            <rFont val="Tahoma"/>
            <family val="2"/>
          </rPr>
          <t>ANGELA MARCELA FORERO RUIZ:</t>
        </r>
        <r>
          <rPr>
            <sz val="9"/>
            <color indexed="81"/>
            <rFont val="Tahoma"/>
            <family val="2"/>
          </rPr>
          <t xml:space="preserve">
De acuerdo a la sugerencia el indicador sería tipo suma</t>
        </r>
      </text>
    </comment>
    <comment ref="M22" authorId="1" shapeId="0" xr:uid="{5609A21E-9C37-420D-A236-02A5910C5DBE}">
      <text>
        <r>
          <rPr>
            <b/>
            <sz val="9"/>
            <color indexed="81"/>
            <rFont val="Tahoma"/>
            <family val="2"/>
          </rPr>
          <t>ANGELA MARCELA FORERO RUIZ:</t>
        </r>
        <r>
          <rPr>
            <sz val="9"/>
            <color indexed="81"/>
            <rFont val="Tahoma"/>
            <family val="2"/>
          </rPr>
          <t xml:space="preserve">
Ajustar de acuerdo a lo que se decida dejar como indicador</t>
        </r>
      </text>
    </comment>
    <comment ref="J23" authorId="1" shapeId="0" xr:uid="{50766581-96A9-4400-BE4F-F3654512C840}">
      <text>
        <r>
          <rPr>
            <b/>
            <sz val="9"/>
            <color indexed="81"/>
            <rFont val="Tahoma"/>
            <family val="2"/>
          </rPr>
          <t>ANGELA MARCELA FORERO RUIZ:</t>
        </r>
        <r>
          <rPr>
            <sz val="9"/>
            <color indexed="81"/>
            <rFont val="Tahoma"/>
            <family val="2"/>
          </rPr>
          <t xml:space="preserve">
Redactar en forma de indicador
Documento proceso convocatoria elaborado</t>
        </r>
      </text>
    </comment>
    <comment ref="K23" authorId="1" shapeId="0" xr:uid="{DE5FDED9-0621-418B-8DF0-129CB242ED82}">
      <text>
        <r>
          <rPr>
            <b/>
            <sz val="9"/>
            <color indexed="81"/>
            <rFont val="Tahoma"/>
            <family val="2"/>
          </rPr>
          <t>ANGELA MARCELA FORERO RUIZ:</t>
        </r>
        <r>
          <rPr>
            <sz val="9"/>
            <color indexed="81"/>
            <rFont val="Tahoma"/>
            <family val="2"/>
          </rPr>
          <t xml:space="preserve">
De acuerdo a la sugerencia el indicador sería tipo suma</t>
        </r>
      </text>
    </comment>
    <comment ref="M23" authorId="1" shapeId="0" xr:uid="{8D8B89C5-9859-44C9-A5F4-69CB5BB71916}">
      <text>
        <r>
          <rPr>
            <b/>
            <sz val="9"/>
            <color indexed="81"/>
            <rFont val="Tahoma"/>
            <family val="2"/>
          </rPr>
          <t>ANGELA MARCELA FORERO RUIZ:</t>
        </r>
        <r>
          <rPr>
            <sz val="9"/>
            <color indexed="81"/>
            <rFont val="Tahoma"/>
            <family val="2"/>
          </rPr>
          <t xml:space="preserve">
Ajustar de acuerdo a lo que se decida dejar como indicador</t>
        </r>
      </text>
    </comment>
    <comment ref="T23" authorId="1" shapeId="0" xr:uid="{18D93B6F-49A5-47EC-8333-9F4BFCDF1EA6}">
      <text>
        <r>
          <rPr>
            <b/>
            <sz val="9"/>
            <color indexed="81"/>
            <rFont val="Tahoma"/>
            <family val="2"/>
          </rPr>
          <t>ANGELA MARCELA FORERO RUIZ:</t>
        </r>
        <r>
          <rPr>
            <sz val="9"/>
            <color indexed="81"/>
            <rFont val="Tahoma"/>
            <family val="2"/>
          </rPr>
          <t xml:space="preserve">
Ajustar periodicidad a anual</t>
        </r>
      </text>
    </comment>
    <comment ref="AK23" authorId="1" shapeId="0" xr:uid="{3FC3754E-B630-4BDA-8CCD-4AAB3AAB6015}">
      <text>
        <r>
          <rPr>
            <b/>
            <sz val="10"/>
            <color indexed="81"/>
            <rFont val="Tahoma"/>
            <family val="2"/>
          </rPr>
          <t>ANGELA MARCELA FORERO RUIZ:</t>
        </r>
        <r>
          <rPr>
            <sz val="10"/>
            <color indexed="81"/>
            <rFont val="Tahoma"/>
            <family val="2"/>
          </rPr>
          <t xml:space="preserve">
Se ajusta la cifra que aparece como 0.3 y debe ser 0,3</t>
        </r>
      </text>
    </comment>
    <comment ref="AV26" authorId="1" shapeId="0" xr:uid="{BB2A509A-27F4-47DD-A063-8BBC22A85EA4}">
      <text>
        <r>
          <rPr>
            <b/>
            <sz val="10"/>
            <color indexed="81"/>
            <rFont val="Tahoma"/>
            <family val="2"/>
          </rPr>
          <t>ANGELA MARCELA FORERO RUIZ:</t>
        </r>
        <r>
          <rPr>
            <sz val="10"/>
            <color indexed="81"/>
            <rFont val="Tahoma"/>
            <family val="2"/>
          </rPr>
          <t xml:space="preserve">
Se ajusta redacción (en negrilla), favor revisar si  están de acuerdo</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PC</author>
    <author>Usuario Microsoft</author>
  </authors>
  <commentList>
    <comment ref="A1" authorId="0" shapeId="0" xr:uid="{9199D789-D59C-47A8-9853-322759848DB6}">
      <text>
        <r>
          <rPr>
            <b/>
            <sz val="9"/>
            <color rgb="FF000000"/>
            <rFont val="Tahoma"/>
            <family val="2"/>
          </rPr>
          <t>PC:</t>
        </r>
        <r>
          <rPr>
            <sz val="9"/>
            <color rgb="FF000000"/>
            <rFont val="Tahoma"/>
            <family val="2"/>
          </rPr>
          <t xml:space="preserve">
</t>
        </r>
        <r>
          <rPr>
            <sz val="9"/>
            <color rgb="FF000000"/>
            <rFont val="Tahoma"/>
            <family val="2"/>
          </rPr>
          <t>FECHA DE LA ULTIMA VERSION DE PROGRAMACION RECIBIDA</t>
        </r>
      </text>
    </comment>
    <comment ref="B1" authorId="0" shapeId="0" xr:uid="{4D671E4D-352B-4E19-BBF9-BFC9E2559EB6}">
      <text>
        <r>
          <rPr>
            <b/>
            <sz val="9"/>
            <color rgb="FF000000"/>
            <rFont val="Tahoma"/>
            <family val="2"/>
          </rPr>
          <t>PC:</t>
        </r>
        <r>
          <rPr>
            <sz val="9"/>
            <color rgb="FF000000"/>
            <rFont val="Tahoma"/>
            <family val="2"/>
          </rPr>
          <t xml:space="preserve">
</t>
        </r>
        <r>
          <rPr>
            <sz val="9"/>
            <color rgb="FF000000"/>
            <rFont val="Tahoma"/>
            <family val="2"/>
          </rPr>
          <t>SI SE LLEGA A NECESITAR ELIMINAR UN PROCESO, DEBEN MARCAR "NO", EN ESTA COLUMNA</t>
        </r>
      </text>
    </comment>
    <comment ref="E1" authorId="0" shapeId="0" xr:uid="{9763FFC4-18C6-4ECB-9DBB-7DE20801B7CB}">
      <text>
        <r>
          <rPr>
            <b/>
            <sz val="9"/>
            <color rgb="FF000000"/>
            <rFont val="Tahoma"/>
            <family val="2"/>
          </rPr>
          <t>Columna incluida el 04/11/2021</t>
        </r>
      </text>
    </comment>
    <comment ref="I1" authorId="0" shapeId="0" xr:uid="{543B7972-7DBD-4EA8-8D2B-015E84CC9EE2}">
      <text>
        <r>
          <rPr>
            <b/>
            <sz val="9"/>
            <color rgb="FF000000"/>
            <rFont val="Tahoma"/>
            <family val="2"/>
          </rPr>
          <t>PC:</t>
        </r>
        <r>
          <rPr>
            <sz val="9"/>
            <color rgb="FF000000"/>
            <rFont val="Tahoma"/>
            <family val="2"/>
          </rPr>
          <t xml:space="preserve">
</t>
        </r>
        <r>
          <rPr>
            <sz val="9"/>
            <color rgb="FF000000"/>
            <rFont val="Tahoma"/>
            <family val="2"/>
          </rPr>
          <t xml:space="preserve">En orientacion al nuevo Segplan, se solicita realizar esta clasificación
</t>
        </r>
      </text>
    </comment>
    <comment ref="K1" authorId="1" shapeId="0" xr:uid="{315004F7-1E5B-48BD-8250-DDBC1962BF39}">
      <text>
        <r>
          <rPr>
            <b/>
            <sz val="9"/>
            <color rgb="FF000000"/>
            <rFont val="Tahoma"/>
            <family val="2"/>
          </rPr>
          <t>OAP:</t>
        </r>
        <r>
          <rPr>
            <sz val="9"/>
            <color rgb="FF000000"/>
            <rFont val="Tahoma"/>
            <family val="2"/>
          </rPr>
          <t xml:space="preserve">
</t>
        </r>
        <r>
          <rPr>
            <sz val="9"/>
            <color rgb="FF000000"/>
            <rFont val="Tahoma"/>
            <family val="2"/>
          </rPr>
          <t>SE DEBE SELECCIONAR EL PROPOSITO QUE CORRESPONDA DE LA LISTA DESPLEGABLE</t>
        </r>
      </text>
    </comment>
    <comment ref="L1" authorId="1" shapeId="0" xr:uid="{4082A301-0A25-4759-8F2D-9747EAC59704}">
      <text>
        <r>
          <rPr>
            <b/>
            <sz val="9"/>
            <color rgb="FF000000"/>
            <rFont val="Tahoma"/>
            <family val="2"/>
          </rPr>
          <t xml:space="preserve">OAP:
</t>
        </r>
        <r>
          <rPr>
            <sz val="9"/>
            <color rgb="FF000000"/>
            <rFont val="Tahoma"/>
            <family val="2"/>
          </rPr>
          <t>SE DEBE SELECCIONAR EL LOGRO DE CIUDAD QUE CORRESPONDA DE LA LISTA DESPLEGABLE</t>
        </r>
      </text>
    </comment>
    <comment ref="M1" authorId="1" shapeId="0" xr:uid="{CA939EC2-275F-4DAF-9EE3-383EF087515F}">
      <text>
        <r>
          <rPr>
            <b/>
            <sz val="9"/>
            <color rgb="FF000000"/>
            <rFont val="Tahoma"/>
            <family val="2"/>
          </rPr>
          <t xml:space="preserve">OAP:
</t>
        </r>
        <r>
          <rPr>
            <sz val="9"/>
            <color rgb="FF000000"/>
            <rFont val="Tahoma"/>
            <family val="2"/>
          </rPr>
          <t xml:space="preserve">SE DEBE SELECCIONAR EL PROGRAMA QUE CORRESPONDA DE LA LISTA DESPLEGABLE
</t>
        </r>
      </text>
    </comment>
    <comment ref="N1" authorId="1" shapeId="0" xr:uid="{21F9B886-9397-425B-8E54-AE6F66226558}">
      <text>
        <r>
          <rPr>
            <b/>
            <sz val="9"/>
            <color rgb="FF000000"/>
            <rFont val="Tahoma"/>
            <family val="2"/>
          </rPr>
          <t xml:space="preserve">OAP:
</t>
        </r>
        <r>
          <rPr>
            <sz val="9"/>
            <color rgb="FF000000"/>
            <rFont val="Tahoma"/>
            <family val="2"/>
          </rPr>
          <t>SE DEBE SELECCIONAR EL PROGRAMA ESTRATÉGICO QUE CORRESPONDA DE LA LISTA DESPLEGABLE</t>
        </r>
      </text>
    </comment>
    <comment ref="O1" authorId="1" shapeId="0" xr:uid="{6B683F53-9B7D-4636-A142-6389BF30F1FE}">
      <text>
        <r>
          <rPr>
            <b/>
            <sz val="9"/>
            <color rgb="FF000000"/>
            <rFont val="Tahoma"/>
            <family val="2"/>
          </rPr>
          <t xml:space="preserve">OAP:
</t>
        </r>
        <r>
          <rPr>
            <sz val="9"/>
            <color rgb="FF000000"/>
            <rFont val="Tahoma"/>
            <family val="2"/>
          </rPr>
          <t>SE DEBE SELECCIONAR LA META PLAN DE DESARROLLO QUE CORRESPONDA DE LA LISTA DESPLEGABLE</t>
        </r>
      </text>
    </comment>
    <comment ref="Q1" authorId="1" shapeId="0" xr:uid="{00F174CC-878A-4B16-BCF3-0FFB0D1F23C7}">
      <text>
        <r>
          <rPr>
            <b/>
            <sz val="9"/>
            <color rgb="FF000000"/>
            <rFont val="Tahoma"/>
            <family val="2"/>
          </rPr>
          <t xml:space="preserve">OAP: </t>
        </r>
        <r>
          <rPr>
            <sz val="9"/>
            <color rgb="FF000000"/>
            <rFont val="Tahoma"/>
            <family val="2"/>
          </rPr>
          <t>ASIGNADO A CADA PROCESO</t>
        </r>
      </text>
    </comment>
    <comment ref="R1" authorId="0" shapeId="0" xr:uid="{EDC9857D-D6B9-4D45-95AE-AAF538342352}">
      <text>
        <r>
          <rPr>
            <b/>
            <sz val="9"/>
            <color indexed="81"/>
            <rFont val="Tahoma"/>
            <family val="2"/>
          </rPr>
          <t>PC:</t>
        </r>
        <r>
          <rPr>
            <sz val="9"/>
            <color indexed="81"/>
            <rFont val="Tahoma"/>
            <family val="2"/>
          </rPr>
          <t xml:space="preserve">
SE DEBE ACTUALIZAR CON LOS NUEVOS CONCEPTOS DE GASTO
- Codigo POSPRE</t>
        </r>
      </text>
    </comment>
    <comment ref="S1" authorId="0" shapeId="0" xr:uid="{26CF2331-350F-42C8-8953-C9D06EBCB08A}">
      <text>
        <r>
          <rPr>
            <b/>
            <sz val="9"/>
            <color rgb="FF000000"/>
            <rFont val="Tahoma"/>
            <family val="2"/>
          </rPr>
          <t>PC:</t>
        </r>
        <r>
          <rPr>
            <sz val="9"/>
            <color rgb="FF000000"/>
            <rFont val="Tahoma"/>
            <family val="2"/>
          </rPr>
          <t xml:space="preserve">
</t>
        </r>
        <r>
          <rPr>
            <sz val="9"/>
            <color rgb="FF000000"/>
            <rFont val="Tahoma"/>
            <family val="2"/>
          </rPr>
          <t xml:space="preserve">SE DEBE ACTUALIZAR CON LOS NUEVOS CONCEPTOS DE GASTO
</t>
        </r>
        <r>
          <rPr>
            <sz val="9"/>
            <color rgb="FF000000"/>
            <rFont val="Tahoma"/>
            <family val="2"/>
          </rPr>
          <t>Descripción POSPRE</t>
        </r>
      </text>
    </comment>
    <comment ref="V1" authorId="0" shapeId="0" xr:uid="{DF15D515-75E4-4067-A15B-2F6F26496CD5}">
      <text>
        <r>
          <rPr>
            <b/>
            <sz val="9"/>
            <color indexed="81"/>
            <rFont val="Tahoma"/>
            <family val="2"/>
          </rPr>
          <t>PC:</t>
        </r>
        <r>
          <rPr>
            <sz val="9"/>
            <color indexed="81"/>
            <rFont val="Tahoma"/>
            <family val="2"/>
          </rPr>
          <t xml:space="preserve">
MES EN NUMERO:
ENERO = 1
FEBRERO = 2….</t>
        </r>
      </text>
    </comment>
    <comment ref="W1" authorId="0" shapeId="0" xr:uid="{B044614F-E919-4BED-87A1-1355300669B7}">
      <text>
        <r>
          <rPr>
            <b/>
            <sz val="9"/>
            <color indexed="81"/>
            <rFont val="Tahoma"/>
            <family val="2"/>
          </rPr>
          <t>PC:</t>
        </r>
        <r>
          <rPr>
            <sz val="9"/>
            <color indexed="81"/>
            <rFont val="Tahoma"/>
            <family val="2"/>
          </rPr>
          <t xml:space="preserve">
MES EN NUMERO:
ENERO = 1
FEBRERO = 2….</t>
        </r>
      </text>
    </comment>
    <comment ref="X1" authorId="1" shapeId="0" xr:uid="{AF636A33-6E3C-4D23-8D73-3C8F787AC66B}">
      <text>
        <r>
          <rPr>
            <b/>
            <sz val="9"/>
            <color rgb="FF000000"/>
            <rFont val="Tahoma"/>
            <family val="2"/>
          </rPr>
          <t xml:space="preserve">OAP: </t>
        </r>
        <r>
          <rPr>
            <sz val="9"/>
            <color rgb="FF000000"/>
            <rFont val="Tahoma"/>
            <family val="2"/>
          </rPr>
          <t>AJUSTAR A NUMERO DE DIAS</t>
        </r>
      </text>
    </comment>
    <comment ref="AA1" authorId="1" shapeId="0" xr:uid="{710CC1D6-D608-41B3-94C0-3C4CF95E96A6}">
      <text>
        <r>
          <rPr>
            <b/>
            <sz val="9"/>
            <color rgb="FF000000"/>
            <rFont val="Tahoma"/>
            <family val="2"/>
          </rPr>
          <t xml:space="preserve">OAP: </t>
        </r>
        <r>
          <rPr>
            <sz val="9"/>
            <color rgb="FF000000"/>
            <rFont val="Tahoma"/>
            <family val="2"/>
          </rPr>
          <t xml:space="preserve">VALOR TOTAL DEL PROCESO POR EL % ASIGNADO POR META
</t>
        </r>
      </text>
    </comment>
    <comment ref="AB1" authorId="1" shapeId="0" xr:uid="{DDF2E65F-881E-45D3-8A92-4788EE3352D1}">
      <text>
        <r>
          <rPr>
            <b/>
            <sz val="9"/>
            <color rgb="FF000000"/>
            <rFont val="Tahoma"/>
            <family val="2"/>
          </rPr>
          <t xml:space="preserve">OAP: </t>
        </r>
        <r>
          <rPr>
            <sz val="9"/>
            <color rgb="FF000000"/>
            <rFont val="Tahoma"/>
            <family val="2"/>
          </rPr>
          <t xml:space="preserve">VALOR HONORARIO MENSUAL DEL PROCESO POR
</t>
        </r>
        <r>
          <rPr>
            <sz val="9"/>
            <color rgb="FF000000"/>
            <rFont val="Tahoma"/>
            <family val="2"/>
          </rPr>
          <t>EL % ASIGNADO POR META</t>
        </r>
      </text>
    </comment>
    <comment ref="S71" authorId="0" shapeId="0" xr:uid="{EF8994B4-DD9C-4EC7-9103-36240F4F6C5D}">
      <text>
        <r>
          <rPr>
            <b/>
            <sz val="9"/>
            <color indexed="81"/>
            <rFont val="Tahoma"/>
            <family val="2"/>
          </rPr>
          <t>PC:</t>
        </r>
        <r>
          <rPr>
            <sz val="9"/>
            <color indexed="81"/>
            <rFont val="Tahoma"/>
            <family val="2"/>
          </rPr>
          <t xml:space="preserve">
Deben revisar y ajustar el concepto de gasto</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s>
  <commentList>
    <comment ref="AV5" authorId="0" shapeId="0" xr:uid="{E5890E03-1E88-4CB6-86D6-0815EA34D748}">
      <text>
        <r>
          <rPr>
            <b/>
            <sz val="9"/>
            <color indexed="81"/>
            <rFont val="Tahoma"/>
            <family val="2"/>
          </rPr>
          <t>ANGELA MARCELA FORERO RUIZ:</t>
        </r>
        <r>
          <rPr>
            <sz val="9"/>
            <color indexed="81"/>
            <rFont val="Tahoma"/>
            <family val="2"/>
          </rPr>
          <t xml:space="preserve">
La reserva la tenías unicamente asociada a meta 1 $253.060.894</t>
        </r>
      </text>
    </comment>
    <comment ref="AX5" authorId="0" shapeId="0" xr:uid="{F4F718E0-6847-4D3C-B942-B1170416D506}">
      <text>
        <r>
          <rPr>
            <b/>
            <sz val="9"/>
            <color indexed="81"/>
            <rFont val="Tahoma"/>
            <family val="2"/>
          </rPr>
          <t>ANGELA MARCELA FORERO RUIZ:</t>
        </r>
        <r>
          <rPr>
            <sz val="9"/>
            <color indexed="81"/>
            <rFont val="Tahoma"/>
            <family val="2"/>
          </rPr>
          <t xml:space="preserve">
La reserva la tenías unicamente asociada a meta 1 $253.060.894</t>
        </r>
      </text>
    </comment>
    <comment ref="BA5" authorId="0" shapeId="0" xr:uid="{AF283558-DF13-4004-B635-A84C12D03C14}">
      <text>
        <r>
          <rPr>
            <b/>
            <sz val="9"/>
            <color indexed="81"/>
            <rFont val="Tahoma"/>
            <family val="2"/>
          </rPr>
          <t>ANGELA MARCELA FORERO RUIZ:</t>
        </r>
        <r>
          <rPr>
            <sz val="9"/>
            <color indexed="81"/>
            <rFont val="Tahoma"/>
            <family val="2"/>
          </rPr>
          <t xml:space="preserve">
La reserva la tenías unicamente asociada a meta 1 $253.060.894</t>
        </r>
      </text>
    </comment>
    <comment ref="BC5" authorId="0" shapeId="0" xr:uid="{171AE452-7AEA-4D71-9BEC-12FB28D62B25}">
      <text>
        <r>
          <rPr>
            <b/>
            <sz val="9"/>
            <color indexed="81"/>
            <rFont val="Tahoma"/>
            <family val="2"/>
          </rPr>
          <t>ANGELA MARCELA FORERO RUIZ:</t>
        </r>
        <r>
          <rPr>
            <sz val="9"/>
            <color indexed="81"/>
            <rFont val="Tahoma"/>
            <family val="2"/>
          </rPr>
          <t xml:space="preserve">
La reserva la tenías unicamente asociada a meta 1 $253.060.894</t>
        </r>
      </text>
    </comment>
    <comment ref="AV36" authorId="0" shapeId="0" xr:uid="{F9793241-6839-4350-98F5-AA50F5505F83}">
      <text>
        <r>
          <rPr>
            <b/>
            <sz val="9"/>
            <color indexed="81"/>
            <rFont val="Tahoma"/>
            <family val="2"/>
          </rPr>
          <t>ANGELA MARCELA FORERO RUIZ:</t>
        </r>
        <r>
          <rPr>
            <sz val="9"/>
            <color indexed="81"/>
            <rFont val="Tahoma"/>
            <family val="2"/>
          </rPr>
          <t xml:space="preserve">
La reserva la tenías unicamente asociada a meta 1 $253.060.894</t>
        </r>
      </text>
    </comment>
    <comment ref="AX36" authorId="0" shapeId="0" xr:uid="{3B1813D0-6B3D-4B3C-8C59-8BC520BA6E0A}">
      <text>
        <r>
          <rPr>
            <b/>
            <sz val="9"/>
            <color indexed="81"/>
            <rFont val="Tahoma"/>
            <family val="2"/>
          </rPr>
          <t>ANGELA MARCELA FORERO RUIZ:</t>
        </r>
        <r>
          <rPr>
            <sz val="9"/>
            <color indexed="81"/>
            <rFont val="Tahoma"/>
            <family val="2"/>
          </rPr>
          <t xml:space="preserve">
La reserva la tenías unicamente asociada a meta 1 $253.060.894</t>
        </r>
      </text>
    </comment>
    <comment ref="BA36" authorId="0" shapeId="0" xr:uid="{B310F9B3-E467-4CC8-B4C1-7263E05F439D}">
      <text>
        <r>
          <rPr>
            <b/>
            <sz val="9"/>
            <color indexed="81"/>
            <rFont val="Tahoma"/>
            <family val="2"/>
          </rPr>
          <t>ANGELA MARCELA FORERO RUIZ:</t>
        </r>
        <r>
          <rPr>
            <sz val="9"/>
            <color indexed="81"/>
            <rFont val="Tahoma"/>
            <family val="2"/>
          </rPr>
          <t xml:space="preserve">
La reserva la tenías unicamente asociada a meta 1 $253.060.894</t>
        </r>
      </text>
    </comment>
    <comment ref="BC36" authorId="0" shapeId="0" xr:uid="{E845F415-E1B0-41AC-99DB-59055B60DB50}">
      <text>
        <r>
          <rPr>
            <b/>
            <sz val="9"/>
            <color indexed="81"/>
            <rFont val="Tahoma"/>
            <family val="2"/>
          </rPr>
          <t>ANGELA MARCELA FORERO RUIZ:</t>
        </r>
        <r>
          <rPr>
            <sz val="9"/>
            <color indexed="81"/>
            <rFont val="Tahoma"/>
            <family val="2"/>
          </rPr>
          <t xml:space="preserve">
La reserva la tenías unicamente asociada a meta 1 $253.060.894</t>
        </r>
      </text>
    </comment>
  </commentList>
</comments>
</file>

<file path=xl/sharedStrings.xml><?xml version="1.0" encoding="utf-8"?>
<sst xmlns="http://schemas.openxmlformats.org/spreadsheetml/2006/main" count="4364" uniqueCount="1220">
  <si>
    <t>SECRETARÍA DISTRITAL DE LA MUJER</t>
  </si>
  <si>
    <t>Código: DE-FO-05</t>
  </si>
  <si>
    <t xml:space="preserve">DIRECCIONAMIENTO ESTRATEGICO </t>
  </si>
  <si>
    <t>Versión: 08</t>
  </si>
  <si>
    <t xml:space="preserve">FORMULACIÓN Y SEGUIMIENTO  PLAN DE ACCIÓN </t>
  </si>
  <si>
    <t>Fecha de Emisión: 4 de enero de 2022</t>
  </si>
  <si>
    <t>Página 1 de 3</t>
  </si>
  <si>
    <t>PERIODO REPORTADO</t>
  </si>
  <si>
    <t>ABR</t>
  </si>
  <si>
    <t>FECHA DE REPORTE</t>
  </si>
  <si>
    <t>TIPO DE REPORTE</t>
  </si>
  <si>
    <t>FORMULACION</t>
  </si>
  <si>
    <t>ACTUALIZACION</t>
  </si>
  <si>
    <t>SEGUIMIENTO</t>
  </si>
  <si>
    <t>X</t>
  </si>
  <si>
    <t>NOMBRE DEL PROYECTO</t>
  </si>
  <si>
    <t>7673 - Desarrollo de capacidades para aumentar la autonomía y empoderamiento de las mujeres en toda su diversidad en Bogotá</t>
  </si>
  <si>
    <t>PROPÓSITO</t>
  </si>
  <si>
    <t xml:space="preserve">1 - Hacer un nuevo contrato social con igualdad de oportunidades para la inclusión social, productiva y política </t>
  </si>
  <si>
    <t>LOGRO</t>
  </si>
  <si>
    <t>2 -  Reducir la pobreza monetaria, multidimensional y la feminización de la pobreza.</t>
  </si>
  <si>
    <t>PROGRAMA</t>
  </si>
  <si>
    <t>Igualdad de oportunidades y desarrollo de capacidades para las mujeres</t>
  </si>
  <si>
    <t>DESCRIPCIÓN DE LA META (ACTIVIDAD MGA)</t>
  </si>
  <si>
    <t>Formar 26100 mujeres en sus derechos a través de procesos de desarrollo de capacidades en el uso TIC</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</si>
  <si>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</si>
  <si>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</si>
  <si>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</si>
  <si>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</si>
  <si>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</si>
  <si>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</si>
  <si>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</si>
  <si>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MAR</t>
  </si>
  <si>
    <t>MAY</t>
  </si>
  <si>
    <t>JUN</t>
  </si>
  <si>
    <t>JUL</t>
  </si>
  <si>
    <t>AGO</t>
  </si>
  <si>
    <t>SEP</t>
  </si>
  <si>
    <t>OCT</t>
  </si>
  <si>
    <t>NOV</t>
  </si>
  <si>
    <t>DIC</t>
  </si>
  <si>
    <t>TOTAL</t>
  </si>
  <si>
    <t>AVANCE</t>
  </si>
  <si>
    <t>PROGRAMACION DE COMPROMISOS</t>
  </si>
  <si>
    <t>COMPROMISOS</t>
  </si>
  <si>
    <t>Este valor incluye los recursos del proceso en curso 2021- SIMISIONAL 2,0 ($50.000.000)</t>
  </si>
  <si>
    <t>PROGRAMACION DE GIROS</t>
  </si>
  <si>
    <t>GIROS</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</si>
  <si>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</si>
  <si>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</si>
  <si>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</si>
  <si>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</si>
  <si>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</si>
  <si>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REPORTE METAS VIGENCIA (Ejecución vigencia)</t>
  </si>
  <si>
    <t xml:space="preserve">DESCRIPCIÓN DE LA META (ACTIVIDAD) </t>
  </si>
  <si>
    <t>PONDERACIÓN META</t>
  </si>
  <si>
    <t xml:space="preserve">AVANCE DE META </t>
  </si>
  <si>
    <t>DESCRIPCIÓN CUALITATIVA DEL AVANCE POR META</t>
  </si>
  <si>
    <t>Avances y Logros (2.000 caracteres)</t>
  </si>
  <si>
    <t>Retrasos y Alternativas de solución (1.000 caracteres)</t>
  </si>
  <si>
    <t>Beneficios</t>
  </si>
  <si>
    <t>Ene</t>
  </si>
  <si>
    <t>Feb</t>
  </si>
  <si>
    <t>Mar</t>
  </si>
  <si>
    <t>Abr</t>
  </si>
  <si>
    <t>Programación</t>
  </si>
  <si>
    <t>No se presentan retrasos acorde con la programación</t>
  </si>
  <si>
    <t>En enero, no se reportan avances de seguimiento a la meta, considerando que se realizó el proceso de planeación estratégica y definición de productos en el marco de lo programado para la vigencia 2022, las acciones de ejecución se centraron en la formalización de los procesos precontractuales.</t>
  </si>
  <si>
    <t>740 formadas: Word, Excel, Internet:67. Edu.Financiera:3. Hab.Socioemocionales-CID:377. Hab.digitales:151. Int.indicadores género:6. Derechos de mujeres y TIC:15. Prevención violencias digitales:55. Claves ingreso al mundo laboral:25. Constructoras Tic para Paz:4. Básico excel:30. Intermedio excel:7</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</si>
  <si>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</si>
  <si>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</si>
  <si>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</si>
  <si>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</si>
  <si>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</si>
  <si>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</si>
  <si>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</si>
  <si>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</si>
  <si>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</si>
  <si>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</si>
  <si>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</si>
  <si>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</si>
  <si>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</si>
  <si>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</si>
  <si>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</si>
  <si>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</si>
  <si>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</si>
  <si>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</si>
  <si>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</si>
  <si>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</si>
  <si>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1. Diseñar y /o actualizar cinco (5) contenidos  pedagógicos de formación: Uno (1) para modalidad presencial; uno (1) para modalidad virtual, y tres (3) de la plataforma Moodle</t>
  </si>
  <si>
    <t>2. Diseñar e implementar una (1) estrategia de convocatoria para asegurar la vinculación de mujeres a los procesos de formación presencial, virtual y de la plataforma Moodle</t>
  </si>
  <si>
    <t>3. Elaborar tres reportes mensuales de seguimiento a las mujeres formadas:
Uno (1) de los CID , uno de Moodle, uno de otros procesos de formación en el marco de la Gerencia de Formación</t>
  </si>
  <si>
    <t xml:space="preserve">4. Realizar cuatro (4) jornadas de reconocimiento a las mujeres formadas en los Centros de Inclusión Digital </t>
  </si>
  <si>
    <t>5. Adecuar la infraestructura tecnológica de los Centros de Inclusión Digital, aportando a la inclusión del enfoque diferencial</t>
  </si>
  <si>
    <t>6. Actualizar una (1) memoria del proceso de formación durante la vigencia que recoja los aprendizajes cualitativos de las mujeres</t>
  </si>
  <si>
    <t>*Incluir tantas filas sean necesarias</t>
  </si>
  <si>
    <t>Diseñar 13 contenidos para el desarrollo de capacidades socioemocionales, técnicas y digitales de las mujeres, en toda su diversidad.</t>
  </si>
  <si>
    <t>En enero, no se reportan avances de seguimiento a la meta, considerando que se realizó el proceso de planeación estratégica y definición de productos en el marco de lo programado para la vigencia 2022, las acciones de ejecución se centraron en la revisión de alternativas precontractuales.</t>
  </si>
  <si>
    <t xml:space="preserve"> Se plantean las temáticas de los cursos y se revisa la modalidad de contratación con el fin de revisar si se debe modificar.</t>
  </si>
  <si>
    <t xml:space="preserve"> Se revisa la posibilidad de cambiar la modalidad de contratación. </t>
  </si>
  <si>
    <t>7. Elaborar, desarrollar y virtualizar cuatro (4) contenidos para el desarrollo de capacidades socioemocionales, técnicas y digitales de las mujeres, en toda su diversidad</t>
  </si>
  <si>
    <t>Actividad no programada para el periodo de reporte</t>
  </si>
  <si>
    <t/>
  </si>
  <si>
    <t>Este valor incluye los recursos del proceso en curso 2021- SIMISIONAL 2,0 ($100.000.000)</t>
  </si>
  <si>
    <t>ENERO-MARZO</t>
  </si>
  <si>
    <t>ABRIL-JUNIO</t>
  </si>
  <si>
    <t xml:space="preserve">
Durante el mes de mayo se destacan los siguientes avances: i) 1.113 registros y 456 orientaciones de mujeres a través de la Ruta de Divulgación y Orientación para Mujeres. Lo anterior, se llevó a cabo en 19 localidades, mediante la participación en 122 espacios de difusión. ii) 10 sesiones de divulgación de la convocatoria del Decreto 332, a los a los sectores económicos de Construcción, transporte y almacenamiento, suministro de electricidad, gas y agua, actividades inmobiliarias, información y telecomunicaciones, industria manufacturera, comercio y reparación de vehículos. iii)Divulgación del programa Distrital Empleo Joven, Ruta de empleabilidad. iv) Propuesta brief de programa para la generación de ingresos “Vecinas, sigamos trabajando juntas” 
En ese orden de ideas, a mayo de 2022, se han orientado un total de 1.424 mujeres, y un acumulado de 3.672 registros. 
</t>
  </si>
  <si>
    <t>No se identifican retrasos a la fecha de reporte</t>
  </si>
  <si>
    <t xml:space="preserve">Por medio de las líneas de la estrategia de emprendimiento y empleabilidad, se beneficiará a las mujeres con orientación acerca de programas de generación de ingresos y empleo, por medio de una línea normativa establecida en el Decreto 332 para reducir brechas de acceso en el mercado laboral y un modelo de intervención con el sector privado para promover la inclusión de mujeres en oportunidades laborales. En términos de generación de ingresos por medio de la estrategia se implementará por primera vez un programa de generación de ingresos para mujeres cuidadoras y a nivel distrital se avanza en orientar la inclusión del enfoque de género en programas de empleo y generación de ingresos. </t>
  </si>
  <si>
    <r>
      <t>Durante el primer trimestre del 202</t>
    </r>
    <r>
      <rPr>
        <b/>
        <sz val="11"/>
        <color rgb="FF000000"/>
        <rFont val="Times New Roman"/>
        <family val="1"/>
      </rPr>
      <t>2</t>
    </r>
    <r>
      <rPr>
        <sz val="11"/>
        <color rgb="FF000000"/>
        <rFont val="Times New Roman"/>
        <family val="1"/>
      </rPr>
      <t xml:space="preserve"> , a través de la Ruta de Divulgación y Orientación se lograron 689 orientaciones de mujeres y 1.690 registros a través de la difusión de 17 programas -distritales de empleo, generación de ingresos y formación para el trabajo y se realizaron 28.528 divulgaciones del programa Empleo Joven. Se realizan dos mesas de género de EMRE en donde se definió un acompañamiento para incluir un nuevo programa de generación de ingresos y según la información reportada por las entidades y organismos distritales respecto del cumplimiento del Decreto 332 de 2020, se contrataron 29.167 mujeres en las distintas ramas económicas descritas en el Decreto.</t>
    </r>
  </si>
  <si>
    <t xml:space="preserve">Durante el mes de abril se destacan los siguientes avances: i) 869 registros y 279 orientaciones de mujeres a través de la Ruta de Divulgación y Orientación para Mujeres. Lo anterior, se llevo a cabo en 19 localidades, mediante la participación en 57 espacios de difusión. ii) 7 sesiones de divulgación de la convocatoria del Decreto 332, y envío de convocatoria a empresas de 4 sectores económicos; iii) Divulgación del programa Distrital Empleo Joven, registro de mujeres al programa Impulso al Empleo y definición de ruta de trabajo con la Agencia de Empleo de la SDDE. iv) Propuesta de transición para beneficiarias del programa Mujeres que Reverdecen. En ese orden de ideas, a abril de 2022, se han orientado un total de 968 mujeres, y un acumulado de 2.559 registros. </t>
  </si>
  <si>
    <t>Participación en 29 espacios de divulgación de programas de empleo y generación de ingresos. Informe consolidado cumplimiento Decreto 332 de 2020. Cierre de análisis de programas de generación de ingresos y empleo de EMRE-2021. Ejercicio preparatorio primera mesa de género de EMRE-2022 .</t>
  </si>
  <si>
    <t>*869 registros, 279 orientaciones Ruta: Divulgación y Orientación en 19 localidades, 57 espacios de difusión. *7 divulgaciones Decreto.332, convocatoria:4 empresas.*Divulgación prog:Empleo Joven, registro: Impulso al Empleo. *Propuesta: transición beneficiarias del programa Mujeres que Reverdecen.</t>
  </si>
  <si>
    <t>Reporte: enero a marzo</t>
  </si>
  <si>
    <t>Reporte: abril a junio</t>
  </si>
  <si>
    <t>8. Implementar la ruta de divulgación y orientación para la formación y oferta de empleo y emprendimiento de mujeres diseñada en el marco de la estrategia de emprendimiento y empleabilidad.</t>
  </si>
  <si>
    <t>Durante el mes de abril el equipo territorial asistió a 57 (cincuenta y siete) espacios de difusión en diecinueve localidades .En estos espacios se llevó a cabo difusión de la Estrategia E&amp;E, servicios de la SDMujer, difusión y apoyo en el programa "Vecinas Trabajemos Juntas", programas activos de empleo (Empleo Joven, Ruta de Empleabilidad, Más Empleos del Sector Gastronómico, Vacantes Coca-Cola Femsa, Vacantes disponibles en el sector industrial (Cemex), Impulso al Empleo, Vacantes Diamante, Vacantes Somos Bogotá Usme, Vacantes Xuss, Programa CREO, vacantes empresas BPO), generación de ingresos (Viste Tu Casa Corona, Mujer Emprendedora &amp; Productiva, Vecinas Trabajemos Juntas), formación para el trabajo (Cursos en alianza con la UNAL, Laboratoria, Fundación Sodexo-SENA) y orientación y acompañamiento a mujeres. Por medio de la Ruta de divulgación de la estrategia se llevaron a cabo 279 orientaciones y 869 registros. Anexos: 1. Orientación y caracterización ciudadanas Estrategia E&amp;E Abril</t>
  </si>
  <si>
    <t>9. Gestionar y articular con el sector público y privado, acciones que contribuyan a la implementación del Decreto 332 del 29 de diciembre de 2020 "Por medio del cual se establecen medidas afirmativas para promover la participación de las mujeres en la Contratación del distritito Capital"</t>
  </si>
  <si>
    <t>Durante el mes de mayo se lograron llevar a cabo diez (10) sesiones virtuales de divulgación del Decreto dirigidas a los sectores económicos de Construcción, transporte y almacenamiento, suministro de electricidad, gas y agua, actividades inmobiliarias, información y telecomunicaciones, industria manufacturera, comercio y reparación de vehículos, otras ramas económicas con la asistencia de 61 empresas y 82 personas. Anexos: Actas sesiones sector privado.</t>
  </si>
  <si>
    <t>Actividad no programada para el mes de enero, sin embargo se dio inicio a actividades con la participación en la Unidad Técnica de Apoyo de la Comisión Intersectorial de Mujeres del 27 de enero, en la cual se divulgó el Decreto 332 de 2020, resolviendo las inquietudes de las personas asistentes, se brindó asistencia técnica por correo electrónico a 2 entidades y organismos del distrito y vía telefónica a 12 entidades y organismos distritales. Anexos: 1. Reunión UTA 27-01-22; 2. Asistencia Técnica Alcaldía Rafael Uribe Uribe 27-01-22;  3. Asistencia Técnica IDRD 19-01-22, 9.2.3. PLANILLA ASISTENCIA TÉCNICA DECRETO 332 DE 2020. 
En febrero, se avanza en: i) infografías del Decreto 332 de 2020 ii) cinco (5) sesiones de divulgación y acompañamiento técnico del Decreto 332 de 2020 con la Alcaldía Local de Usaquén, IDPAC, IDIPRON, Secretaría Distrital de Ambiente; iii) Informe para Secretaría Jurídica de los reportes remitidos por las entidades y organismos distritales sobre el cumplimiento del Decreto 332 de 2020 : Anexo 1. (1. Infografía sector público, 2. Infografía sector privado). Anexo 2: (Asistencia Usaquén, 4. Asistencia Idpac, 5. Asistencia secretaria de cultura, 6. asistencia Idipron, 7. Asistencia secretaria de ambiente); Anexo 3: (vf. informe 01-2022-sdm, 9. instrumento seguimiento decreto 332-2020). En marzo, se solicitó la divulgación del Decreto a la Cámara de Comercio de Bogotá a CAMACOL y Onu Mujeres. (Evidencias 1. INFOGRAFIA SECTOR PRIVADO, 2. PANTALLAZO CORREO CCB, 3. PANTALLAZO CORREO CAMACOL). Para el primer y segundo trimestre de la actual vigencia no tenemos datos que den cuenta del número de mujeres beneficiadas, ya que el reporte de la información de cumplimiento del Decreto del actual semestre se realiza antes del 20 de julio del 2022 por parte de las entidades y organismos distritales, por lo tanto, los beneficios de los dos primeros trimestres se reportaran en el segundo semestre de 2022.
Durante el mes de marzo, se avanzó en: 1. Difusión de la infografía del Decreto 332, a personas naturales y jurídicas registradas en los gremios de Cámara de Comercio de Bogotá y CAMACOL. 2. Se remitió a ONU Mujeres la versión final del documento de preguntas frecuentes del Decreto 332 de 2020 para aprobación de contenido y diseño. De acuerdo con la información reportada por las entidades distritales respecto del cumplimiento del Decreto 332,  durante el segundo semestre del año 2021 se contrataron 29.167 mujeres en las distintas ramas económicas descritas en el Decreto. Anexos:1.Se anexan los documentos relacionados.</t>
  </si>
  <si>
    <t>Durante el mes de abril, se avanzó en las siguientes actividades: i) Siete sesiones virtuales de divulgación del Decreto con la asistencia de 45 entidades y organismos del distrito; ii) Una sesión de acompañamiento técnico el día 22 de abril a la Subred de Salud Sur y a la Secretaría Distrital de Salud para resolver inquietudes referentes a la aplicación del Decreto en un convenio suscrito entre las partes. iii) Convocatoria para sesiones de divulgación del Decreto a empresas de 4 sectores económicos. Anexos: 1. Asistencias sesiones grupos. 2. Reunión acompañamiento sector salud; 3. Convocatoria a empresas.</t>
  </si>
  <si>
    <t>10. Promover acciones que contribuyan a la generación de ingresos y empleo para las mujeres, conforme a la oferta de las diferentes entidades del distrito.</t>
  </si>
  <si>
    <t>En abril, se realizaron 28.839 divulgaciones del programa Empleo Joven, se gestionó la participación de la Caja de Compensación de Compensar a la Casa de igualdad de Suba y Kennedy y a la Manzana del Cuidado de Bosa para registro de mujeres al programa Impulso al Empleo y se definió la ruta de trabajo con la Agencia Pública de Empleo. Anexo: 1. Divulgaciones programa Empleo Joven; 2. Registro programa Impulso al Empleo CCF; 3. Ruta de trabajo APE.</t>
  </si>
  <si>
    <t>Feb (producto doc.lin.técnicos)</t>
  </si>
  <si>
    <t>Mar (producto doc.lin.técnicos)</t>
  </si>
  <si>
    <t>Abr (producto doc.lin.técnicos)</t>
  </si>
  <si>
    <t>11. Diseñar dos (2) programas que promuevan la autonomía económica de mujeres, en especial cuidadoras.</t>
  </si>
  <si>
    <t>En abril se avanzó con el equipo de empleo en una propuesta de transición para las mujeres beneficiarias del Programa Mujeres que reverdecen y así comenzar a estructurar una propuesta brief de un nuevo programa para el primer semestre. Sin embargo, no se recibe la información solicitada por parte de Secretaría de Ambiente por lo que no se pueden entregar una propuesta redactada en documento (Anexo 1: propuesta borrador ruta de transición). Durante el mes de mayo se adelanta otra propuesta, la cual se encuentra en borrador,  de un programa de generación de ingresos para fortalecer capacidades de acceso a mercados a las beneficiarias de Vecinas Trabajemos Juntas pensando en una fase dos de la intervención. Esta propuesta sigue en construcción técnica y queda pendiente la revisión de la líder de la estrategia.</t>
  </si>
  <si>
    <t xml:space="preserve">12. Generar y desarrollar alianzas estratégicas que contribuyan a la implementación de la estrategia de emprendimiento y empleabilidad. </t>
  </si>
  <si>
    <t xml:space="preserve">En el mes de mayo se realizaron las siguientes gestiones:
1.	Unilever Reunión para lograr alianza con la SDMujer en temas de empleabilidad e implementación de enfoque de género
2.	Xuss Reunión seguimiento a gestiones y divulgación de vacantes
3.	Coca-Cola Reunión de seguimiento a la articulación entre Coca-Cola y la SDMujer, en temas de empleabilidad
4.	Terpel Reunión para lograr alianza con la SDMujer en temas de empleabilidad y enfoque de género
5.	Estrategia E&amp;E, Alianzas Estratégicas Reunión de seguimiento interna entre equipos de E&amp;E y Alianzas a  gestiones realizadas en temas de empleabilidad para las mujeres de Bogotá
6.	El Empleo Gestiones para avanzar en la divulgación de las vacantes, participación en taller y link cursos SDMujer
7.	Sodexo. Gestiones de seguimiento a las vacantes divulgadas y a la participación de las mujeres en las charlas ofrecidas por la empresa
8.	WOM Reunión asistencia técnica implementación enfoque de género
9.	Adidas Reunión de seguimiento a los procesos de vinculación de dos personas con experiencia de vida trans y existe una vacante más para una tercera persona. 
10.	Cemex Reunión de articulación para lograr la asesoría en la implementación del enfoque de género
Anexos
1.	Evidencia reunión
2.	Correos electrónicos, evidencia asistencia reunión
3.	Evidencia reunión, correos electrónicos
4.	Evidencia reunión
5.	Evidencia reunión
6.	Correos electrónicos
7.	Correos electrónicos
8.	Evidencia reunión 
9.	Evidencia reunión 
10.	Evidencia reunión
</t>
  </si>
  <si>
    <t>Ene (ind.gestión)</t>
  </si>
  <si>
    <t>Feb (ind.gestión)</t>
  </si>
  <si>
    <t>Mar (ind.gestión)</t>
  </si>
  <si>
    <t>Abr (ind.gestión)</t>
  </si>
  <si>
    <t>Gestiones para promover alianzas que contribuyan a la implementación de la estrategia de emprendimiento y empleabilidad: Reunión equipo E&amp;E y Alianzas para promover la empleabilidad de mujeres con el sector privado. Seguimiento a la articulación Coca- Cola. Revisión estado alianzas, estrategia 2022.</t>
  </si>
  <si>
    <t>Gestiones para promover alianzas que contribuyan a la implementación de la estrategia de emprendimiento y empleabilidad: Pacto Global, Coca- Cola FEMSA, SODEXO, ADIDAS, DIDI FOODS, Bancamía, Colsubsidio, Estrategia E&amp;E – alianzas (reunión interna). Banco Mundial.</t>
  </si>
  <si>
    <t>Gestiones promoción alianzas que contribuyan a implementación de la estrategia de emprendimiento y empleabilidad
1)CEMEX. 2)Pacto Global. 3)ADIDAS. 4)DIDI FOODS 5)Kuepa. 6)XUSS. 7)Estrategia E&amp;E. 8)Henkel 
9)Sodexo 10)Open Contracting Partnership 11)Dollarcity 12)GEEK. 13)Coca-Cola FEMSA 14)Cencosud</t>
  </si>
  <si>
    <t>Gestiones promoción alianzas que contribuyan a implementación de la estrategia de emprendimiento y empleabilidad Sodexo. Adidas. Coca- Cola FEMSA. Kuepa. Grupo GCO 7. Estrategia E&amp;E, Alianzas Estratégicas Reunión interna. El Empleo. DiDi Food. Xuss. CEMEX. Colombina. International Youth Foundation.</t>
  </si>
  <si>
    <t>DESCRIPCIÓN DE LA ACTIVIDAD</t>
  </si>
  <si>
    <t>Desde el equipo territorial de la E&amp;E se participó en 29 espacios de divulgación de programas de empleo y generación de ingresos en donde se realizaron 165 orientaciones a mujeres y 422 registros.</t>
  </si>
  <si>
    <t>. Para el mes de marzo se asistió a ochenta y cinco (85) espacios de difusión. Así mismo,  a través de la ruta de divulgación de la Estrategia de E&amp;E se llevaron a cabo 370 orientaciones y se realizaron 1172 registros.</t>
  </si>
  <si>
    <t>En febrero, se plantean las temáticas de los cursos y se revisa la modalidad de contratación con el fin de revisar si se debe modificar</t>
  </si>
  <si>
    <t xml:space="preserve"> En marzo, se revisa la posibilidad de cambiar la modalidad de contratación y se revisan documentos contractuales de las vigencias anteriores. </t>
  </si>
  <si>
    <t>Durante el mes de abril no se presentan avances para esta actividad</t>
  </si>
  <si>
    <t xml:space="preserve">Diseñar e Implementar 1 programa piloto para promover la autonomía económica de las mujeres cuidadoras en el marco de la estrategia de emprendimiento y empleabilidad de la SDMujer </t>
  </si>
  <si>
    <t>-</t>
  </si>
  <si>
    <t>Acciones de alistamiento: convocatoria para el periodo del 8-mar a 8-abr, así como de instrumentos de seguimiento y monitoreo del programa. Revisión del plan de trabajo y presupuesto detallado del PNUD para la contratación de equipo que realice seguimiento a las mujeres beneficiarias del programa.</t>
  </si>
  <si>
    <t xml:space="preserve">Diseñar e implementar un (1) programa piloto para promover la autonomía económica de las mujeres cuidadoras en el marco de la estrategia de emprendimiento y empleabilidad de la SDMujer.  </t>
  </si>
  <si>
    <t xml:space="preserve">
En el mes de mayo, culmina el proceso de convocatoria y se seleccionan las 30 organizaciones que quedarán beneficiadas del programa de Vecinas, Trabajemos Juntas.</t>
  </si>
  <si>
    <t>El haber establecido una alianza con las Naciones Unidas para la ejecución del primer programa de generación de ingresos para mujeres cuidadoras permitirá beneficiar a 300 mujeres cuidadoras asociadas en organizaciones productivas  en lo siguiente:  un proceso de fortalecimiento que cuenta con flexibilidad horaria para tener acceso a una mentoría personalizada estructurada por un pool de expertos para fortalecer sus capacidades empresariales en capacidades de acceso a mercados, capacidades organizativas, estructuración de estrategias de acceso a mercados y de formulación y presentación de proyectos para los fondos de desarrollo local o recursos de terceros.</t>
  </si>
  <si>
    <t>Para el mes de enero no se programaron actividades de seguimiento teniendo en cuenta que se encontraba en curso la fase contractual, como resultado de estas acciones se reporta la firma de convenio de cooperación y del equipo que acompañará la implementación del mismo. Para el mes de febrero se da cuenta de la ejecución del primer mes del convenio en donde se adelantaron las acciones de alistamiento de la convocatoria para el periodo del 8 de marzo al 8 de abril, así como de los instrumentos de seguimiento y monitoreo del programa. Alistamiento de la documentación para el primer desembolso; se realiza revisión del plan de trabajo y presupuesto detallado del PNUD lo que permitirá contratar un equipo específico de seguimiento a las mujeres beneficiarias del programa. Durante el mes de marzo se implementa la convocatoria del programa por medio de estrategias territoriales, virtuales y de articulación con actores estratégicos, logrando 58 postulaciones al programa. De estas postulaciones, 25 pasaron términos de referencia. Por otro lado se avanza en definir una estructura de marco de resultados y teoria del cambio del programa que permitirá una futura evaluación de resultados, se define la herramienta de diagnóstico de necesidades organizacionales y se adelanta un reconocimiento de empresas alineadas con el enfoque de género que permitirá facilitar la implementación del componente 3 de acercamiento a mercados. 
Durante el mes de abril se avanzó en identificar 362 organizaciones de mujeres cuidadoras asociadas en la plataforma de la convocatoria de las cuales 128 pasaron al primer filtro de verificación del programa por cumplir con los términos de referencia.
En el mes de mayo, culmina el proceso de convocatoria y se seleccionan las 30 organizaciones que quedarán beneficiadas del programa de Vecinas, Trabajemos Juntas.</t>
  </si>
  <si>
    <t xml:space="preserve">Convocatoria: 58 postulaciones, 25 cumplen términos de referencia. Estructura -marco de resultados y teoria del cambio del programa para evaluación de resultados, herramienta de diagnóstico -necesidades organizacionales y se adelanta reconocimiento de empresas alineadas con el enfoque de género </t>
  </si>
  <si>
    <t>Durante el mes de abril se avanzó en identificar 362 organizaciones de mujeres cuidadoras asociadas en la plataforma de la convocatoria de las cuales 128 pasaron al primer filtro de verificación del programa por cumplir con los términos de referencia.</t>
  </si>
  <si>
    <t xml:space="preserve">13. Estructurar los insumos técnicos del programa para el componente de seguimiento y monitoreo </t>
  </si>
  <si>
    <t xml:space="preserve">Durante el mes de mayo, si bien no se tenían actividades programadas, se realizan aportes técnicos al paquete de contenidos formativos remitidos por parte del PNUD, se cierra el instrumento de diagnóstico de necesidades y el instrumento de línea base. </t>
  </si>
  <si>
    <t>Para el mes de enero no se programaron actividades de avance por cuanto inicia la estapa de estructura interna y alistamiento de documentos (Manual Operativo del programa, los términos de referencia de la convocatoria, el formulario de inscripción de la convocatoria y una propuesta de documento detallada,)Anexos: Documentos preliminares (manual operativo, términos de referencia, formulario de inscripción y propuesta de presupuesto detallado). 
Para el mes de febrero se avanzó en la elaboración de cuatro documentos: documento guía de comunicaciones para la convocatoria de estructuración de copy; fichas de indicadores de seguimiento al programa; borrador del protocolo de manejo de la deserción al programa; instrumento para la calificación de las propuestas de las organizaciones de mujeres que lleguen para la convocatoria. Anexos: Anexo 1: Documento Copy convocatoria;Anexo 2: fichas de indicadores seguimiento del programa; Anexo 3: Borrador protocolo deserción; Anexo 4: Instrumento calificación propuestas.
Para el mes de marzo se desarrolla la propuesta de teoria del cambio y el marco de resultados del programa, así mismo una propuesta de diagnóstico de necesidades de las organizaciones. Anexo 1: Teoria del cambio; anexo 2. marco de resultados; anexo 3. herramienta diagnóstico</t>
  </si>
  <si>
    <t>En abril se avanza en estructurar la linea base de entrada de las mujeres con base en el marco de resultados definido para el programa. (Anexo 1: línea base de entrada). Durante el mes de mayo, si bien no se tenían actividades programadas, se realizan aportes técnicos al paquete de contenidos formativos remitidos por parte del PNUD, se cierra el instrumento de diagnóstico de necesidades y el instrumento de línea base.</t>
  </si>
  <si>
    <t>14. Diseñar e implementar el proceso de convocatoria con el fin de alcanzar la meta poblacional propuesta en el piloto y levantar una línea base de organizaciones productiva de mujeres cuidadoras asociadas</t>
  </si>
  <si>
    <t xml:space="preserve">En enero inicia la estructuración de los términos de referencia de la convocatoria y al formulario de inscripción y así mismo en el borrador del manual operativo. Se plantea la necesidad de elaborar un plan de trabajo con el equipo de comunicaciones para desarrollar el pilotaje de la convocatoria, los copies, intensidad de la divulgación, piezas de comunicaciones a fin de poder lanzar la convocatoria del programa en el marco del 8 de marzo
Anexos: Documento preliminar - términos de referencia y del formulario de inscripción. Durante el mes de febrero se avanzó en la estructuración del documento de comunicaciones de copy, logo del programa, se realizaron unos recorridos de reconocimiento territorial en la manzanas del cuidado y se estructuró la propuesta de calificación de los registros a la convocatoria. Anexo 1: Documento Copy convocatoria; Anexo 2: Logo del programa; Anexo 3: Programación recorridos manzana; Anexo 4: Instrumento calificación propuestas. Durante el mes de marzo de implementa la convocatoria del programa según la estrategia de divulgación diseñada en el documento guía operativa. Se realizan 17 jornadas de divulgación, 170 llamadas de acompañamiento, 54 encuentros territoriales, divulgaciones estratégicas con actores como Confecoop, Corporación Mundial de la Mujer, Onu Mujeres, Fundación Andi, Fundación Keralty, Fundación Saldarriaga Concha. Por lo cual a la fecha se evidencian 43 postulaciones las cuales se encuentran en proceso de verificación de aplicación a términos de referencia. Anexo 1: listado postulaciones. </t>
  </si>
  <si>
    <t>En abril se realiza la entrega de 128 carpetas al PNUD de organizaciones que pasaron a un primer filtro de revisión de términos de referencia (enlace disponible: https://secretariadistritald-my.sharepoint.com/:f:/g/personal/dbarragan_sdmujer_gov_co/EhC5c0cYoaFAl_DLeeHplf0BtvUe-1EklMV2i43CojVFzQ?e=Zy1qWd ), las cuales corresponden al 35,3% del total de las postulaciones que se recibieron en la convocatoria (362).</t>
  </si>
  <si>
    <t>15. Realizar seguimiento al cumplimiento de las horas de formación y mentoría personalizada y las acciones definidas en los planes de fortalecimiento organizativo de las organizaciones productivas de mujeres cuidadoras asociadas beneficiarias del piloto.</t>
  </si>
  <si>
    <t>Para el mes de enero, febrero, marzo  no se reportan actividades puesto que el seguimiento a las horas de formación y mentoría se corrió un mes, para la fase de implementación del programa.</t>
  </si>
  <si>
    <t>En abril se registran retrasos al plan de trabajo correspondientes al proceso de contratación del equipo implementaron del PNUD, contenidos formativos y selección de las organizaciones por lo cual se reportaran avances de esta actividad en el mes de mayo.</t>
  </si>
  <si>
    <t>16. Supervisar el cumplimiento de los objetivos propuestos en el piloto.</t>
  </si>
  <si>
    <t>Durante el mes de mayo  se realizan los informes de seguimiento al convenio  y el informe de supervisión. Anexo 1: Se adjunta informe de supervisión y seguimiento.</t>
  </si>
  <si>
    <t>Durante el mes de enero no se programan actividades de avance por cuanto se adelanta la etapa contractual y se firma convenio de cooperación con el Programa de las Naciones Unidas para el Desarrollo PNUD
Anexos. Documentos contractuales del convenio.  
Durante el mes de febrero se avanzó en el primer informe de supervisión del convenio y el trámite para el primer desembolso y se estableció un mecanismo de seguimiento semanal al plan de trabajo. Anexo 1: Paquete primer desembolso Anexo 2: Enlace ficha de seguimiento semanal al programa: https://secretariadistritald-my.sharepoint.com/:f:/g/personal/amsancheza_sdmujer_gov_co/Esi7-bhNc8REnyGmUPq_KxABav9x2Fcs86bY2l36RMddKA?e=9D8XAX. Durante el mes de marzo se realiza el informe de seguimiento a la ejecución técnica y financiera del convenio según plan de trabajo entregado por el PNUD y se realiza el informe de supervisión. Anexo 1. Informe se seguimiento marzo 2022.Anexo 2. Informe de supervisión marzo 2022</t>
  </si>
  <si>
    <t>Durante el mes de abril se avanza en la realización del comité del convenio y seguimiento al primer desembolso y se realiza el informe mensual de seguimiento (Anexo 1. Informe abril de seguimiento).</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</si>
  <si>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</si>
  <si>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</si>
  <si>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</si>
  <si>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</si>
  <si>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</si>
  <si>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</si>
  <si>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</si>
  <si>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</si>
  <si>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</si>
  <si>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</si>
  <si>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</si>
  <si>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</si>
  <si>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</si>
  <si>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</si>
  <si>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</si>
  <si>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</si>
  <si>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</si>
  <si>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 xml:space="preserve">FORMULACIÓN Y SEGUIMIENTO PLAN DE ACCIÓN </t>
  </si>
  <si>
    <t>ANEXO - TERRITORIALIZACIÓN</t>
  </si>
  <si>
    <t>Página 3 de 3</t>
  </si>
  <si>
    <t xml:space="preserve">PROGRAMACIÓN </t>
  </si>
  <si>
    <t xml:space="preserve">SEGUIMIENTO </t>
  </si>
  <si>
    <t>PERIODO DE REPORTE:</t>
  </si>
  <si>
    <t>abril</t>
  </si>
  <si>
    <t>INDICADOR / META:</t>
  </si>
  <si>
    <t>LOCALIDAD</t>
  </si>
  <si>
    <t>TOTAL POR LOCALIDAD</t>
  </si>
  <si>
    <t xml:space="preserve">ENFOQUE DIFERENCIAL </t>
  </si>
  <si>
    <t>GRUPO ETARIO</t>
  </si>
  <si>
    <t>Magnitud</t>
  </si>
  <si>
    <t>Presupuesto</t>
  </si>
  <si>
    <t>ACUM I TRIM</t>
  </si>
  <si>
    <t>ACUM II TRIM</t>
  </si>
  <si>
    <t>ACUM III TRIM</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</si>
  <si>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</si>
  <si>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</si>
  <si>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</si>
  <si>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</si>
  <si>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</si>
  <si>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</si>
  <si>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</si>
  <si>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</si>
  <si>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</si>
  <si>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</si>
  <si>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</si>
  <si>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</si>
  <si>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</si>
  <si>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2. Chapinero</t>
  </si>
  <si>
    <t>5. Usme</t>
  </si>
  <si>
    <t>6. Tunjuelito</t>
  </si>
  <si>
    <t>7. Bosa</t>
  </si>
  <si>
    <t>8. Kennedy</t>
  </si>
  <si>
    <t>11. Suba</t>
  </si>
  <si>
    <t>12. Barrios Unidos</t>
  </si>
  <si>
    <t>13. Teusaquillo</t>
  </si>
  <si>
    <t>15. Antonio Nariño</t>
  </si>
  <si>
    <t>16. Puente Aranda</t>
  </si>
  <si>
    <t>17. La Candelaria</t>
  </si>
  <si>
    <t>18. Rafael Uribe Uribe</t>
  </si>
  <si>
    <t>20. Sumapaz</t>
  </si>
  <si>
    <t>TOTAL POR MES</t>
  </si>
  <si>
    <t>NOTA</t>
  </si>
  <si>
    <t>El reporte de mujeres formadas se realizara de manera mensual, y los recursos presupuestales se realizará de manera trimestral acorde con el reporte SEGPLAN</t>
  </si>
  <si>
    <t>Número de mujeres orientadas a través de la Ruta de Divulgación y Orientación.</t>
  </si>
  <si>
    <t>ACUM IV TRIM</t>
  </si>
  <si>
    <t>Total</t>
  </si>
  <si>
    <t>Contratista</t>
  </si>
  <si>
    <t>Acumulado giros</t>
  </si>
  <si>
    <t>MARIA CARMENZA USSA TUNUBALA</t>
  </si>
  <si>
    <t>YHIRA ZURLEY LOPEZ GONZALEZ</t>
  </si>
  <si>
    <t>ANGELA MARIA BELTRAN ISAZA</t>
  </si>
  <si>
    <t>GLORIA LORENA CALDERON NIÑO</t>
  </si>
  <si>
    <t>YULIANA KAROLINA GONZALEZ HOYOS</t>
  </si>
  <si>
    <t>ANGELICA MARIA MARTINEZ LEAL</t>
  </si>
  <si>
    <t>ANA DANIELA PINEDA TOBASIA</t>
  </si>
  <si>
    <t>PIEDAD JIMENA SANCHEZ CASTRO</t>
  </si>
  <si>
    <t>LAURA PATRICIA CELY GOMEZ</t>
  </si>
  <si>
    <t>LAURA ANDREA SALGADO MARTINEZ</t>
  </si>
  <si>
    <t>MARTHA  GUERRERO MUNEVAR</t>
  </si>
  <si>
    <t>Giros a 28-feb</t>
  </si>
  <si>
    <t>Giros a 31-mar</t>
  </si>
  <si>
    <t>FORMULACIÓN Y SEGUIMIENTO PLAN DE ACCIÓN</t>
  </si>
  <si>
    <t>Página 2 de 3</t>
  </si>
  <si>
    <t>DESCRIPCIÓN CUALITATIVA DEL AVANCE</t>
  </si>
  <si>
    <t>RETRASOS Y FACTORES LIMITANTES PARA EL CUMPLIMIENTO</t>
  </si>
  <si>
    <t>SOLUCIONES PROPUESTAS PARA RESOLVER LOS RETRASOS Y FACTORES LIMITANTES PARA EL CUMPLIMIENTO</t>
  </si>
  <si>
    <t>PRODUCTO INSTITUCIONAL (PMR):</t>
  </si>
  <si>
    <t xml:space="preserve">Igualdad de oportunidades y desarrollo de capacidades para las mujeres </t>
  </si>
  <si>
    <t>OBJETIVO ESTRATEGICO:</t>
  </si>
  <si>
    <t>Contribuir a la reducción de la feminización de la pobreza, al desarrollo de capacidades y al empoderamiento</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</si>
  <si>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</si>
  <si>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</si>
  <si>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</si>
  <si>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</si>
  <si>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</si>
  <si>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</si>
  <si>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</si>
  <si>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</si>
  <si>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</si>
  <si>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</si>
  <si>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</si>
  <si>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</si>
  <si>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</si>
  <si>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</si>
  <si>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</si>
  <si>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</si>
  <si>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</si>
  <si>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</si>
  <si>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</si>
  <si>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</si>
  <si>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</si>
  <si>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FÍSICA</t>
  </si>
  <si>
    <t>AVANCE %</t>
  </si>
  <si>
    <t>Aumentar en un 30% el número de mujeres formadas en los centros de inclusión digital.</t>
  </si>
  <si>
    <t>Número de mujeres formadas en los Centros de Inclusión Digital</t>
  </si>
  <si>
    <t>Suma</t>
  </si>
  <si>
    <t>Mujeres Formadas</t>
  </si>
  <si>
    <t>Sumatoria de mujeres formadas en los Centros de Inclusión Digital</t>
  </si>
  <si>
    <t>Mensual</t>
  </si>
  <si>
    <t>Base de mujeres formadas e incluidas en el SIMISIONAL</t>
  </si>
  <si>
    <t>Diseñar y acompañar la estrategia de emprendimiento y empleabilidad para la autonomía económica de las mujeres</t>
  </si>
  <si>
    <t>Porcentaje de avance en el diseño y acompañamiento de la estrategia de emprendimiento y empleabilidad para la autonomía económica de las mujeres</t>
  </si>
  <si>
    <t>Porcentaje de avance</t>
  </si>
  <si>
    <t xml:space="preserve">Sumatoria </t>
  </si>
  <si>
    <t xml:space="preserve">Soportes plan de acción meta 2 y 3. </t>
  </si>
  <si>
    <t xml:space="preserve">42.Número de contenidos diseñados para el desarrollo de capacidades socioemocionales, ocupacionales, técnicas y educación financiera para las mujeres (Módulos y diplomados) </t>
  </si>
  <si>
    <t>Contenidos diseñados</t>
  </si>
  <si>
    <t>Sumatoria de los contenidos diseñados</t>
  </si>
  <si>
    <t>Contenidos publicados en página web de la SDMujer</t>
  </si>
  <si>
    <t>Meta no programada para el primer semestre.</t>
  </si>
  <si>
    <t>Número de registros en la Ruta de  Divulgación y Orientación.</t>
  </si>
  <si>
    <t>N/A</t>
  </si>
  <si>
    <t>Registros</t>
  </si>
  <si>
    <t>Registros realizados</t>
  </si>
  <si>
    <t>Mujeres orientadas</t>
  </si>
  <si>
    <t>Orientaciones realizadas</t>
  </si>
  <si>
    <t>Número de informes consolidados, elaborados a partir de los reportes enviados por las entidades y organismos Distrital en cumplimiento del Decreto 332/2020.</t>
  </si>
  <si>
    <t>Informes consolidados</t>
  </si>
  <si>
    <t>Sumatoria</t>
  </si>
  <si>
    <t>Semestral</t>
  </si>
  <si>
    <t>Reportes realizados</t>
  </si>
  <si>
    <t>De acuerdo a lo programado para el mes de febrero, se realizó el informe consolidado de los reportes remitidos por las entidades y organismos distritales frente al cumplimiento de las medidas contenidas en el Decreto 332 de 2020 para ser remitido a la Secretaría Jurídica Distrital en virtud de lo previsto en el artículo 4 del Decreto 2020. Actividad no programada para el mes de abril</t>
  </si>
  <si>
    <t>Número de propuestas de programas enfocados a la disminución de brecha económica entre hombres y mujeres</t>
  </si>
  <si>
    <t>Propuestas diseñadas</t>
  </si>
  <si>
    <t>Sumatoria de  programas diseñados enfocados a disminuir la brecha económica entre hombres y mujeres</t>
  </si>
  <si>
    <t>Documentos de propuestas de programas enfocados a la disminución de brecha económica entre hombres y mujeres</t>
  </si>
  <si>
    <t>Meta no programada para el mes de mayo.</t>
  </si>
  <si>
    <t>Número de informes del programa piloto, que den cuenta del avance mensual cumplimiento de los objetivos planteados en el programa y de las actividades definidas en el plan de trabajo del programa, actas del comité técnico que den cuenta del seguimiento a los objetivos del piloto.</t>
  </si>
  <si>
    <t>Un programa piloto implementado correspondiente al 100% del cumplimiento de la meta</t>
  </si>
  <si>
    <t>Trimestral</t>
  </si>
  <si>
    <t>Informes de supervisión trimestrales y actas del comité técnico</t>
  </si>
  <si>
    <t>Documento técnico el comité técnico del programa que incluye: i) guía operativa del programa, ii) bases de datos para la convocatoria, iii) términos de referencia de la convocatoria, iv) piezas de la convocatoria, v) términos de referencia de los contratos de los pool de mentores y asesores psicosociales, vi)  Plan de trabajo detallado correspondiente a la duración total del programa</t>
  </si>
  <si>
    <t>Constante</t>
  </si>
  <si>
    <t>Documento técnico</t>
  </si>
  <si>
    <t>Un paquete de documentos para el comité técnico desarrollados correspondiente al 100% de cumplimiento de la actividad de estructurar los insumos técnicos del programa para el componente de seguimiento y monitoreo</t>
  </si>
  <si>
    <t>Anual</t>
  </si>
  <si>
    <t>Documento técnico fortalecimiento organizativo elaborado.</t>
  </si>
  <si>
    <t>Un documento de reporte al proceso de fortalecimiento organizativo, mentoría personalizada, formación y acompañamiento psicosocial</t>
  </si>
  <si>
    <t>Documento proceso de convocatoria elaborado.</t>
  </si>
  <si>
    <t>Documento</t>
  </si>
  <si>
    <t xml:space="preserve">Un documento que da cuenta del proceso de la convocatoria, registro, verificación de los términos de referencia, selección de las beneficiarias correspondiente al 100% del cumplimiento de la actividad de diseño e implementación de la convocatoria del piloto </t>
  </si>
  <si>
    <t>0.2</t>
  </si>
  <si>
    <t>Desarrollo de Capacidades</t>
  </si>
  <si>
    <t>Formar 26.100 mujeres en sus derechos a través de procesos de desarrollo de capacidades en el uso TIC</t>
  </si>
  <si>
    <t>Porcentaje de avance en la divulgación de la oferta de formación</t>
  </si>
  <si>
    <t>Divulgación de la gratuidad de la oferta de formación de la Dirección de gestión del conocimiento</t>
  </si>
  <si>
    <t>Piezas comunicativas</t>
  </si>
  <si>
    <t>Diseñar 13 contenidos para el desarrollo de capacidades socioemocionales, técnicas y digitales de las mujeres, en toda su diversidad</t>
  </si>
  <si>
    <t>Porcentaje de avance en la estructuración del proceso contractual (Convenios/Contratos)</t>
  </si>
  <si>
    <t xml:space="preserve">Convenios/contratos realizados para la elaboración de los contenidos </t>
  </si>
  <si>
    <t>Actas y listados de asistencia
Documento de formalización del contrato o convenio (minuta, documentos del proceso)</t>
  </si>
  <si>
    <t xml:space="preserve">Diseñar e implementar 1 estrategia para el desarrollo de capacidades socioemocionales y técnicas de las mujeres en toda su diversidad para su emprendimiento y empleabilidad.  </t>
  </si>
  <si>
    <t>Informe de alianzas realizadas</t>
  </si>
  <si>
    <t>Informe realizado</t>
  </si>
  <si>
    <t>Implementación, formalización y continuidad de los procesos realizados con la gestión de alianzas nacionales, internacionales, públicos y privados mediante la articulación de las dependencias competentes en cada caso y la interlocución con los aliados</t>
  </si>
  <si>
    <t>ELABORÓ</t>
  </si>
  <si>
    <t>Firma:</t>
  </si>
  <si>
    <t>REVISÓ OFICINA ASESORA DE PLANEACIÓN</t>
  </si>
  <si>
    <t xml:space="preserve">VoBo. </t>
  </si>
  <si>
    <t>Nombre: M1-Rocio Duran Mahecha. M2-Ángela Adriana Ávila. M3.M4- Ana María Sánchez</t>
  </si>
  <si>
    <t xml:space="preserve">Nombre: Andrea Ramírez Pisco </t>
  </si>
  <si>
    <t>Nombre: Diana María Parra Romero</t>
  </si>
  <si>
    <t>Nombre:</t>
  </si>
  <si>
    <t>Nombre: Sandra Catalina Campos</t>
  </si>
  <si>
    <t>Cargo: Contratista DGC / Contratistas SCPI</t>
  </si>
  <si>
    <t xml:space="preserve">Cargo: Directora de gestión del conocimiento (M1) </t>
  </si>
  <si>
    <t>Cargo: Subsecretaria del Cuidado y Políticas de Igualdad (M2,M3,M4)</t>
  </si>
  <si>
    <t xml:space="preserve">Cargo: </t>
  </si>
  <si>
    <t>Cargo: Jefa Oficina Asesora de Planeación</t>
  </si>
  <si>
    <t>Asignación recursos</t>
  </si>
  <si>
    <t>Proyecto</t>
  </si>
  <si>
    <t>Número de meta</t>
  </si>
  <si>
    <t xml:space="preserve">Nombre proyecto / Meta proyecto de inversión </t>
  </si>
  <si>
    <t>Total cuatrienio</t>
  </si>
  <si>
    <t>Ponderación ppto</t>
  </si>
  <si>
    <t>Ponderación definida por el proyecto</t>
  </si>
  <si>
    <t>Meta 1. Formar 26100 Mujeres En Sus Derechos A Través De Procesos De Desarrollo De Capacidades En El Uso Tic.</t>
  </si>
  <si>
    <t>Meta 2. Diseñar 13 Contenidos Para El Desarrollo De Capacidades Socioemocionales, Técnicas Y Digitales De Las Mujeres, En Toda Su Diversidad</t>
  </si>
  <si>
    <t>Meta 3. Diseñar E Implementar 1 Estrategía Para El Desarrollo De Capacidades Sociomecionales Y Técnicas De Las Mujeres En Toda Su Diversidad Para Su Emprendimiento Y Empleabilidad.</t>
  </si>
  <si>
    <t xml:space="preserve">Meta 4. Diseñar e Implementar 1 programa piloto para promover la autonomía económica de las mujeres cuidadoras en el marco de la estrategia de emprendimiento y empleabilidad de la SDMujer  </t>
  </si>
  <si>
    <t>PROGRAMACION</t>
  </si>
  <si>
    <t>VALIDACION</t>
  </si>
  <si>
    <t>Fecha de Correo</t>
  </si>
  <si>
    <t>Programacion</t>
  </si>
  <si>
    <t>PAABS</t>
  </si>
  <si>
    <t>Consecutivo preliminar PAABS</t>
  </si>
  <si>
    <t>Consecutivo DEFINITIVO PAABS V1 - 2022</t>
  </si>
  <si>
    <t>No. Proyecto</t>
  </si>
  <si>
    <t>Nombre Proyecto</t>
  </si>
  <si>
    <t>Tipo de Proceso</t>
  </si>
  <si>
    <t>Insumo MGA</t>
  </si>
  <si>
    <t xml:space="preserve">Proposito </t>
  </si>
  <si>
    <t xml:space="preserve">Logro de ciudad </t>
  </si>
  <si>
    <t>Programa</t>
  </si>
  <si>
    <t>Programa estrategico</t>
  </si>
  <si>
    <t xml:space="preserve">Meta Plan de Desarrollo </t>
  </si>
  <si>
    <t xml:space="preserve">Meta proyecto de inversión </t>
  </si>
  <si>
    <t xml:space="preserve"> % Distribución Presupuestal a la meta proyecto de inversión</t>
  </si>
  <si>
    <t>Código componente de gasto</t>
  </si>
  <si>
    <t xml:space="preserve">Descripción componente de Gasto </t>
  </si>
  <si>
    <t>Códigos UNSPSC</t>
  </si>
  <si>
    <t>Descripción proceso</t>
  </si>
  <si>
    <t>Fecha estimada de inicio de proceso de selección</t>
  </si>
  <si>
    <t>Fecha estimada de presentación de ofertas</t>
  </si>
  <si>
    <t>Duración estimada del contrato</t>
  </si>
  <si>
    <t xml:space="preserve">Modalidad de selección </t>
  </si>
  <si>
    <t>Fuente de los recursos</t>
  </si>
  <si>
    <t xml:space="preserve">Valor total estimado </t>
  </si>
  <si>
    <t xml:space="preserve">Valor honorarios mensuales </t>
  </si>
  <si>
    <t>Justificación de la necesidad a contratar</t>
  </si>
  <si>
    <t xml:space="preserve">Área responsable de realizar la contratación </t>
  </si>
  <si>
    <t>Abril</t>
  </si>
  <si>
    <t>May</t>
  </si>
  <si>
    <t>Jun</t>
  </si>
  <si>
    <t>Jul</t>
  </si>
  <si>
    <t>Ago</t>
  </si>
  <si>
    <t>Sep</t>
  </si>
  <si>
    <t>Oct</t>
  </si>
  <si>
    <t>Nov</t>
  </si>
  <si>
    <t>Dic</t>
  </si>
  <si>
    <t>Cta x pagar</t>
  </si>
  <si>
    <t>M1</t>
  </si>
  <si>
    <t>M2</t>
  </si>
  <si>
    <t>M3</t>
  </si>
  <si>
    <t>M4</t>
  </si>
  <si>
    <t>miércoles 25/08/2021 10:18 p. m.</t>
  </si>
  <si>
    <t>SI</t>
  </si>
  <si>
    <t>Desarrollo de capacidades para aumentar la autonomía y empoderamiento de las mujeres en toda su diversidad en Bogotá</t>
  </si>
  <si>
    <t>PRESTACION DE SERVICIOS</t>
  </si>
  <si>
    <t>Mano de obra calificada</t>
  </si>
  <si>
    <t>3. Igualdad de oportunidades y desarrollo de capacidades para las mujeres</t>
  </si>
  <si>
    <t>1. Hacer un nuevo contrato social con igualdad de oportunidades para la inclusión social, productiva y política.</t>
  </si>
  <si>
    <t>2. Reducir la pobreza monetaria, multidimensional y la feminización de la pobreza.</t>
  </si>
  <si>
    <t xml:space="preserve">2. Igualdad de oportunidades y desarrollo de capacidades para las mujeres </t>
  </si>
  <si>
    <t>1. Oportunidades de educación, salud y cultura para mujeres, jóvenes, niños, niñas y adolescentes</t>
  </si>
  <si>
    <t>9. Aumentar en un 30% el número de mujeres formadas en los centros de inclusión digital</t>
  </si>
  <si>
    <t>M1. Formar 26.100 mujeres en sus derechos a través de procesos de desarrollo de capacidades en el uso TIC</t>
  </si>
  <si>
    <t>O232020200991114</t>
  </si>
  <si>
    <t>Servicios de planificación económica, social y estadística de la administración publica</t>
  </si>
  <si>
    <t>Prestar servicios profesionales para apoyar a la Dirección de Gestión del Conocimiento en la formulación, actualización y seguimiento de lineamientos de formación y estrategias pedagógicas orientadas al fortalecimiento de derechos de las mujeres mediante el uso de herramientas TIC, TAC y TEP.</t>
  </si>
  <si>
    <t>CCE-16 - Contratación directa.</t>
  </si>
  <si>
    <t>1-100-F001 - VA-Recursos distrito</t>
  </si>
  <si>
    <t>Se hace necesaria la contratación de dos profesionales que formulen y actualicen los lineamientos de formación, procedimientos de carácter estratégico y actividades que permitan la planeación, implementación, seguimiento y sostenibilidad de las líneas de trabajo definidas y asociadas a la formación en derechos de las mujeres a través de las TIC, TAC y TEP. Así como la propuesta de modelos pedagógicos que propongan formas innovadoras de llevar e intercambiar conocimientos a niñas, adolescentes y jóvenes y que a futuro permita mostrar otras opciones para la construcción de sus proyectos de vida.</t>
  </si>
  <si>
    <t>Dirección de Gestión del Conocimiento</t>
  </si>
  <si>
    <t xml:space="preserve">Prestar servicios profesionales a la Dirección de Gestión del Conocimiento en la formulación, actualización, seguimiento de lineamientos de formación y estrategias pedagógicas orientadas al fortalecimiento de derechos de las mujeres, sus capacidades y habilidades. </t>
  </si>
  <si>
    <t>Se hace necesaria la contratación de dos profesionales que formulen y actualicen los lineamientos de formación, procedimientos de carácter estratégico y actividades que permitan la planeación, implementación, seguimiento y sostenibilidad de las líneas de trabajo definidas y asociadas a la formación en derechos de las mujeres para el fortalecimiento de sus capacidades y habilidades.</t>
  </si>
  <si>
    <t>O232020200883132</t>
  </si>
  <si>
    <t>Servicios de soporte en tecnologías de la información (TI)</t>
  </si>
  <si>
    <t>Prestar servicios profesionales a la Dirección de Gestión del Conocimiento participando en la elaboración y puesta en marcha de contenidos virtuales relacionados con los derechos de las mujeres mediante el uso de herramientas TIC, TAC y TEP.</t>
  </si>
  <si>
    <t>Los procesos de formación a través de herramientas TIC requieren de una persona que elabore los contenidos para que las mujeres participantes se apropien de sus derechos, a través del uso de medios digitales para acceder a información que les permita el desarrollo de capacidades para su autonomía. 
Es necesario que los procesos de formación se ofrezcan en una plataforma web para facilitar el acceso de las mujeres. Así mismo, incorporar elementos gráficos, amigables y con entornos de aprendizaje adecuados para el desarrollo de los mismos.</t>
  </si>
  <si>
    <t>Prestar servicios profesionales a la Dirección de Gestión del Conocimiento para apoyar la orientación estratégica, seguimiento y articulación intra e interinstitucional de la estrategia Centros de Inclusión Digital; así como en la formulación y seguimiento de los instrumentos de planeación de la dependencia.</t>
  </si>
  <si>
    <t xml:space="preserve">La Dirección de Gestión del Conocimiento requiere un profesional que realice articulación de las actividades adelantadas por la estrategia de CID con los lineamientos que definan la Subsecretaría de Políticas de Igualdad (en calidad de Gerenta del proyecto) y la Dirección de Gestión del Conocimiento (en calidad de líder técnico del componente CID); así mismo, realizará interlocución con otras entidades para la coordinación de acciones conjuntas. También apoyará la formulación y seguimiento de instrumentos de planeación a cargo de la DGC. </t>
  </si>
  <si>
    <t>Prestar servicios profesionales a la Dirección de Gestión del Conocimiento apoyando la organización, coordinación y control de los procesos formativos relacionados con los derechos de las mujeres mediante el uso de herramientas TIC, TAC y TEP, así como del funcionamiento de los Centros de Inclusión Digital.</t>
  </si>
  <si>
    <t xml:space="preserve">Las acciones de formación a través del uso de tecnologías de información y comunicaciones en la dimensión territorial requieren del desarrollo de procesos de monitoreo y seguimiento, dando cuenta de las particularidades, avances y aprendizajes en los Centros de Inclusión Digital, así como de ejercicios de reflexión y aprendizaje conducentes a la mejora continua de dichas acciones de formación orientadas por el equipo de facilitación. Así mismo, esta profesional debe dar cuenta del correcto funcionamiento de los Centros de Inclusión Digital en territorio. </t>
  </si>
  <si>
    <t>O232020200992913</t>
  </si>
  <si>
    <t>Servicios de educación para la formación y el trabajo</t>
  </si>
  <si>
    <t>Apoyar a la Dirección de Gestión del Conocimiento en la implementación de los procesos formativos asociados a temas de derechos de las mujeres mediante el uso de herramientas TIC, TAC y TEP.</t>
  </si>
  <si>
    <t xml:space="preserve">La implementación de los procesos formativos a través del uso de TIC, requiere del apoyo de personas que faciliten las acciones de aprendizaje con la ciudadanía, buscando el desarrollo de capacidades de las mujeres, tanto en escenarios virtuales como de acompañamiento en los Centros de Inclusión Digital, entendiendo estos últimos como escenarios físicos no estáticos, sino que recogen la oferta tecnológica presente en las localidades y que son de fácil acceso a la ciudadanía. </t>
  </si>
  <si>
    <t>Apoyar a la Dirección de Gestión del Conocimiento en la implementación de los procesos formativos asociados a temas de derechos de las mujeres así como el desarrollo de sus capacidades y habilidades.</t>
  </si>
  <si>
    <t xml:space="preserve">La implementación de los procesos formativos asociados a temas de derechos de las mujeres así como el desarrollo de sus capacidades y habilidades, requiere del apoyo de personas que faciliten las acciones de aprendizaje con la ciudadanía, buscando el desarrollo de capacidades de las mujeres, en espacios disponibles en el territorio y que son de fácil acceso a la ciudadanía. </t>
  </si>
  <si>
    <t>10. Diseñar y acompañar la estrategia de emprendimiento y empleabilidad para la autonomía económica de las mujeres</t>
  </si>
  <si>
    <t xml:space="preserve">M3. Diseñar e implementar 1 estrategia para el desarrollo de capacidades socioemocionales y técnicas de las mujeres en toda su diversidad para su emprendimiento y empleabilidad.  </t>
  </si>
  <si>
    <t>Prestar servicios profesionales para apoyar a la Secretaría Distrital de la Mujer en la orientación estratégica y desarrollo de actividades de gestión y seguimiento de iniciativas en materia de alianzas y cooperación técnica y financiera, nacional e internacional, pública y privada, para la garantía de derechos de las mujeres.</t>
  </si>
  <si>
    <t xml:space="preserve">Aumenta la urgencia de garantizar ingresos para las mujeres, que históricamente han enfrentado barreras para vincularse al mercado laboral y se han visto particularmente afectadas por la actual emergencia dado el carácter parcial e informal de la mayoría de las actividades económicas en las que solían desempeñarse.
Teniendo en cuenta lo anterior, la Secretaría Distrital de la Mujer requiere contar con los servicios profesionales especializados para continuar con las acciones de implementación, formalización y continuidad de los procesos relacionados con la gestión de alianzas con actores nacionales, internacionales, públicos y privados mediante la articulación de las dependencias competentes en cada caso y la interlocución con los aliados. Lo anterior, en virtud de un enfoque de corresponsabilidad, donde estos últimos son contrapartes esenciales para apoyar técnica y financieramente el diseño e implementación de la estrategia para el desarrollo de capacidades socioemocionales y técnicas de las mujeres en toda su diversidad para su emprendimiento y empleabilidad cuyo fin último es aportar a la reducción de la pobreza de las mujeres en Bogotá. 
</t>
  </si>
  <si>
    <t>Subsecretaría de Políticas de Igualdad</t>
  </si>
  <si>
    <t>Prestar servicios profesionales para apoyar la implementación de alianzas estratégicas con actores diversos, que le permitan, faciliten y apoyen a la Secretaría Distrital de la Mujer el cumplimiento de los logros correspondientes al sector mujeres.</t>
  </si>
  <si>
    <t>Se considera necesaria la contratación de los servicios profesionales especializados de una persona que apoye las gestiones para implementar y hacer seguimiento a iniciativas en materia de alianzas y cooperación técnica y financiera, nacional e internacional, pública y privada. Dichas alianzas están abocadas a desarrollar acciones concretas para fortalecer la autonomía económica de las mujeres de Bogotá y potenciar sus capacidades socioemocionales y técnicas, como elementos necesarios para mejorar sus condiciones de vida y potenciar su liderazgo dentro de sus comunidades. Lo anterior, con el fin de responder a las profundas brechas de género existentes en el mercado laboral y empresarial de la ciudad, las cuales siguen limitando el acceso de las mujeres a oportunidades de empleabilidad y emprendimiento.</t>
  </si>
  <si>
    <t>Prestar servicios profesionales para coordinar la implementación de la estrategia de empleo y emprendimiento de la Secretaría Distrital de la Mujer, así como apoyar la articulación de esta con los diferentes actores públicos y privados.</t>
  </si>
  <si>
    <t>Se requiere de los servicios profesionales de una persona que apoye la definición de la estrategia y que acompañe la elaboración e implementación de esta, apoyando la coordinación de acciones al interior del equipo el cual para la vigencia 2022 aumentará. Se requieren las labores de coordinación con el fin de generar revisiones del componente técnico durante el proceso de diseño y formulación de la estrategia de empleabilidad y formación para el empleo, y para su implementación en conjunto con la estrategia de emprendimiento, todo ello orientado a la reducción de la feminización de la pobreza, lo cual implica la coordinación y articulación con otros sectores de la Administración Distrital que tienen asiento en la Mesa de reducción de la feminización de la pobreza.</t>
  </si>
  <si>
    <t xml:space="preserve">Prestar servicios profesionales para el desarrollo e implementación del componente de empleo de la estrategia de empleo y emprendimiento para la reducción de la feminización de la pobreza y la articulación con los demás sectores de la administración distrital.  </t>
  </si>
  <si>
    <t>Se requiere de los servicios profesionales de una persona que apoye la definición y que acompañe la elaboración e implementación del componente técnico de la estrategia asociado a empleo, lo anterior  con el fin de generar revisiones del componente durante el proceso de diseño y formulación de la estrategia. De igual forma se requiere que acompañe su articulación intersectorial y aporte al proceso de búsqueda, recolección y análisis de información requerida en el marco de la implementación del componente de empleo.</t>
  </si>
  <si>
    <t xml:space="preserve">Prestar servicios profesionales para el desarrollo e implementación del componente de emprendimiento de la estrategia de empleo y emprendimiento para la reducción de la feminización de la pobreza y la articulación con los demás sectores de la administración distrital.  </t>
  </si>
  <si>
    <t>Se requiere de los servicios profesionales de una persona que apoye la definición y que acompañe la elaboración e implementación del componente técnico de la estrategia asociado a emprendimiento, lo anterior  con el fin de generar revisiones del componente durante el proceso de diseño y formulación de la estrategia. De igual forma se requiere que acompañe su articulación intersectorial y aporte al proceso de búsqueda, recolección y análisis de información requerida en el marco de la implementación del componente de emprendimiento.</t>
  </si>
  <si>
    <t>Prestar servicios profesionales para acompañar técnicamente la implementación del Decreto 332 de 2020; así como, apoyar a los sectores de la administración distrital en la identificación de barreras de acceso que afectan a las mujeres y consolidar información relacionada con acciones de empleabilidad y emprendimiento</t>
  </si>
  <si>
    <t>Teniendo en cuenta el papel de la Secretaría Distrital de la Mujer frente al Decreto Distrital 332 de 2020, y que la entidad además tiene a su cargo el acompañamiento de la estrategia de empleo y emprendimiento para mujeres, y con el propósito de cumplir con la meta establecida en el PDD, se requiere de los servicios profesionales de una persona que acompañe técnicamente la implementación del Decreto 332 de 2020 y apoye a los sectores de la Administración Distrital en la identificación de barreras de acceso que afectan a las mujeres y la consolidación de la información relacionada con acciones de empleabilidad y emprendimiento.</t>
  </si>
  <si>
    <t>Prestar servicios profesionales para apoyar los procesos de gestión y articulación de la estrategia de empleo y emprendimiento(E&amp;E) de la Secretaría Distrital de la Mujer.</t>
  </si>
  <si>
    <t>Teniendo en cuenta  el alcance que adquiere la estrategia en consideración al deterioro de la brecha laboral y de generación de ingresos de las mujeres de Bogotá como resultado de la pandemia, la Secretaría Distrital de la Mujer requiere contratar los servicios profesionales de un profesional especializado que apoye los procesos de  diseño, implementación y seguimiento de la estrategia de emprendimiento y empleabilidad, así como las diferentes articulaciones intra e inter institucional a nivel distrital y nacional, así como la gestión de alianzas con entidades del sector privado que se requieran para el cumplimiento de la misma. Adicionalmente este apoyo comprende las labores de elaboración, consolidación y revisión de informes y documentos que se necesiten como soporte para la correcta ejecución e implementación de la estrategia en el Distrito Capital.</t>
  </si>
  <si>
    <t>Prestar servicios profesionales para apoyar las actividades asociadas a la recolección de insumos; análisis y divulgación estratégicos para el componente de empleo de la estrategia de empleo y emprendimiento.</t>
  </si>
  <si>
    <t>Teniendo en cuenta el alcance que adquiere la estrategia en consideración al deterioro de la brecha laboral y de generación de ingresos de las mujeres de Bogotá como resultado de la pandemia, desde el componente de empleo se requiere de los servicios profesionales de una persona que realice labores de apoyo técnico y administrativo. Este apoyo se refiere al aporte de insumos de contenido, técnicos y operativos y la gestión intra e interinstitucional con entidades de la administración, así como con entidades públicas y privados para el diseño, la formulación, la implementación y el seguimiento del componente de empleo. través de la identificación de insumos. Igualmente, este apoyo comprende actividades administrativas que demanda el desarrollo del componente de empleo, así como la respuesta a las solicitudes de distintas instancias en relación con los contenidos, avances, aportes de la estrategia de emprendimiento y empleabilidad.</t>
  </si>
  <si>
    <t>Prestar servicios profesionales para apoyar la coordinación del equipo territorial encargado de implementar la estrategia de empleabilidad y emprendimiento para la reducción de la feminización de la pobreza.</t>
  </si>
  <si>
    <t>Se requiere de los servicios profesionales de una persona que coordine el componente territorial de la estrategia, así como el equipo de profesionales territoriales de la misma, lo anterior permitirá que las acciones cuenten con acompañamiento técnico oportuno; de igual forma apoyará la distribución y organización del equipo y la identificación de necesidades que serán la base para la implementación de la estrategia a nivel local</t>
  </si>
  <si>
    <t>Apoyar técnicamente los procesos de formación en el marco de la implementación de la estrategia para el desarrollo de capacidades socioemocionales y técnicas de las mujeres en toda su diversidad para su emprendimiento y empleabilidad</t>
  </si>
  <si>
    <t>Se requiere contar con un (1) apoyo técnico que acompañe el desarrollo del componente de  la estrategia de emprendimiento y empleabilidad para el desarrollo de capacidades socioemocionales y técnicas de las mujeres previstas en el proyecto de inversión. De igual modo, la persona realizará apoyo a las profesionales, para la organización, convocatoria, capacitación y demás acciones que se requiera para dar cumplimiento al objeto del contrato.</t>
  </si>
  <si>
    <t>Prestar servicios profesionales para apoyar la implementación de la estrategia de empleabilidad y emprendimiento para la reducción de la feminización de la pobreza en las localidades que le sean asignadas por la supervisora del contrato.</t>
  </si>
  <si>
    <t>Se requiere brindar asesoría, implementar y llevar a cabo el acompañamiento de la estrategia con las mujeres, con el fin de identificar, caracterizar y analizar las diferentes situaciones a las que se enfrentan las mujeres así como buscar alternativas que sean insumo de la reactivación económica, para lo cual resulta necesario contar con servicios de diez (10) profesionales adicionales que brinden apoyo en el desarrollo de la necesidad planteada.</t>
  </si>
  <si>
    <t>Apoyar la supervisión técnica, administrativa y financiera de los convenios y/o contratos, así como las diferentes etapas contractuales de los procesos que se le asignen desde la supervisión del contrato</t>
  </si>
  <si>
    <t>Teniendo en cuenta que se prevé el crecimiento de la estrategia de empleabilidad y emprendimiento, se estima necesaria la contratación de una abogada que apoye la supervisión de convenios y/o contratos que se deriven de las articulaciones; de igual forma que apoye en la estructuración de procesos y demás elementos de las diferente etapas contractuales</t>
  </si>
  <si>
    <t>Subsecretaria de Políticas de Igualdad</t>
  </si>
  <si>
    <t>ADECUACIONES LOGICAS Y FISICAS</t>
  </si>
  <si>
    <t>Mantenimiento maquinaria y equipo</t>
  </si>
  <si>
    <t>O2320202005040254252</t>
  </si>
  <si>
    <t>Servicios generales de construcción de cables locales y obras conexas</t>
  </si>
  <si>
    <t>Adecuaciones lógicas y físicas para las diferentes sedes de la Secretaría Distrital de la Mujer</t>
  </si>
  <si>
    <t>CCE-02 - Licitación pública</t>
  </si>
  <si>
    <t>Para el correcto funcionamiento de los CID es necesario contar con un proveedor que realice las adecuaciones lógicas (Cableado estructurado) y físicas, en caso de reubicación o puesta en operación de nuevas sedes.</t>
  </si>
  <si>
    <t>Oficina Asesora de Planeación</t>
  </si>
  <si>
    <t>ADQUISICION E INSTALACION DE MUEBLES DE OFICINA</t>
  </si>
  <si>
    <t>Maquinaria y Equipo</t>
  </si>
  <si>
    <t>O232020200662283</t>
  </si>
  <si>
    <t>Comercio al por menor de maquinaria y equipo de oficina incluyendo los muebles de oficina en establecimientos especializados</t>
  </si>
  <si>
    <t>56111500; 73111505; 72153606</t>
  </si>
  <si>
    <t>Contratar la adquisición e instalación de muebles de oficina para los Centros de Inclusión Digital de la Secretaría Distrital de la Mujer</t>
  </si>
  <si>
    <t>CCE-07 - Selección abreviada subasta inversa</t>
  </si>
  <si>
    <t xml:space="preserve">Con la reorientación conceptual de los CID, iniciada durante 2021, se hace necesario fortalecer los CID con mobiliario, como mesas, sillas, gavetas, entro otros. </t>
  </si>
  <si>
    <t>CURSOS VIRTUALES</t>
  </si>
  <si>
    <t>Servicios prestados a las empresas y servicios de producción</t>
  </si>
  <si>
    <t xml:space="preserve">M2. Diseñar 13 contenidos para el desarrollo de capacidades socioemocionales, técnicas y digitales de las mujeres, en toda su diversidad </t>
  </si>
  <si>
    <t>86101810, 60105301, 60105303, 43232404, 43232408, 86101810, 93141801, 94141810</t>
  </si>
  <si>
    <t>Elaborar, desarrollar, virtualizar y poner en marcha cursos virtuales para el desarrollo de capacidades de las mujeres, así como capacidades institucionales a partir de los enfoques de género y diferencial</t>
  </si>
  <si>
    <t xml:space="preserve">Se considera fundamental desde la SDMujer, promover la formación para la empleabilidad entendida de acuerdo con la Resolución 195 de la OIT, como el conjunto de “competencias y cualificaciones transferibles que refuerzan la capacidad de las personas para aprovechar las oportunidades de educación y de formación que se les presenten con miras a encontrar y conservar un trabajo decente, progresar en la empresa o al cambiar de empleo y adaptarse a la evolución de la tecnología y de las condiciones del mercado de trabajo” Esta concepción de la empleabilidad (OIT- CINTEFOR, 2012) implica una transferencia de poder que permite desenvolverse con autonomía en un contexto con incertidumbre, que presenta cambios que demanda adaptaciones para el empleo y desarrollar capacidades de emprendimiento. La “competencia emprendedora” (OIT- CINTEFOR, 2012) se entiende como los conocimientos, habilidades y destrezas que promueven innovación, la creatividad, la autoconfianza y la capacidad para desarrollar o fortalecer proyectos individuales o colectivos. De esta forma, de acuerdo con los autores, la competencia emprendedora se materializa cuando una idea de negocio se consolida en un plan de negocio con metas, plazos y recursos definidos que se lleva a cabo. </t>
  </si>
  <si>
    <t>BOLSA 01</t>
  </si>
  <si>
    <t>BOLSA ADOBE</t>
  </si>
  <si>
    <t>O232020200883143</t>
  </si>
  <si>
    <t>Software originales</t>
  </si>
  <si>
    <t>43232100</t>
  </si>
  <si>
    <t xml:space="preserve"> Contratar la Adquisición de licencias Adobe para la Secretaria Distrital de la Mujer.</t>
  </si>
  <si>
    <t>Se utilizará una licencia para los elementos gráficos de los cursos y para diseñar la visualización de los procesos formativos virtuales.</t>
  </si>
  <si>
    <t>Oficina Asesora de Planeación - Tecnología</t>
  </si>
  <si>
    <t>BOLSA 02</t>
  </si>
  <si>
    <t>BOLSA APOYO LOGISTICO</t>
  </si>
  <si>
    <t>Servicios de alojamiento comidas y bebidas</t>
  </si>
  <si>
    <t>O232020200663399</t>
  </si>
  <si>
    <t>Otros servicios de suministro de comidas</t>
  </si>
  <si>
    <t xml:space="preserve">Prestar los servicios de apoyo logístico para atender las actividades misionales y/o de apoyo que adelante la Secretaría Distrital de la Mujer en cumplimiento de sus funciones, de conformidad con el anexo técnico y la oferta presentada por el contratista
</t>
  </si>
  <si>
    <t>Se tiene previsto realizar actividades de socialización, evaluación y retroalimentación de los procesos formativos, con participación de ciudadanas interesadas así como actividades de socialización de la estrategia de empleo y emprendimiento con la participación de diferentes actores públicos y privados.</t>
  </si>
  <si>
    <t>Dirección de Gestión Administrativa y Financiera</t>
  </si>
  <si>
    <t>BOLSA 04</t>
  </si>
  <si>
    <t>BOLSA BIOSEGURIDAD</t>
  </si>
  <si>
    <t>Materiales</t>
  </si>
  <si>
    <t>O2320201003083899997</t>
  </si>
  <si>
    <t>Artículos n.c.p. para protección</t>
  </si>
  <si>
    <t>46181500</t>
  </si>
  <si>
    <t>Adquirir elementos de protección personal y bioseguridad para la Secretaría Distrital de la Mujer</t>
  </si>
  <si>
    <t>CCE-99 - Seléccion abreviada - acuerdo marco</t>
  </si>
  <si>
    <t>Teniendo en cuenta el trabajo que realiza el equipo de formación de la DGC en diversos territorios y su contacto directo con ciudadanía, se hace necesario que cuenten con elementos de protección personal para evitar contagio por COVID-19.</t>
  </si>
  <si>
    <t xml:space="preserve">Dirección de Talento Humano </t>
  </si>
  <si>
    <t>BOLSA 05</t>
  </si>
  <si>
    <t>BOLSA COMUNICACIONES CONVERGENTES</t>
  </si>
  <si>
    <t>O232020200884222</t>
  </si>
  <si>
    <t>Servicios de acceso a Internet de banda ancha</t>
  </si>
  <si>
    <t>81161700</t>
  </si>
  <si>
    <t>Suministrar los servicios integrados de comunicaciones convergentes que requiera la Secretaría Distrital de la Mujer.</t>
  </si>
  <si>
    <t xml:space="preserve">CCE-05 - Contratación directa (con ofertas) </t>
  </si>
  <si>
    <t>Es necesario garantizar la continuidad de servicios de telefonía y datos móviles en los Centros de Inclusión Digital para llevar a cabo los procesos formativos así como para la difusión de la estrategia se requiere contar con servicios de telefonía móvil y con mensajes de texto que apoyarán la divulgación de los servicios que se implementen.</t>
  </si>
  <si>
    <t>BOLSA 06</t>
  </si>
  <si>
    <t>BOLSA CONSUMIBLES DE IMPRESIÓN</t>
  </si>
  <si>
    <t>O2320201003053513001</t>
  </si>
  <si>
    <t>Tintas tipográficas para imprenta</t>
  </si>
  <si>
    <t>44103103</t>
  </si>
  <si>
    <t>Adquirir a través de la Tienda Virtual del Estado Colombiano consumibles de impresión para  los equipos multifuncionales de la Secretaría Distrital de la Mujer</t>
  </si>
  <si>
    <t>La entidad debe contar con los tóner requeridos para el funcionamiento de 15 impresoras ubicadas en los CID.</t>
  </si>
  <si>
    <t>BOLSA 08</t>
  </si>
  <si>
    <t>BOLSA FERRETERIA</t>
  </si>
  <si>
    <t>Servicios de venta y de distribución</t>
  </si>
  <si>
    <t>O2320201004024299991</t>
  </si>
  <si>
    <t>Artículos n.c.p. de ferretería y cerrajería</t>
  </si>
  <si>
    <t>Suministro de elementos de ferretería para la Secretaría Distrital de la Mujer</t>
  </si>
  <si>
    <t>Es necesario adquirir elementos de ferretería para la adecuación de los CID.</t>
  </si>
  <si>
    <t>BOLSA 09</t>
  </si>
  <si>
    <t>BOLSA LICENCIAS MICROSOFT</t>
  </si>
  <si>
    <t>43231500</t>
  </si>
  <si>
    <t>Contratar a través de la Tienda Virtual del Estado Colombiano por medio del Instrumento de Agregación de Demanda No. CCE-139-IAD-2020 productos Microsoft para la Secretaría Distrital de la Mujer</t>
  </si>
  <si>
    <t>Continuidad del licenciamiento Microsoft para equipos ubicados en los CID asi como para contratistas que hacen parte del proyecto de inversión.</t>
  </si>
  <si>
    <t>BOLSA 10</t>
  </si>
  <si>
    <t>BOLSA PAPELERIA</t>
  </si>
  <si>
    <t>O2320201003083899998</t>
  </si>
  <si>
    <t>Artículos n.c.p. para escritorio y oficina</t>
  </si>
  <si>
    <t>44121630</t>
  </si>
  <si>
    <t xml:space="preserve">Suministro de elementos de papelería, útiles de escritorio y oficina, que sean requeridos para apoyar la gestión administrativa de la Secretaria Distrital de la Mujer </t>
  </si>
  <si>
    <t>Los procesos formativos y la implementación de la estrategia de empleo y emprendimiento, requieren elementos de papelería para su ejecución.</t>
  </si>
  <si>
    <t>Dirección de Gestión Administrativa y Financiera - DOCUMENTAL</t>
  </si>
  <si>
    <t>BOLSA 12</t>
  </si>
  <si>
    <t>BOLSA PRODUCCION E IMPRESIÓN DE PIEZAS GRAFICAS</t>
  </si>
  <si>
    <t>O2320201003023262003</t>
  </si>
  <si>
    <t>Catálogos, folletos y otras impresiones publicitarias</t>
  </si>
  <si>
    <t>Prestar el servicio de producción e impresión de piezas gráficas y artículos para la divulgación de información pedagógica y campañas institucionales de la Secretaria Distrital de la Mujer.</t>
  </si>
  <si>
    <t>Los procesos formativos requieren ocasionalmente la impresión de piezas comunicativas y otros materiales pedagógicos. También es necesario que se impriman piezas que permitan socializar la oferta de servicios de los CID.</t>
  </si>
  <si>
    <t>Proceso Comunicación estratégica</t>
  </si>
  <si>
    <t>BOLSA 13</t>
  </si>
  <si>
    <t>BOLSA TRANSPORTE TERRESTRE</t>
  </si>
  <si>
    <t>Transporte</t>
  </si>
  <si>
    <t>O232020200664119</t>
  </si>
  <si>
    <t>Otros servicios de transporte terrestre local de pasajeros n.c.p.</t>
  </si>
  <si>
    <t>78111800</t>
  </si>
  <si>
    <t>Contratar la prestación del servicio de transporte terrestre automotor especial de acuerdo con las necesidades de la Secretaría Distrital de la Mujer para el cumplimiento de su misión y desarrollo de sus funciones.</t>
  </si>
  <si>
    <t>Se requiere la prestación del servicio de transporte con el fin de trasladar el equipo territorial de tal forma que la difusión de la estrategia se realice a nivel distrital</t>
  </si>
  <si>
    <t>BOLSA 19</t>
  </si>
  <si>
    <t>BOLSA COMPRA DE EQUIPOS TECNOLOGICOS</t>
  </si>
  <si>
    <t>O232010100502030101</t>
  </si>
  <si>
    <t>Paquetes de software</t>
  </si>
  <si>
    <t>43211500</t>
  </si>
  <si>
    <t>Contratar a través de la Tienda Virtual del Estado Colombiano por medio del Acuerdo Marco de Precios No. CCE-925-AMP-2019 Equipos Tecnológicos y periféricos para la Secretaría Distrital de la Mujer</t>
  </si>
  <si>
    <t>Con la reorientación conceptual de los CID, iniciada durante 2021, se hace necesario fortalecer los CID con dispositivos móviles como tabletas para que las mujeres participantes en los procesos formativos los utilicen y pongan en práctica los conocimientos adquiridos.</t>
  </si>
  <si>
    <t>RESCATE SOCIAL - Encadenamientos productivos</t>
  </si>
  <si>
    <t xml:space="preserve">M4. Diseñar e implementar 1 piloto de un programa para promover la autonomía económica de las mujeres cuidadoras en el marco de la estrategia de empleo y emprendimiento de la Secretaría  </t>
  </si>
  <si>
    <t>O232020200991122</t>
  </si>
  <si>
    <t>Servicios de la administración pública relacionados con la salud y los servicios sociales</t>
  </si>
  <si>
    <t>Prestación de servicios de un operador territorial para la implementación programa de generación de ingresos dirigido a fomentar la asociatividad de mujeres cuidadoras</t>
  </si>
  <si>
    <t>1-200-F001 - RB-Otros distrito</t>
  </si>
  <si>
    <t>Los programas ofrecidos por el Distrito en el marco del rescate social favorecen a un amplio grupo de la población, pero tienen barreras para el acceso de mujeres que actualmente están dedicando más de diez horas diarias al cuidado (1.000.000 de mujeres en la ciudad aproximadamente según la GEIH), asociados precisamente a la falta de tiempo disponible. Es por esta razón que desde la Secretaría Distrital de la Mujer, se propone un programa para fomentar la asociatividad de mujeres cuidadoras para la generación de ingresos y la organización del trabajo de cuidado a través de esquemas de economía solidaria. Este programa busca crear o fortalecer a 50 organizaciones productivas de mujeres cuidadoras para encadenarlas a esquemas de proveeduría inclusiva de empresas identificadas como parte del programa.</t>
  </si>
  <si>
    <t>Prestar servicios profesionales para brindar apoyo administrativo en el diseño, implementación y seguimiento del programa piloto para promover la autonomía económica de las mujeres cuidadoras en el marco de la estrategia de emprendimiento y empleabilidad de la Secretaría Distrital de la Mujer.</t>
  </si>
  <si>
    <t>Teniendo en cuenta el alcance que adquiere para la estrategia el diseño e implementación del programa piloto “Vecinas, trabajemos juntas”, se requiere contratar los servicios profesionales de una persona que brinde el apoyo administrativo para el correcto diseño, ejecución y seguimiento del programa que se implementará a través de un Convenio de Cooperación Internacional. En este sentido, se requieren las labores de apoyo en la supervisión del convenio, seguimiento a los requerimientos administrativos, tanto por parte de la SDMujer como por parte de le entidad con la que se realice el convenio para la ejecución del programa, prestar apoyo en la elaboración, consolidación y revisión de informes y documentos administrativos y financieros, apoyar al equipo coordinador en la revisión de todos los entregables, y en la gestión y logística de las actividades requeridas, así como en cualquier otra actividad administrativa que se requiera.</t>
  </si>
  <si>
    <t>viernes, 3 de diciembre de 2021, 11:12 a. m.</t>
  </si>
  <si>
    <t>Prestar servicios profesionales para apoyar la coordinación del diseño, implementación y seguimiento del programa piloto para promover la autonomía económica de las mujeres cuidadoras en el marco de la estrategia de emprendimiento y empleabilidad de la Secretaría Distrital de la Mujer.</t>
  </si>
  <si>
    <t>Teniendo en cuenta el alcance que adquiere para la estrategia el diseño e implementación del programa piloto “Vecinas, trabajemos juntas”, se requiere contratar los servicios profesionales de una persona que apoye la coordinación del programa “Vecinas, trabajemos juntas” y que acompañe el diseño e implementación del mismo, tanto al interior del equipo y la entidad, como externamente con la entidad con la que se lleve a cabo el convenio para la ejecución de este. Teniendo en cuenta lo anterior, se requieren las labores de un profesional a cargo de coordinar la operación del programa, participar en las instancias técnicas y de toma de decisión, articular el desarrollo del programa con la Estrategia de Empleo y Emprendimiento, en particular, brindando apoyo en el componente de generación de ingresos, e identificar oportunidades para fortalecer los resultados esperados de la intervención a través de la articulación con otros sectores de la Administración Distrital o del sector privado.</t>
  </si>
  <si>
    <t>NO</t>
  </si>
  <si>
    <t>PROCESO EN CURSO</t>
  </si>
  <si>
    <t>PCC 7673</t>
  </si>
  <si>
    <t>SIMISIONAL - PCC</t>
  </si>
  <si>
    <t>9. Aumentar en un 30% el número de mujeres formadas en los centros de inclusión digital
10. Diseñar y acompañar la estrategia de emprendimiento y empleabilidad para la autonomía económica de las mujeres</t>
  </si>
  <si>
    <t>O232020200883142</t>
  </si>
  <si>
    <t>Servicios de diseño y desarrollo de redes y sistemas en tecnologías de la información (TI)</t>
  </si>
  <si>
    <t>Diseñar y desarrollar el nuevo Sistema de Información Misional de la Secretaría de la Mujer, SIMISIONAL 2.0. PC 429 P.2021</t>
  </si>
  <si>
    <t>CCE-04 - Concurso de méritos abierto</t>
  </si>
  <si>
    <t>1-501-I001 - PCC-Otros distrito</t>
  </si>
  <si>
    <t>Dirección de Gestsión del conocimiento</t>
  </si>
  <si>
    <t>PROCESO NUEVO FINALIZANDO EL AÑO TELEFONOS CEL</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</si>
  <si>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</si>
  <si>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</si>
  <si>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</si>
  <si>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</si>
  <si>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</si>
  <si>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</si>
  <si>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Valor total estimado</t>
  </si>
  <si>
    <t>Valor estimado en la vigencia actual</t>
  </si>
  <si>
    <t>44122003</t>
  </si>
  <si>
    <t>128. 7671,7673,7675,7718,7662. Adquisición de productos derivados del papel y cartón requeridos para apoyar la gestión administrativa de la Secretaria Distrital de la Mujer.</t>
  </si>
  <si>
    <t>Febrero</t>
  </si>
  <si>
    <t>Marzo</t>
  </si>
  <si>
    <t>90</t>
  </si>
  <si>
    <t>Días</t>
  </si>
  <si>
    <t>Seléccion abreviada - acuerdo marco</t>
  </si>
  <si>
    <t xml:space="preserve">Recursos propios </t>
  </si>
  <si>
    <t>934. 7662,7668,7673,7739. Contratar la Adquisición de licencias Adobe para la Secretaria Distrital de la Mujer.</t>
  </si>
  <si>
    <t>360</t>
  </si>
  <si>
    <t>Selección abreviada subasta inversa</t>
  </si>
  <si>
    <t>80141607</t>
  </si>
  <si>
    <t>935. 7718,7668,7671,7673,7675,7734,7738,7739. Prestar los servicios de apoyo logístico para atender las actividades misionales y/o de apoyo que adelante la Secretaría Distrital de la Mujer en cumplimiento de sus funciones, de conformidad con el anexo técnico y la oferta presentada por el contratista</t>
  </si>
  <si>
    <t>Mayo</t>
  </si>
  <si>
    <t>30</t>
  </si>
  <si>
    <t>Licitación pública</t>
  </si>
  <si>
    <t>937. 7718,7671,7672,7673,7675,7734,FUN. Adquirir elementos de protección personal y bioseguridad para la Secretaría Distrital de la Mujer</t>
  </si>
  <si>
    <t>60</t>
  </si>
  <si>
    <t>83111603</t>
  </si>
  <si>
    <t>938. 7718,7662,7671,7672,7673,7675,7734. Suministrar los servicios integrados de comunicaciones convergentes que requiera la Secretaría Distrital de la Mujer.</t>
  </si>
  <si>
    <t>939. 7671,7673,7675. Adquirir a través de la Tienda Virtual del Estado Colombiano consumibles de impresión para los equipos multifuncionales de la Secretaría Distrital de la Mujer</t>
  </si>
  <si>
    <t>31162800</t>
  </si>
  <si>
    <t>941. 7718,7662,7671,7673,7675. Suministro de elementos de ferretería para la Secretaría Distrital de la Mujer</t>
  </si>
  <si>
    <t>942. 7718,7662,7668,7671,7672,7673,7675,7734,7738,7739. Contratar a través de la Tienda Virtual del Estado Colombiano por medio del Instrumento de Agregación de Demanda No. CCE-139-IAD-2020 productos Microsoft para la Secretaría Distrital de la Mujer</t>
  </si>
  <si>
    <t>943. 7718,7662,7671,7673,7675. Suministro de elementos de papelería, útiles de escritorio y oficina, que sean requeridos para apoyar la gestión administrativa de la Secretaria Distrital de la Mujer.</t>
  </si>
  <si>
    <t>240</t>
  </si>
  <si>
    <t>82101905</t>
  </si>
  <si>
    <t>945. 7718,7668,7671,7673,7675,7676,7734,7738,7739. Prestar el servicio de producción e impresión de piezas gráficas y artículos para la divulgación de información pedagógica y campañas institucionales de la Secretaria Distrital de la Mujer</t>
  </si>
  <si>
    <t>Agosto</t>
  </si>
  <si>
    <t>946. 7718,7668,7671,7672,7673,7675,7734. Contratar la prestación del servicio de transporte terrestre automotor especial de acuerdo con las necesidades de la Secretaría Distrital de la Mujer para el cumplimiento de su misión y desarrollo de sus funciones.</t>
  </si>
  <si>
    <t>315</t>
  </si>
  <si>
    <t>952. 7718,7673. Contratar a través de la Tienda Virtual del Estado Colombiano por medio del Acuerdo Marco de Precios No. CCE-925-AMP-2019 Equipos Tecnológicos y periféricos para la Secretaría Distrital de la Mujer</t>
  </si>
  <si>
    <t>Junio</t>
  </si>
  <si>
    <t>72151605</t>
  </si>
  <si>
    <t>413. 7673. Adecuaciones lógicas y físicas para las diferentes sedes de la Secretaría Distrital de la Mujer</t>
  </si>
  <si>
    <t>210</t>
  </si>
  <si>
    <t>56111500</t>
  </si>
  <si>
    <t>414. 7673. Contratar la adquisición e instalación de muebles de oficina para los Centros de Inclusión Digital de la Secretaría Distrital de la Mujer</t>
  </si>
  <si>
    <t>86101810</t>
  </si>
  <si>
    <t>415. 7673. Elaborar, desarrollar, virtualizar y poner en marcha cursos virtuales para el desarrollo de capacidades de las mujeres, así como capacidades institucionales a partir de los enfoques de género y diferencial</t>
  </si>
  <si>
    <t>Contratación directa.</t>
  </si>
  <si>
    <t>PROGRAMADO</t>
  </si>
  <si>
    <t>EJECUTADO</t>
  </si>
  <si>
    <t>LLAVE</t>
  </si>
  <si>
    <t>PROYECTO</t>
  </si>
  <si>
    <t>Ejercicio</t>
  </si>
  <si>
    <t>Período</t>
  </si>
  <si>
    <t>Fecha Inicial</t>
  </si>
  <si>
    <t>Fecha Final</t>
  </si>
  <si>
    <t>Centro gestor</t>
  </si>
  <si>
    <t>Fe.contabil.en control presupuestario</t>
  </si>
  <si>
    <t>Tipo de compromiso</t>
  </si>
  <si>
    <t>Compromiso</t>
  </si>
  <si>
    <t>No. Compromiso</t>
  </si>
  <si>
    <t>Plazo</t>
  </si>
  <si>
    <t>Forma Pago</t>
  </si>
  <si>
    <t>Número de CDP</t>
  </si>
  <si>
    <t>Número de CRP</t>
  </si>
  <si>
    <t>Objeto</t>
  </si>
  <si>
    <t>Rubro</t>
  </si>
  <si>
    <t>Descripcion Rubro</t>
  </si>
  <si>
    <t>Fondos</t>
  </si>
  <si>
    <t>Descripcion del Fondo</t>
  </si>
  <si>
    <t>Concepto del gasto</t>
  </si>
  <si>
    <t>Descripción del Concepto del gasto</t>
  </si>
  <si>
    <t>Elemento PEP</t>
  </si>
  <si>
    <t>Texto Id Proyecto</t>
  </si>
  <si>
    <t>Modalidad de selección</t>
  </si>
  <si>
    <t>BP Beneficiario</t>
  </si>
  <si>
    <t>Tipo Documento BP</t>
  </si>
  <si>
    <t>Número documento BP</t>
  </si>
  <si>
    <t>Nombre BP Beneficiario</t>
  </si>
  <si>
    <t>Moneda transacción</t>
  </si>
  <si>
    <t>Valor CRP</t>
  </si>
  <si>
    <t>Anulaciones</t>
  </si>
  <si>
    <t>Reintegros</t>
  </si>
  <si>
    <t>Valor neto</t>
  </si>
  <si>
    <t>Autorizacion giro</t>
  </si>
  <si>
    <t>Compromisos sin Aut. de Giro</t>
  </si>
  <si>
    <t>Número interno CRP</t>
  </si>
  <si>
    <t>Pos.referencia</t>
  </si>
  <si>
    <t>Número interno CDP</t>
  </si>
  <si>
    <t>Posición de la imputacion CDP</t>
  </si>
  <si>
    <t>Fecha de entrada</t>
  </si>
  <si>
    <t>feb</t>
  </si>
  <si>
    <t>mar</t>
  </si>
  <si>
    <t>mayo</t>
  </si>
  <si>
    <t>jun</t>
  </si>
  <si>
    <t>265301299133011601020000007673</t>
  </si>
  <si>
    <t>2022</t>
  </si>
  <si>
    <t>1</t>
  </si>
  <si>
    <t>0121-01</t>
  </si>
  <si>
    <t>148</t>
  </si>
  <si>
    <t>CONTRATO DE PRESTACION DE SERVICIOS DE APOYO A LA GESTION</t>
  </si>
  <si>
    <t>265</t>
  </si>
  <si>
    <t>331</t>
  </si>
  <si>
    <t>02</t>
  </si>
  <si>
    <t>ORDENES DE PAGO</t>
  </si>
  <si>
    <t>301</t>
  </si>
  <si>
    <t>299</t>
  </si>
  <si>
    <t>Apoyar a la Dirección de Gestión del Conocimiento en la implementaciónde los procesos formativos asociados a temas de derechos de las mujeresmediante el uso de herramientas TIC, TAC y TEP. PC 439 CD-PS-281-2021</t>
  </si>
  <si>
    <t>133011601020000007673</t>
  </si>
  <si>
    <t>1-100-F001</t>
  </si>
  <si>
    <t>VA-Recursos distrito</t>
  </si>
  <si>
    <t>1082001052</t>
  </si>
  <si>
    <t>Servicios para la comunidad, sociales y personales</t>
  </si>
  <si>
    <t>PM/0121/0100/0000007673</t>
  </si>
  <si>
    <t>0121 INVERSIÓN 0000007673</t>
  </si>
  <si>
    <t>10</t>
  </si>
  <si>
    <t>CONTRATACIÓN DIRECTA</t>
  </si>
  <si>
    <t>1000134987</t>
  </si>
  <si>
    <t>CC</t>
  </si>
  <si>
    <t>1033697548</t>
  </si>
  <si>
    <t>YINA FERNANDA ROBAYO CARDENAS</t>
  </si>
  <si>
    <t>COP</t>
  </si>
  <si>
    <t>5000120685</t>
  </si>
  <si>
    <t>96764</t>
  </si>
  <si>
    <t>62814861611133011601020000007673</t>
  </si>
  <si>
    <t>145</t>
  </si>
  <si>
    <t>CONTRATO DE PRESTACION DE SERVICIOS PROFESIONALES</t>
  </si>
  <si>
    <t>628</t>
  </si>
  <si>
    <t>0</t>
  </si>
  <si>
    <t>1486</t>
  </si>
  <si>
    <t>1611</t>
  </si>
  <si>
    <t>Adición y prórroga al contrato 628 de 2021 cuyo objeto es "Prestarservicios profesionales para apoyar la implementación de la estrategiade empleabilidad y emprendimiento para la reducción de la feminizaciónde la pobreza en las localidades que le sean asignadas por lasupervisora del contrato"</t>
  </si>
  <si>
    <t>PM/0121/0103/0000007673</t>
  </si>
  <si>
    <t>IGUALDAD DE OPORTUNIDADES Y DESARROLLO DE CAPACIDA</t>
  </si>
  <si>
    <t>1012069544</t>
  </si>
  <si>
    <t>1061746337</t>
  </si>
  <si>
    <t>5000242517</t>
  </si>
  <si>
    <t>198388</t>
  </si>
  <si>
    <t>671927921133011601020000007673</t>
  </si>
  <si>
    <t>11</t>
  </si>
  <si>
    <t>CONTRATOS INTERADMINISTRATIVOS</t>
  </si>
  <si>
    <t>671</t>
  </si>
  <si>
    <t>183</t>
  </si>
  <si>
    <t>927</t>
  </si>
  <si>
    <t>921</t>
  </si>
  <si>
    <t>Suministrar los servicios integrados de comunicaciones convergentes querequiera la Secretaría Distrital de la Mujer. PC 461 CD-CI-684-2021</t>
  </si>
  <si>
    <t>1082001042</t>
  </si>
  <si>
    <t>1000451829</t>
  </si>
  <si>
    <t>NIT</t>
  </si>
  <si>
    <t>899999115</t>
  </si>
  <si>
    <t>EMPRESA DE TELECOMUNICACIONES DE BOGOTÁ S.A. E.S.P. - ETB S.A. ESP</t>
  </si>
  <si>
    <t>5000182498</t>
  </si>
  <si>
    <t>156883</t>
  </si>
  <si>
    <t>70614871610133011601020000007673</t>
  </si>
  <si>
    <t>706</t>
  </si>
  <si>
    <t>1487</t>
  </si>
  <si>
    <t>1610</t>
  </si>
  <si>
    <t>Adición y prórroga al contrato 706 de 2021 cuyo objeto es "Apoyartécnicamente los procesos de formación en el marco de la implementaciónde la estrategia para el desarrollo de capacidades socioemocionales ytécnicas de las mujeres en toda su diversidad para su emprendimiento yempleabilidad".</t>
  </si>
  <si>
    <t>1000148087</t>
  </si>
  <si>
    <t>1064427260</t>
  </si>
  <si>
    <t>5000242512</t>
  </si>
  <si>
    <t>198389</t>
  </si>
  <si>
    <t>72472910231330116010200000076732712013</t>
  </si>
  <si>
    <t>12</t>
  </si>
  <si>
    <t>CONTRATO DE PRESTACION DE SERVICIOS</t>
  </si>
  <si>
    <t>724</t>
  </si>
  <si>
    <t>150</t>
  </si>
  <si>
    <t>729</t>
  </si>
  <si>
    <t>1023</t>
  </si>
  <si>
    <t>Prestar los servicios de apoyo logístico para atender las actividadesmisionales y/o de apoyo que adelante la Secretaría Distrital de la Mujeren cumplimiento de sus funciones, de conformidad con el anexo técnico yla oferta presentada por el contratista. PC 728 SDMUJER-LP-002-2021</t>
  </si>
  <si>
    <t>01</t>
  </si>
  <si>
    <t>LICITACIÓN PÚBLICA</t>
  </si>
  <si>
    <t>1000545163</t>
  </si>
  <si>
    <t>830078025</t>
  </si>
  <si>
    <t>DOUGLAS TRADE S A S</t>
  </si>
  <si>
    <t>5000191416</t>
  </si>
  <si>
    <t>140817</t>
  </si>
  <si>
    <t>8351226132013301160102000000767324000003</t>
  </si>
  <si>
    <t>835</t>
  </si>
  <si>
    <t>84</t>
  </si>
  <si>
    <t>1226</t>
  </si>
  <si>
    <t>1320</t>
  </si>
  <si>
    <t>Prestación de servicios para el diseño, implementación y puesta enmarcha de diplomados virtuales que permitan el desarrollo de capacidadessocioemocionales, técnicas y ciudadanas de las mujeres en su diversidadPC 986 CD-CI-820-2021</t>
  </si>
  <si>
    <t>1000500751</t>
  </si>
  <si>
    <t>899999063</t>
  </si>
  <si>
    <t>UNIVERSIDAD NACIONAL DE COLOMBIA</t>
  </si>
  <si>
    <t>5000211597</t>
  </si>
  <si>
    <t>174527</t>
  </si>
  <si>
    <t>93312801509133011601020000007673</t>
  </si>
  <si>
    <t>16</t>
  </si>
  <si>
    <t>CONTRATO DE COMPRAVENTA</t>
  </si>
  <si>
    <t>933</t>
  </si>
  <si>
    <t>36</t>
  </si>
  <si>
    <t>1280</t>
  </si>
  <si>
    <t>1509</t>
  </si>
  <si>
    <t>Contratar la adquisición de Switches para fortalecer la infraestructurade comunicaciones, de la Secretaría Distrital de la Mujer. PC 737</t>
  </si>
  <si>
    <t>1082000052</t>
  </si>
  <si>
    <t>Productos metálicos y paquetes de software</t>
  </si>
  <si>
    <t>1000485928</t>
  </si>
  <si>
    <t>900434462</t>
  </si>
  <si>
    <t>REDNEET S.A.S.</t>
  </si>
  <si>
    <t>5000229227</t>
  </si>
  <si>
    <t>178574</t>
  </si>
  <si>
    <t>94411061522133011601020000007673</t>
  </si>
  <si>
    <t>19</t>
  </si>
  <si>
    <t>CONTRATO DE SUMINISTRO</t>
  </si>
  <si>
    <t>944</t>
  </si>
  <si>
    <t>31</t>
  </si>
  <si>
    <t>1106</t>
  </si>
  <si>
    <t>1522</t>
  </si>
  <si>
    <t>Suministro de elementos de ferretería para la Secretaría Distrital de laMujer. PC 731</t>
  </si>
  <si>
    <t>1082000041</t>
  </si>
  <si>
    <t>Otros bienes transportables (excepto productos metálicos, maquinaria y equipo)</t>
  </si>
  <si>
    <t>03</t>
  </si>
  <si>
    <t>SELEC. ABREV. SUBASTA INVERSA</t>
  </si>
  <si>
    <t>1000629505</t>
  </si>
  <si>
    <t>830073899</t>
  </si>
  <si>
    <t>COMERCIALIZADORA ELECTROCON SAS</t>
  </si>
  <si>
    <t>5000230970</t>
  </si>
  <si>
    <t>165314</t>
  </si>
  <si>
    <t>96314881634133011601020000007673</t>
  </si>
  <si>
    <t>7</t>
  </si>
  <si>
    <t>1488</t>
  </si>
  <si>
    <t>Contratar la solución tecnológica para poner en funcionamiento elsistema de video conferencia BigBlueButton con el fin de conectar estesistema con la plataforma Moodle de la Secretaría de la Mujer. PC 1003</t>
  </si>
  <si>
    <t>04</t>
  </si>
  <si>
    <t>CONTRATACIÓN MÍNIMA CUANTÍA</t>
  </si>
  <si>
    <t>1012214708</t>
  </si>
  <si>
    <t>900736431</t>
  </si>
  <si>
    <t>MINDSIT S.A.S.</t>
  </si>
  <si>
    <t>5000246174</t>
  </si>
  <si>
    <t>198576</t>
  </si>
  <si>
    <t>78092132413561330116010200000076734759996</t>
  </si>
  <si>
    <t>ORDEN DE COMPRA</t>
  </si>
  <si>
    <t>1324</t>
  </si>
  <si>
    <t>1356</t>
  </si>
  <si>
    <t>Adquirir a través de la Tienda Virtual del Estado Colombiano consumiblesde impresión para los equipos multifuncionales de la SecretaríaDistrital de la Mujer. PC 726</t>
  </si>
  <si>
    <t>1000505876</t>
  </si>
  <si>
    <t>830037946</t>
  </si>
  <si>
    <t>PANAMERICANA LIBRERIA Y PAPELERIA S A</t>
  </si>
  <si>
    <t>5000216830</t>
  </si>
  <si>
    <t>182258</t>
  </si>
  <si>
    <t>8369714041628133011601020000007673</t>
  </si>
  <si>
    <t>83697</t>
  </si>
  <si>
    <t>4</t>
  </si>
  <si>
    <t>1404</t>
  </si>
  <si>
    <t>1628</t>
  </si>
  <si>
    <t>Contratar a través de la Tienda Virtual del Estado Colombiano por mediodel Acuerdo Marco de Precios No. CCE-925-AMP-2019 Equipos Tecnológicos yperiféricos para la Secretaría Distrital de la Mujer. PC 723</t>
  </si>
  <si>
    <t>1080100021</t>
  </si>
  <si>
    <t>Maquinaria y equipo</t>
  </si>
  <si>
    <t>17</t>
  </si>
  <si>
    <t>SELEC. ABREV.  MARCO DE PRECIOS</t>
  </si>
  <si>
    <t>1000558594</t>
  </si>
  <si>
    <t>811021363</t>
  </si>
  <si>
    <t>UNIPLES SA</t>
  </si>
  <si>
    <t>5000245745</t>
  </si>
  <si>
    <t>188879</t>
  </si>
  <si>
    <t xml:space="preserve">M1 (100%) </t>
  </si>
  <si>
    <t>163-2020808730133011601020000007673</t>
  </si>
  <si>
    <t>163-2020</t>
  </si>
  <si>
    <t>58</t>
  </si>
  <si>
    <t>808</t>
  </si>
  <si>
    <t>730</t>
  </si>
  <si>
    <t>Adición y prórroga al contrato No. 163 de 2020, cuyo objeto es:"Suministrar los servicios integrados de comunicaciones convergentes querequiera la SDMujer".</t>
  </si>
  <si>
    <t>5000167572</t>
  </si>
  <si>
    <t>146314</t>
  </si>
  <si>
    <t>963</t>
  </si>
  <si>
    <t>1634</t>
  </si>
  <si>
    <t>78092</t>
  </si>
  <si>
    <t>Total PDD</t>
  </si>
  <si>
    <t>Reporte PDD
ene-mar</t>
  </si>
  <si>
    <t>Reporte PDD
abr-jun</t>
  </si>
  <si>
    <t>Reporte PDD
jul-sep</t>
  </si>
  <si>
    <t>Reporte PDD
oct-dic</t>
  </si>
  <si>
    <t>Reporte PDD
ene</t>
  </si>
  <si>
    <t>Reporte PDD
feb</t>
  </si>
  <si>
    <t>Reporte PDD
mar</t>
  </si>
  <si>
    <t>Reporte PDD
abr</t>
  </si>
  <si>
    <t>Reporte PDD
may</t>
  </si>
  <si>
    <t>Reporte PDD
jun</t>
  </si>
  <si>
    <t>Reporte PDD
jul</t>
  </si>
  <si>
    <t>Reporte PDD
ago</t>
  </si>
  <si>
    <t>Reporte PDD
sep</t>
  </si>
  <si>
    <t>Reporte PDD
oct</t>
  </si>
  <si>
    <t>Reporte PDD
nov</t>
  </si>
  <si>
    <t>Reporte PDD
dic</t>
  </si>
  <si>
    <t>Meta 1</t>
  </si>
  <si>
    <t>Meta 2</t>
  </si>
  <si>
    <t>Meta 3</t>
  </si>
  <si>
    <t>Promedio</t>
  </si>
  <si>
    <t>Redondeo</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</si>
  <si>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</si>
  <si>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</si>
  <si>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</si>
  <si>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</si>
  <si>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</si>
  <si>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</si>
  <si>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</si>
  <si>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</si>
  <si>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</si>
  <si>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</si>
  <si>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</si>
  <si>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</si>
  <si>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</si>
  <si>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</si>
  <si>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</si>
  <si>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</si>
  <si>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</si>
  <si>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</si>
  <si>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</si>
  <si>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</si>
  <si>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</si>
  <si>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</si>
  <si>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</si>
  <si>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</si>
  <si>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</si>
  <si>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</si>
  <si>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</si>
  <si>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</si>
  <si>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En este campo se debe diligenciar la descripción del plan al cual le aporta la acción e indicador a medir, en los casos que no aplique indicar con un N/A.</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</si>
  <si>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</si>
  <si>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</si>
  <si>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</si>
  <si>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</si>
  <si>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</si>
  <si>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</si>
  <si>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</si>
  <si>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</si>
  <si>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</si>
  <si>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</si>
  <si>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</si>
  <si>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</si>
  <si>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</si>
  <si>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</si>
  <si>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</si>
  <si>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</si>
  <si>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</si>
  <si>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</si>
  <si>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</si>
  <si>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En este campo se debe relacionar la descripción cualitativa del cumplimiento de la acción e impacto alcanzado respecto de la misionalidad de la entidad, ésta debe estar desagregada en:
- Magnitud de la meta alcanzada.
- Descripción cualitativa, respecto al alcance de los objetivos estratégicos y resultado esperado</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</si>
  <si>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</si>
  <si>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</si>
  <si>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</si>
  <si>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</si>
  <si>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</si>
  <si>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</si>
  <si>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</si>
  <si>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</si>
  <si>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</si>
  <si>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</si>
  <si>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</si>
  <si>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</si>
  <si>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</si>
  <si>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</si>
  <si>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</si>
  <si>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</si>
  <si>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</si>
  <si>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</si>
  <si>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</si>
  <si>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</si>
  <si>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</si>
  <si>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</si>
  <si>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</si>
  <si>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</si>
  <si>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</si>
  <si>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</si>
  <si>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</si>
  <si>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</si>
  <si>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</si>
  <si>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</si>
  <si>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</si>
  <si>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</si>
  <si>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</si>
  <si>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</si>
  <si>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</si>
  <si>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</si>
  <si>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</si>
  <si>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</si>
  <si>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</si>
  <si>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</si>
  <si>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</si>
  <si>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</si>
  <si>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</si>
  <si>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</si>
  <si>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</si>
  <si>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</si>
  <si>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</si>
  <si>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</si>
  <si>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</si>
  <si>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</si>
  <si>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</si>
  <si>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</si>
  <si>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</si>
  <si>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</si>
  <si>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</si>
  <si>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</si>
  <si>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</si>
  <si>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</si>
  <si>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</si>
  <si>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</si>
  <si>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</si>
  <si>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</si>
  <si>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</si>
  <si>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</si>
  <si>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</si>
  <si>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</si>
  <si>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</si>
  <si>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</si>
  <si>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</si>
  <si>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</si>
  <si>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</si>
  <si>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</si>
  <si>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</si>
  <si>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</si>
  <si>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</si>
  <si>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</si>
  <si>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</si>
  <si>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</si>
  <si>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</si>
  <si>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</si>
  <si>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</si>
  <si>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</si>
  <si>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</si>
  <si>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</si>
  <si>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</si>
  <si>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</si>
  <si>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</si>
  <si>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</si>
  <si>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</si>
  <si>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</si>
  <si>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</si>
  <si>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</si>
  <si>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</si>
  <si>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</si>
  <si>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</si>
  <si>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</si>
  <si>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</si>
  <si>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</si>
  <si>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</si>
  <si>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</si>
  <si>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</si>
  <si>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</si>
  <si>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</si>
  <si>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</si>
  <si>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</si>
  <si>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</si>
  <si>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</si>
  <si>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</si>
  <si>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</si>
  <si>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</si>
  <si>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</si>
  <si>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</si>
  <si>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</si>
  <si>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</si>
  <si>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</si>
  <si>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</si>
  <si>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</si>
  <si>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</si>
  <si>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</si>
  <si>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</si>
  <si>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</si>
  <si>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</si>
  <si>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</si>
  <si>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</si>
  <si>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</si>
  <si>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</si>
  <si>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</si>
  <si>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</si>
  <si>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</si>
  <si>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</si>
  <si>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</si>
  <si>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</si>
  <si>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</si>
  <si>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</si>
  <si>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</si>
  <si>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</si>
  <si>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</si>
  <si>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</si>
  <si>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</si>
  <si>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</si>
  <si>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</si>
  <si>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</si>
  <si>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</si>
  <si>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</si>
  <si>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</si>
  <si>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</si>
  <si>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</si>
  <si>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</si>
  <si>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</si>
  <si>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</si>
  <si>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</si>
  <si>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</si>
  <si>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</si>
  <si>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</si>
  <si>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</si>
  <si>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</si>
  <si>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</si>
  <si>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</si>
  <si>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</si>
  <si>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</si>
  <si>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Acorde con la programación para el mes de marzo se formaron un total de 950 mujeres, para un avance del 21% en la meta 2022, en los siguientes procesos de formación:</t>
  </si>
  <si>
    <t>a. Informática: Microsoft Word, Excel e Internet</t>
  </si>
  <si>
    <t>a. Informática: Microsoft Word, Excel e Internet: se han formado en total 249 mujeres (24 en febrero, 158 en marzo y 67 en abril)</t>
  </si>
  <si>
    <t>b. Herramientas TIC - Fotografía digital</t>
  </si>
  <si>
    <t>b. Herramientas TIC - Fotografía digital: se han formado 3 mujeres (1 febrero, 2 en marzo)</t>
  </si>
  <si>
    <t>c. Herramientas TIC - Manejo de Adobe PhotoShop</t>
  </si>
  <si>
    <t>c. Herramientas TIC - Manejo de Adobe PhotoShop:  se han formado 4 mujeres (2 febrero, 2 en marzo)</t>
  </si>
  <si>
    <t>d. Habilidades Socioemocionales Moodle</t>
  </si>
  <si>
    <t xml:space="preserve">d. Habilidades Socioemocionales Moodle: se han formado 49 mujeres (24 febrero, 25 en marzo) </t>
  </si>
  <si>
    <t>e. Educación Financiera Moodle</t>
  </si>
  <si>
    <t>e. Educación Financiera Moodle: se han formado 127 mujeres (83 febrero, 41 en marzo, 3 abril)</t>
  </si>
  <si>
    <t>f. Habilidades Socioemocionales - CID</t>
  </si>
  <si>
    <t>f.  Habilidades Socioemocionales - CID: se han formado 955 mujeres (237 febrero, 341 en marzo, 377 abril)</t>
  </si>
  <si>
    <t>g. Habilidades digitales</t>
  </si>
  <si>
    <t>g. Habilidades digitales: se han formado 639 mujeres (148 febrero, 340 en marzo, 151 abril)</t>
  </si>
  <si>
    <t>h. Introducción a los indicadores de género</t>
  </si>
  <si>
    <t>h. Introducción a los indicadores de género: se han formado 12 mujeres (4 febrero, 2 en marzo, 6 abril)</t>
  </si>
  <si>
    <t>i. Construcción y aplicación de indicadores de género en ideas de proyecto</t>
  </si>
  <si>
    <t>i. Construcción y aplicación de indicadores de género en ideas de proyecto: se han formado 3 mujeres (3 febrero)</t>
  </si>
  <si>
    <t>j. Derechos de las mujeres y TIC</t>
  </si>
  <si>
    <t>j. Derechos de las mujeres y TIC: se han formado 40 mujeres (4 febrero, 21 en marzo, 15 abril)</t>
  </si>
  <si>
    <t>k. Prevencion de violencias digitales</t>
  </si>
  <si>
    <t>k. Prevencion de violencias digitales: se han formado 74 mujeres (19 en marzo, 55 abril)</t>
  </si>
  <si>
    <t>l. Claves para ingresar al mundo laboral</t>
  </si>
  <si>
    <t>l. Claves para ingresar al mundo laboral: se han formado 25 mujeres (25 abril)</t>
  </si>
  <si>
    <t>m. Constructoras Tic para la Paz</t>
  </si>
  <si>
    <t>m. Constructoras Tic para la Paz: se han formado 4 mujeres (4 abril)</t>
  </si>
  <si>
    <t>n. Manejo básico de herramientas Microsoft Office 2016</t>
  </si>
  <si>
    <t>n. Manejo básico de herramientas Microsoft Office 2016: excel: se han formado 30 mujeres (30 abril)</t>
  </si>
  <si>
    <t>o. Manejo intermedio de herramientas Microsoft office excel 2016</t>
  </si>
  <si>
    <t>o. Manejo intermedio de herramientas Microsoft office excel 2016: se han formado 4 mujeres (7 abril)</t>
  </si>
  <si>
    <t>Las facilitadoras realizan un seguimiento y recolección de aprendizajes mediante instrumentos previamente diseñados, que favorecen la identificación de beneficios para las mujeres que participan del proceso.</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</si>
  <si>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</si>
  <si>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</si>
  <si>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</si>
  <si>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</si>
  <si>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</si>
  <si>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</si>
  <si>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</si>
  <si>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</si>
  <si>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</si>
  <si>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</si>
  <si>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</si>
  <si>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</si>
  <si>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</si>
  <si>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</si>
  <si>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</si>
  <si>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</si>
  <si>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</si>
  <si>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t xml:space="preserve">Desde los procesos de formación SENA, las mujeres obtienen un conocimiento complementario base para cerrar las brechas tecnológicas de género en TIC’s, esto hace que las mujeres manifiesten que los conocimientos adquiridos les permiten ingresar al mundo laboral y/o estudiantil con mayor seguridad y ampliando sus oportunidades en diferentes ámbitos de la vida cotidiana.
En los procesos de formación de los CID, las mujeres expresan ser más conscientes de sus emociones, así como de la importancia que tiene tener control y aprender de ellas; aprendieron que cambiar rutinas y proponerse metas ayuda a reducir el estrés y la ansiedad. Manifiestan que los aprendizajes adquiridos se convierten en una oportunidad para la búsqueda de empleo, para ayudar a sus hijos en las tareas, y en general para mejorar su vida diaria al conocer mejor los dispositivos tecnológicos como el celular, pasando por los derechos de las mujeres. Conocer mejor el celular, les permite mejorar sus emprendimientos, en la creación de redes de apoyo y de comunicación, agilizar los trámites con el sistema salud mejorando o superando las frustraciones que puede producir el desconocimiento en el uso de herramientas digitales. </t>
  </si>
  <si>
    <r>
      <t xml:space="preserve">Acorde con la actividad programada, se realizó el diseñó y /o actualización de cuatro (4) contenidos  pedagógicos de formación, específicamente: 
</t>
    </r>
    <r>
      <rPr>
        <b/>
        <sz val="11"/>
        <color theme="1"/>
        <rFont val="Times New Roman"/>
        <family val="1"/>
      </rPr>
      <t>Modalidad virtual:</t>
    </r>
    <r>
      <rPr>
        <sz val="11"/>
        <color theme="1"/>
        <rFont val="Times New Roman"/>
        <family val="1"/>
      </rPr>
      <t xml:space="preserve">
1. Se diseño el curso virtual "Tres aspectos infaltables para que logres trabajar", fue cargado en la plataforma Moodle y se inició con la inscripción de ciudadanas. Se realiza el diseño de línea grafica para la virtualización del Curso, compuesto de 6 módulos cada uno en HTML, CSS y JavaScript, con sus actividades pedagógicas. En el mes de abril se inició su implementación.
</t>
    </r>
    <r>
      <rPr>
        <b/>
        <sz val="11"/>
        <color theme="1"/>
        <rFont val="Times New Roman"/>
        <family val="1"/>
      </rPr>
      <t>Plataforma Moodle:</t>
    </r>
    <r>
      <rPr>
        <sz val="11"/>
        <color theme="1"/>
        <rFont val="Times New Roman"/>
        <family val="1"/>
      </rPr>
      <t xml:space="preserve">
2. Se realiza la implementación dentro de la Plataforma Moodle de la Secretaría Distrital de la Mujer la Escuela de Educación Emocional, diseñando y virtualizando los contenidos de acuerdo con la estrategia metodológica y las prioridades establecidas por la Dirección de Gestión del Conocimiento.
3. Se realiza el diseño, arquitectura de la información, virtualización e implementación del Curso "Virtual Derecho a la participación y representación con equidad y énfasis en rendición de cuentas dentro" en la Plataforma Moodle, igualmente se realiza el seguimiento mediante la implementación de herramientas para la inscripción y matricula a cada curso virtual para los informes, de acuerdo con la estrategia metodológica y las prioridades establecidas por la Dirección de Gestión del Conocimiento.
</t>
    </r>
    <r>
      <rPr>
        <b/>
        <sz val="11"/>
        <color theme="1"/>
        <rFont val="Times New Roman"/>
        <family val="1"/>
      </rPr>
      <t>Modalidad presencial:</t>
    </r>
    <r>
      <rPr>
        <sz val="11"/>
        <color theme="1"/>
        <rFont val="Times New Roman"/>
        <family val="1"/>
      </rPr>
      <t xml:space="preserve">
4. Se construyeron las guías para la estructura del curso "Aprendiendo Office" con un avance del 20% en los contenidos del mismo. 
</t>
    </r>
    <r>
      <rPr>
        <b/>
        <sz val="11"/>
        <color theme="1"/>
        <rFont val="Times New Roman"/>
        <family val="1"/>
      </rPr>
      <t xml:space="preserve">
Anexos:</t>
    </r>
    <r>
      <rPr>
        <sz val="11"/>
        <color theme="1"/>
        <rFont val="Times New Roman"/>
        <family val="1"/>
      </rPr>
      <t xml:space="preserve">
1. Soportes cursos modalidad Virtual
2. Soportes cursos Plataforma Moodle
3. Soportes cursos presenciales</t>
    </r>
  </si>
  <si>
    <r>
      <t xml:space="preserve">Los procesos de formación han alcanzado un total de 3143 mujeres en sus derechos a través de procesos de desarrollo de capacidades en el uso TIC, para un avance del 45% en la meta. Se realiza un reporte por cada uno de los procesos adelantados en el marco de la meta de formación a mujeres en temas TIC, estos son:
</t>
    </r>
    <r>
      <rPr>
        <b/>
        <sz val="11"/>
        <color theme="1"/>
        <rFont val="Times New Roman"/>
        <family val="1"/>
      </rPr>
      <t>Proceso Moodle:</t>
    </r>
    <r>
      <rPr>
        <sz val="11"/>
        <color theme="1"/>
        <rFont val="Times New Roman"/>
        <family val="1"/>
      </rPr>
      <t xml:space="preserve">
a. Habilidades Socioemocionales Moodle: se han formado 92 mujeres (24 febrero, 25 en marzo, 43 en mayo) 
b. Educación Financiera Moodle: Se han formado 199 mujeres (83 febrero, 41 en marzo, 3 abril, 72 mayo)
c. Claves para ingresar al mudo laboral: se han formado 379 mujeres (25 abril y 354 en mayo)
</t>
    </r>
    <r>
      <rPr>
        <b/>
        <sz val="11"/>
        <color theme="1"/>
        <rFont val="Times New Roman"/>
        <family val="1"/>
      </rPr>
      <t>CID Presencial y Virtual:</t>
    </r>
    <r>
      <rPr>
        <sz val="11"/>
        <color theme="1"/>
        <rFont val="Times New Roman"/>
        <family val="1"/>
      </rPr>
      <t xml:space="preserve">
a. Habilidades Socioemocionales: se han formado 1319 mujeres (237 febrero, 341 en marzo, 377 abril, 364 en mayo)
b. Habilidades digitales: se han formado 979 mujeres (148 febrero, 340 en marzo, 151 abril, 340 en mayo)
c. Introducción a los indicadores de género: se han formado 15 mujeres (4 febrero, 2 en marzo, 6 abril, 3 en mayo)
d. Construcción y aplicación de indicadores de género en ideas de proyecto: se formaron 3 mujeres en febrero
e. Derechos de las mujeres y TIC:  se han formado 68 mujeres (4 febrero, 21 en marzo, 15 abril, 28 en mayo)
f.  Constructoras Tic para la Paz: se han formado 4 mujeres (4 abril)
g. Prevención de violencias digitales: se han formado 77 mujeres (55 en abril, 22 en mayo)
</t>
    </r>
    <r>
      <rPr>
        <b/>
        <sz val="11"/>
        <color theme="1"/>
        <rFont val="Times New Roman"/>
        <family val="1"/>
      </rPr>
      <t>Otros procesos de formación SENA:</t>
    </r>
    <r>
      <rPr>
        <sz val="11"/>
        <color theme="1"/>
        <rFont val="Times New Roman"/>
        <family val="1"/>
      </rPr>
      <t xml:space="preserve">
a. Informática: se han formado en total 403 mujeres (24 en febrero, 158 en marzo, 67 en abril y 154 en mayo)
b. Fotografía digital: se han formado 3 mujeres (1 febrero, 2 en marzo)
c. Manejo de Adobe Photoshop: se han formado 4 mujeres (2 febrero, 2 en marzo)
d. Microsoft Office 2016: Excel: se han formado 116 mujeres (7 abril y 109 mayo)
Las facilitadoras realizan un seguimiento y recolección de aprendizajes que favorecen la identificación de beneficios para las mujeres que participan del proceso.
</t>
    </r>
    <r>
      <rPr>
        <b/>
        <sz val="11"/>
        <color theme="1"/>
        <rFont val="Times New Roman"/>
        <family val="1"/>
      </rPr>
      <t>Anexos:</t>
    </r>
    <r>
      <rPr>
        <sz val="11"/>
        <color theme="1"/>
        <rFont val="Times New Roman"/>
        <family val="1"/>
      </rPr>
      <t xml:space="preserve">
a. Base de datos CID
b. Base de datos SENA
c. Base de datos Moodle</t>
    </r>
  </si>
  <si>
    <r>
      <t xml:space="preserve">Como parte de la planeación se coordinó con el área de almacén de la entidad el cronograma de apertura de Centros de Inclusión Digital vigentes para el 2022, distribuyendo la asignación de inventarios.
Asimismo, se realizó reunión de articulación interna de la entidad para la coordinación de la apertura de la Manzana de Cuidado de Santa Fe, espacio donde se adecuará un Centro de Inclusión Digital. 
En el mes de febrero se realizó la adecuación y se dio apertura del CID Santa Fe en el marco de la apertura de la Manzana del Cuidado del Centro. También se iniciaron las adecuaciones del CID de Antonio Nariño y  San Cristóbal, los cuales serán entregados en el mes de marzo. 
En el mes de marzo, las adecuaciones han tenido retrasos debido a la espera de pintura para la nueva imagen en los CID de San Cristóbal, Antonio Nariño y Chapinero (Correos con diseños enviados desde el 14 de marzo a Mantenimiento) y por espera en adecuaciones locativas de las paredes del CID Teusaquillo. 
En abril se avanzó en la adecuación de los siguientes CID:  Antonio Nariño, San Cristóbal, Chapinero y Teusaquillo, los cuales quedaron en funcionamiento, con unos pocos requerimientos tecnológicos pendientes. Por su parte los CID de Puente Aranda, Tunjuelito, Rafael Uribe Uribe y Fontibón quedan con Render listo para adecuaciones en el mes de Mayo y Junio.
Para el mes de mayo se desarrolla la adecuación completa del CID Puente Aranda. Los CID de Tunjuelito, Rafael Uribe Uribe, Fontibón, Ciudad Bolívar, Candelaria y Engativá quedan con Render listo para adecuaciones en el mes de Junio y Julio. Los CID de Kennedy y Suba quedan con fotos tomadas pero sin Render diseñado a la espera de razón de cambio de CIOM.
</t>
    </r>
    <r>
      <rPr>
        <b/>
        <sz val="11"/>
        <color theme="1"/>
        <rFont val="Times New Roman"/>
        <family val="1"/>
      </rPr>
      <t>Anexos:</t>
    </r>
    <r>
      <rPr>
        <sz val="11"/>
        <color theme="1"/>
        <rFont val="Times New Roman"/>
        <family val="1"/>
      </rPr>
      <t xml:space="preserve">
a. Fotos adecuaciones CID Nuevos
b. Cronograma y seguimiento de adecuaciones.</t>
    </r>
  </si>
  <si>
    <t>Aunque el proceso de construcción de la memoria de los procesos de formación 2022  iniciara en el mes de julio, se realizó en los meses de febrero a mayo la recolección de material como fotos y videos que sirvan de insumo para la elaboración de este producto.
Anexos:
a. Fotos y videos memoria de formación</t>
  </si>
  <si>
    <r>
      <rPr>
        <b/>
        <sz val="11"/>
        <color theme="1"/>
        <rFont val="Times New Roman"/>
        <family val="1"/>
      </rPr>
      <t xml:space="preserve">Mayo ($64.085.880,60 giros, $4,167,765 anulaciones). </t>
    </r>
    <r>
      <rPr>
        <sz val="11"/>
        <color theme="1"/>
        <rFont val="Times New Roman"/>
        <family val="1"/>
      </rPr>
      <t>Del contrato 163-2020 se anularon $4,167,765. Del contrato 265 de 2021 suscrito con Yina Robayo se giraron $3,500,000. Del contrato 944 de 2021 suscrito con COMERCIALIZADORA ELECTROCON SAS se giraron $2,496,700.  Del contrato 671-2021 suscrito con la EMPRESA DE TELECOMUNICACIONES DE BOGOTÁ S.A. E.S.P. - ETB S.A. ESP para comunicaciones convergentes se giraron $57,070,608, de los cuales van con cargo a la meta 1 el 94% $53,646,371.52, y un salgo del 6% con cargo a la meta 3 por $3.424.236,48</t>
    </r>
    <r>
      <rPr>
        <b/>
        <sz val="11"/>
        <color theme="1"/>
        <rFont val="Times New Roman"/>
        <family val="1"/>
      </rPr>
      <t xml:space="preserve">
Abril ($31.500.000 giros; $4.759.996 anulaciones): </t>
    </r>
    <r>
      <rPr>
        <sz val="11"/>
        <color theme="1"/>
        <rFont val="Times New Roman"/>
        <family val="1"/>
      </rPr>
      <t>Del contrato 78092-2021 con PANAMERICANA se anularon $4.759.996. Del contrato 963 de 2021 suscrito con la empresa MINDIT se giraron $31.500.000</t>
    </r>
    <r>
      <rPr>
        <b/>
        <sz val="11"/>
        <color theme="1"/>
        <rFont val="Times New Roman"/>
        <family val="1"/>
      </rPr>
      <t xml:space="preserve">
Marzo ($180.802.209):</t>
    </r>
    <r>
      <rPr>
        <sz val="11"/>
        <color theme="1"/>
        <rFont val="Times New Roman"/>
        <family val="1"/>
      </rPr>
      <t xml:space="preserve"> Del contrato 671-2021 suscrito con la EMPRESA DE TELECOMUNICACIONES DE BOGOTÁ S.A. E.S.P. - ETB S.A. ESP para comunicaciones convergentes, por valor de $49.766.332 de los cuales van con cargo a la meta 1, el 94% correspondiente a un valor de $46.780.352,08, el saldo del 6%, por valor de $2.985.979,92 va con cargo a la meta 3. Del contrato 944-2021 suscrito con la empresa COMERCIALIZADORA ELECTROCON SAS, se giraron $3.514.700. De la orden de compra 83697 de 2021 suscrita con UNIPLES S.A. se giraron $130.507.157.
</t>
    </r>
    <r>
      <rPr>
        <b/>
        <sz val="11"/>
        <color theme="1"/>
        <rFont val="Times New Roman"/>
        <family val="1"/>
      </rPr>
      <t>Febrero ($9.406.243)</t>
    </r>
    <r>
      <rPr>
        <sz val="11"/>
        <color theme="1"/>
        <rFont val="Times New Roman"/>
        <family val="1"/>
      </rPr>
      <t xml:space="preserve">: Del contrato 671-2021 suscrito con la EMPRESA DE TELECOMUNICACIONES DE BOGOTÁ S.A. E.S.P. - ETB S.A. ESP para comunicaciones convergentes, por valor de $10.006.641 De los cuales van con cargo a la meta 1, el 94% correspondiente a un valor de $9.406.242,54. El saldo del 6%, por valor de $600.398,46 va con cargo a la meta 3.
</t>
    </r>
    <r>
      <rPr>
        <b/>
        <sz val="11"/>
        <color theme="1"/>
        <rFont val="Times New Roman"/>
        <family val="1"/>
      </rPr>
      <t>Enero ($26.967.057):</t>
    </r>
    <r>
      <rPr>
        <sz val="11"/>
        <color theme="1"/>
        <rFont val="Times New Roman"/>
        <family val="1"/>
      </rPr>
      <t xml:space="preserve"> Del contrato 671-2021 suscrito con la EMPRESA DE TELECOMUNICACIONES DE BOGOTÁ S.A. E.S.P. - ETB S.A. ESP para comunicaciones convergentes, por valor de $28.688.359. De los cuales van con cargo a la meta 1, el 94% correspondiente a un valor de $26.967.057,46. El saldo del 6%, por valor de $1.721.301,54 va con cargo a la meta 3.</t>
    </r>
  </si>
  <si>
    <r>
      <rPr>
        <b/>
        <sz val="11"/>
        <color theme="1"/>
        <rFont val="Times New Roman"/>
        <family val="1"/>
      </rPr>
      <t xml:space="preserve">Mayo ($3,424,236,48):  </t>
    </r>
    <r>
      <rPr>
        <sz val="11"/>
        <color theme="1"/>
        <rFont val="Times New Roman"/>
        <family val="1"/>
      </rPr>
      <t>Del contrato 671-2021 suscrito con la EMPRESA DE TELECOMUNICACIONES DE BOGOTÁ S.A. E.S.P. - ETB S.A. ESP para comunicaciones convergentes se giraron $57,070,608, de los cuales van con cargo a la meta 1 el 94% $53,646,371.52, y un salgo del 6% con cargo a la meta 3 por $3.424.236,48</t>
    </r>
    <r>
      <rPr>
        <b/>
        <sz val="11"/>
        <color theme="1"/>
        <rFont val="Times New Roman"/>
        <family val="1"/>
      </rPr>
      <t xml:space="preserve">
Abril ($0): </t>
    </r>
    <r>
      <rPr>
        <sz val="11"/>
        <color theme="1"/>
        <rFont val="Times New Roman"/>
        <family val="1"/>
      </rPr>
      <t>No se giran ni se anulan reservas</t>
    </r>
    <r>
      <rPr>
        <b/>
        <sz val="11"/>
        <color theme="1"/>
        <rFont val="Times New Roman"/>
        <family val="1"/>
      </rPr>
      <t xml:space="preserve">
Marzo ($10.231.325,92):</t>
    </r>
    <r>
      <rPr>
        <sz val="11"/>
        <color theme="1"/>
        <rFont val="Times New Roman"/>
        <family val="1"/>
      </rPr>
      <t xml:space="preserve"> Del contrato 671-2021 suscrito con la EMPRESA DE TELECOMUNICACIONES DE BOGOTÁ S.A. E.S.P. - ETB S.A. ESP para comunicaciones convergentes, por valor de $49.766.332 de los cuales van con cargo a la meta 1, el 94% correspondiente a un valor de $46.780.352,08, el saldo del 6%, por valor de $2.985.979,92 va con cargo a la meta 3. Del contrato -2021 suscrito con la empresa YULIANA KAROLINA GONZALEZ HOYOS, se giraron $2.833.333.Del contrato -2021 suscrito con MARIA CARMENZA USSA TUNUBALA se giraron $1.700.000. Del contrato -2021 suscrito con DOUGLAS TRADE SAS se giraron $2.712.013.
</t>
    </r>
    <r>
      <rPr>
        <b/>
        <sz val="11"/>
        <color theme="1"/>
        <rFont val="Times New Roman"/>
        <family val="1"/>
      </rPr>
      <t>Febrero ($600.398,46):</t>
    </r>
    <r>
      <rPr>
        <sz val="11"/>
        <color theme="1"/>
        <rFont val="Times New Roman"/>
        <family val="1"/>
      </rPr>
      <t xml:space="preserve"> Del contrato 671-2021 suscrito con la EMPRESA DE TELECOMUNICACIONES DE BOGOTÁ S.A. E.S.P. - ETB S.A. ESP para comunicaciones convergentes, por valor de $10.006.641 De los cuales van con cargo a la meta 1, el 94% correspondiente a un valor de $9.406.242,54. El saldo del 6%, por valor de $600.398,46 va con cargo a la meta 3.
</t>
    </r>
    <r>
      <rPr>
        <b/>
        <sz val="11"/>
        <color theme="1"/>
        <rFont val="Times New Roman"/>
        <family val="1"/>
      </rPr>
      <t>Enero ($1.721.304,54)</t>
    </r>
    <r>
      <rPr>
        <sz val="11"/>
        <color theme="1"/>
        <rFont val="Times New Roman"/>
        <family val="1"/>
      </rPr>
      <t>: Del contrato 671-2021 suscrito con la EMPRESA DE TELECOMUNICACIONES DE BOGOTÁ S.A. E.S.P. - ETB S.A. ESP para comunicaciones convergentes, por valor de $28.688.359. De los cuales van con cargo a la meta 1, el 94% correspondiente a un valor de $26.967.057,46. El saldo del 6%, por valor de $1.721.301,54 va con cargo a la meta 3.</t>
    </r>
  </si>
  <si>
    <t xml:space="preserve">A la fecha se identifica que de las 48 actividades de 87 previstas a 29 de abril de 2022, el 58,6% presenta rezagos en el cronograma planeado. De estas actividades, las que mayor peso tienen en la ejecución del plan de trabajo y que se requieren subsanar  son la aprobación y firma de parte responsable, contratación del equipo implementador de mentores, asesores y las duplas, preparación de las fichas técnicas de contenidos para el proceso formativo de fortalecimiento de capacidades para la autonomía económica y selección de las 30 organizaciones beneficiarias de la intervención Durante el mes de mayo se presenta retraso en la actividad 15, como alternativa de solución se realizó comité extraordinario y se iniciara la estrategia en el siguiente mes. 
</t>
  </si>
  <si>
    <t>Valor girado a 30-abr</t>
  </si>
  <si>
    <t>Giros a 30-abr</t>
  </si>
  <si>
    <t>Valor girado a 31-may</t>
  </si>
  <si>
    <t>Giros a 31-may</t>
  </si>
  <si>
    <t>Valor girado a 31-mar</t>
  </si>
  <si>
    <t xml:space="preserve">Para el mes de abril se continuará con la divulgación en  las ferias Distritales y en los espacios a nivel local (jornadas territoriales), adicionalmente, con las jornadas del 8m también aumentarán los registros y orientaciones. Así mismo, con la implementación a los Días de Empleabilidad y Emprendimiento en las Manzanas del Cuidado se propone aumentar las acciones para cumplir la meta.
Como acciones de mejora para el mes de mayo, el equipo territorial estará en espacios territoriales de divulgación y orientaciones las 4 semanas completas del mes, por lo que se espera alcanzar las metas planeadas. </t>
  </si>
  <si>
    <r>
      <t xml:space="preserve">INFORME PLANEACIÓN
</t>
    </r>
    <r>
      <rPr>
        <b/>
        <sz val="9"/>
        <color rgb="FF000000"/>
        <rFont val="Times New Roman"/>
        <family val="1"/>
      </rPr>
      <t xml:space="preserve">I. Alianzas Concretadas. 
</t>
    </r>
    <r>
      <rPr>
        <sz val="9"/>
        <color rgb="FF000000"/>
        <rFont val="Times New Roman"/>
        <family val="1"/>
      </rPr>
      <t xml:space="preserve">
Durante el mes de mayo de 2022 se gestionaron alianzas con 11 actores nacionales, internacionales, públicos y privados, con el fin de favorecer iniciativas asociadas a la Política Pública de Mujeres y Equidad de Género del Distrito Capital que derivaron en acciones concretas: 
1.	ONU Hábitat. i) La ciudad de Bogotá fue seleccionada para participar en el Council on Urban Iniciative, para llevar a cabo un estudio de caso sobre el Sistema de Cuidado. El resultado del estudio será presentado en un informe en el marco del Foro Urbano Mundial que se llevará a cabo en Polonia en el mes de junio. Se realizó una visita de campo del equipo del London School of Economics y de UCLA a las manzanas de cuidado de Cuidad Bolívar y Mártires,(Del 02 al 06 de mayo de 2022). ii) Inscripción del Sistema de Cuidado (Manzanas del Cuidado) a la Red Internacional de Centros de Integración Social y Cocreación del Hábitat IntegrHa-bitat. (10.05.22). iii) Participación con el Sistema de Cuidado en la convocatoria Emprendimiento, innovación y economía solidaria de IntegrHa-bitat, el Sistema de Cuidado fue una de las 3 iniciativas finalistas que se presentaron ante el jurado de selección (13 y 24 de mayo). 
2.	ONU Mujeres. i) Reunión interna para articular el lanzamiento del sello de equidad de género y el lanzamiento y la firma del memorando de entendimiento entre ONU Mujeres y la SDMujer (04.05.22). ii) Reunión interna con los equipos del Sistema de Cuidado, Eliminación de violencias y Alianzas Estratégicas, para revisar la adenda al Convenio No 819 de 2021.(04.05.22). iii) Gestiones para presentar el tercer informe contable del convenio 819 de 2021 (12 y 13 de mayo) iv) Gestiones para el evento de lanzamiento del Sello de Igualdad de Género Distrital y la firma del Memorando de Entendimiento con ONU Mujeres. (18.05.22). v) Tercer Comité Técnico Convenio 819 ONU Mujeres- SDMujer. (23.05.22). vi) Evento de lanzamiento del Sello Distrital de Igualdad de Género y firma del MoU con la Alcaldía Mayor de Bogotá. (27.05.22).
3.	Cuso International. Participación de la Secretaria Diana Rodríguez en el conversatorio "Panorama laboral de las migrantes venezolanas en Colombia” en donde se trataron temas sobre la oferta de cursos, empleo, emprendimiento y cuidado, que tiene la SDMujer para las mujeres migrantes en Bogotá. (03.05.22).
4.	Banco Interamericano de Desarrollo –BID. i) Visita a la manzana del cuidado de Mártires en el marco de la implementación del piloto de eliminación de barreras para la formación de cuidadoras de la Manzana de los Mártires(05.05.22). ii) Reunión con Francisco Zegarra, especialista de Migraciones del BID en donde la Subsecretaria Diana Parra y la Directora de Enfoque Yenny Guzmán los avances del Piloto de los Mártires y se discutieron posibles apoyos al Sistema (12.05.22)
5.	Unión Europea. i) Primera reunión bimestral de seguimiento que contó con la participación de la Secretaría Distrital de Ambiente, la Secretaría Distrital de Movilidad y de la SDMujer para el proyecto del sistema de transporte de Bogotá como catalizador de la sostenibilidad ambiental y la igualdad de género en la era post COVID-19 – MoToRECE con Metrópolis. (03.05.22). ii) Reunión interna de revisión del marco lógico del proyecto MoToRec, que contó con la participación de la Secretaría Distrital de Movilidad, la Secretaría Distrital de Ambiente y la SDMujer. (03.05.33). iii) Reuniones semanales de seguimiento para revisar marco lógico, plan de comunicaciones y temas financieros. (04, 18, 25.05.22).iv) Firma del acuerdo Consorcio MoToREC. (06.05.22) v) Reunión para revisión del plan de comunicaciones – MoToRec. (06.05.22). vi) Reunión interna en la cual se realizó el contexto del proyecto al equipo técnico de comunicaciones de la SDMujer, de cara a la próxima reunión sobre el plan de comunicaciones del proyecto (10.05.22). vii) Reunión consideraciones sobre el plan de comunicaciones. (11.05.22). viii) Reunión que contó con la participación de la Secretaría Técnica del proyecto MoToRec  y el equipo de Alianzas Estratégicas, para revisar el cronograma de actividades para la semana de lanzamiento. (13.05.22). ix) Reunión interna que contó con la participación de Catalina Roa y  la DDRI, con el fin de conocer acerca del proyecto MoToRec. (24.05.22) x) Reunión preparatoria del proyecto MoToRec, con la participación de la DDRI, la Secretaria de Medio Ambiente, la Secretaría de Movilidad y la Secretaría de la Mujer. (24.05.22) xi) Reunión interna con los equipos de Comunicaciones y la Dirección de Derechos y Diseño de Política de la SDMujer. (25.05.22).
6.	Ministerio de la Mujer y Poblaciones Vulnerables del Perú. Reunión con el Ministerio de la Mujer y Poblaciones Vulnerables de Perú, con el fin de intercambiar experiencias y buenas prácticas del Sistema de Cuidado de Bogotá, dado que desde el Ministerio se vienen realizando acciones orientadas a la construcción del Sistema Nacional de Cuidados (SNC). (11.05.22).
7.	Banco Multilateral de Desarrollo. Participación de la Secretaria Diana Franco en el panel ¿Cuáles son las políticas claves en economías emergentes para lograr acceso e inversión de calidad en la atención para trabajadoras formales e informales?, en el marco de la Cumbre Mundial de Género, que se llevó a cabo del 16 al 19 de mayo en el Cairo, Egipto. La Cumbre tenía como temas centrales la economía del cuidado, el cambio climático y la digitalización. (17.05.22)
8.	Banco Mundial. Presentación del Sistema de Cuidado por parte de la Subsecretaria Diana Parra, en el marco del PEI Open House”, sobre Inclusión Económica y Productiva de la mujer. (18.05.22).
9.	Save The Children. Inauguración de la sala amiga de la familia lactante comunitaria en la manzana del cuidado del Centro de Bogotá. (20.05.22).
10.	Metrópolis. Entrevista a Diana Parra por parte de Metrópolis para participar en un proyecto en colaboración con el  Chicago Council of Global Affairs, cuyo objetivo es comprender a través del Sistema de Cuidado cómo la crisis generada por la pandemia del COVID-19 ha cambiado la gobernanza participativa en los procesos de toma de decisiones locales. (19.05.22)
</t>
    </r>
    <r>
      <rPr>
        <b/>
        <sz val="9"/>
        <color rgb="FF000000"/>
        <rFont val="Times New Roman"/>
        <family val="1"/>
      </rPr>
      <t xml:space="preserve">ANEXOS:
</t>
    </r>
    <r>
      <rPr>
        <sz val="9"/>
        <color rgb="FF000000"/>
        <rFont val="Times New Roman"/>
        <family val="1"/>
      </rPr>
      <t xml:space="preserve">
1.	Evidencias asistencia a visitas y reuniones, formulario inscripción a la red, formulario de participación en la convocatoria, pieza gráfica, publicación.
2.	Evidencias asistencia a reuniones, tercer informe bimensual convenio, memorando radicado, correos electrónicos, acta tercer comité técnico. 
3.	Evidencia participación de la secretaria Rodríguez en el conversatorio
4.	Evidencia asistencia a la visita, agenda, presentación reunión BID. 
5.	Evidencia asistencias a reuniones, Acuerdo firmado
6.	Evidencia asistencia a reunión , correos electrónicos
7.	Correo electrónico
8.	Evidencia asistencia a reunión
9.	Agenda evento de lanzamiento
10.	Evidencia asistencia a reunión, correos electrónicos
</t>
    </r>
    <r>
      <rPr>
        <b/>
        <sz val="9"/>
        <color rgb="FF000000"/>
        <rFont val="Times New Roman"/>
        <family val="1"/>
      </rPr>
      <t xml:space="preserve">II- Alianzas Gestionadas. 
</t>
    </r>
    <r>
      <rPr>
        <sz val="9"/>
        <color rgb="FF000000"/>
        <rFont val="Times New Roman"/>
        <family val="1"/>
      </rPr>
      <t xml:space="preserve">
Durante el mes de mayo se gestionaron alianzas con 14 actores nacionales, internacionales, públicos y privados, con el fin de favorecer iniciativas asociadas a la Política Pública de Mujeres y Equidad de Género del Distrito Capital que aún no cuentan con un resultado específico: 
1.	L´Oréal CEAN. Gestiones para lograr la articulación para trabajar de manera conjunta en una campaña que L´Oréal ha desarrollado contra la prevención del acoso callejero denominada Stand up. (02.05.22).
2.	IDARTES. i) Gestiones para la donación de 100 colecciones de libros por parte de IDARTES. (05 al 26.05.22). ii) Gestiones para radicar el memorando de justificación técnica para recibir los libros donados por UNICEF. (16.05.22).
3.	International Rescue Commite. i) Reunión que contó con la participación de la Dirección de Enfoque Diferencial y Alianzas Estratégicas, para revisar las posibilidades de articulación con el proyecto Dos Generaciones y la estrategia de empoderamiento y protección de la mujer. (03.05.22). ii) Segunda reunión de articulación que contó con la asistencia de la Dirección de Enfoque Diferencial y Alianzas Estratégicas, con el fin de ajustar las posibles líneas de trabajo conjunto, pendiente otra reunión que involucre las Direcciones de Territorialización y Eliminación de Violencias. (18.05.22)
4.	International Finance Corporation, IFC. i) Gestiones para lograr revisión del equipo técnico de la SDMujer al Toolkit sobre Género e Infraestructura y el caso comercial del sector urbano enviado por el IFC. (04-16.05.22). 
5.	Corporación Mundial de la Mujer Colombia. Reunión de articulación con la Corporación, con el objetivo de lograr el apoyo de la SDMujer, a la campaña sobre relatos de las mujeres víctimas de violencia. (06.05.22).
6.	Grupo Interagencial sobre Flujos Migratorios Mixtos (GIFMM). i) Reunión de articulación con GIFMM, para explorar posibilidades de articulación con esta plataforma regional que coordina la respuesta a refugiados y migrantes, en ciudades como Bogotá, Cundinamarca y Boyacá. (06.05.22). ii) Gestiones reunión para conocer oferta de cooperantes del GIFMM para personas migrantes. (23.05.22)
7.	I Foro de Alcaldesas y Concejalas Iberoamericanas. i) Gestiones de seguimiento para lograr la participación de Concejalas y Edilesas en los cursos de formación sobre liderazgo y agenda feminista para las electas iberoamericanas que hace parte del I Foro de Alcaldesas y Electas Iberoamericanas. (05 al 25.05.22). ii) Reunión Comisión Política I Foro de Alcaldesas. (12.05.22). iii) Revisión y envío de manifiesto del foro, con comentarios de la SDMujer a la DDRI. (19.05.22) iv) Reunión Comisión Técnica I Foro Alcaldesas. (26.05.22).
8.	Fundación Restrepo Barco. i) Reunión para la presentación del presupuesto para el evento Internacional Sistema de Cuidado. Esta reunión contó con la participación de la Fundación y Alianzas Estratégicas. (04.05.22). ii) Reunión con los equipos de Comunicaciones de la SDMujer, la Fundación Restrepo Barco y Alianzas Estratégicas, para revisar el presupuesto del evento, con los ajustes solicitados por la Fundación. (06.05.22).
9.	USAID. i) Taller de articulación con el programa Generando Equidad de USAID, que contó con la participación de la Subsecretaria Diana Parra y en el cual se presentaron las prioridades de trabajo de la SDMujer: Sistema de Cuidado, Estrategia de Cuidado Menstrual, Decreto 332, Vecinas trabajemos juntas y Derechos sexuales y reproductivos IV (05.05.22). ii) Reuniones de articulación con el programa para migrantes Conectando Caminos de USAID. Están interesados en conocer el trabajo que desde la SDMujer, se viene realizando con la población migrante de la ciudad de Bogotá. (06 y 13.05.22). iii) Gestiones visita manzana del cuidado de Bosa por parte del Programa Generando Equidad de USAID. (16.05.22). iv) Gestiones para visita del programa Conectando Caminos de USAID a la manzana del cuidado de Mártires. (13 al 25.05.22)
10.	Barcelona Time Use Iniciative. i) Realización concepto técnico para lograr la adhesión a la Declaración de Barcelona en Políticas del Tiempo. (06.05.22). ii) Reunión con Barcelona Time Use Iniciative, para conocer a cerca de tres eventos en los cuales proponen la participación de Bogotá: 1) Local and Regional Agenda, 2) Time use week y 3) Semana de los horarios y el tiempo. En esta última, Bogotá presentará el Sistema de Cuidado y los resultados de su línea base. (16.05.22) ii) Gestiones para la difusión sobre la participación de Bogotá en la Local and Regional Time Government Network, en la cual Diana Parra presentará el Sistema de Cuidado. (23.05.2022)
11.	Brookings Institution. Gestiones para la participación del Sistema de Cuidado en uno de los City Playbooks de Brookings Institution. (10-16.05.22)
12.	Alianza Francesa. Reunión de articulación para brindar asistencia técnica en la implementación del enfoque de género. (17.05.22).
13.	Dirección Distrital de Relaciones Internacionales. Reunión informativa sobre los eventos que se llevarán a cabo en Bogotá durante la segunda mitad del año 2022: Congreso del CIDEU, Consejo de Administración de Metrópolis y el Evento Internacional del Cuidado. (18.05.22).
14.	Delegación de la Unión Europea en Colombia. Reunión que contó con la asistencia del Embajador de la Delegación de la UE en Colombia, Gilles Bertrand, la Alcaldesa Claudia López y la Secretaria de la Mujer Diana Franco, con el fin de analizar las posibilidades de cooperación con la Unión Europea.(24.05.22)
</t>
    </r>
    <r>
      <rPr>
        <b/>
        <sz val="9"/>
        <color rgb="FF000000"/>
        <rFont val="Times New Roman"/>
        <family val="1"/>
      </rPr>
      <t xml:space="preserve">ANEXOS
</t>
    </r>
    <r>
      <rPr>
        <sz val="9"/>
        <color rgb="FF000000"/>
        <rFont val="Times New Roman"/>
        <family val="1"/>
      </rPr>
      <t xml:space="preserve">
1.	Correos electrónicos
2.	Correos electrónicos, memorando de justificación técnica, anexos
3.	Evidencias asistencia a reuniones, correos electrónicos
4.	Correos electrónicos, concepto técnico
5.	Evidencia asistencia a reunión 
6.	Evidencia asistencia a reunión, correo electrónico
7.	Correos electrónicos, evidencia asistencias a reuniones, manifiesto foro
8.	Evidencias asistencia reunión  
9.	Agenda del taller, evidencias asistencia a reuniones, correos electrónicos, agenda visita
10.	Correos electrónico, concepto técnico radicado, evidencia asistencia a reunión
11.	Correos electrónicos, brief Bogotá Care System
12.	Correos electrónicos, evidencia asistencia reunión 
13.	Evidencia asistencia a reunión 
14.	Documento de trabajo</t>
    </r>
  </si>
  <si>
    <t>Acorde con la programación para el mes de mayo se formaron un total de 922 mujeres, para un avance del 45%  (3,143 mujeres) en la meta 2022, en los siguientes procesos de formación:
a. Informática: Microsoft Word, Excel e Internet: se han formado en total 374 mujeres (24 en febrero, 158 en marzo, 67 en abril y 125 en mayo)
b. Herramientas TIC - Fotografía digital: se han formado 3 mujeres (1 febrero, 2 en marzo)
c. Herramientas TIC - Manejo de Adobe Photoshop:  se han formado 4 mujeres (2 febrero, 2 en marzo)
d. Habilidades Socioemocionales Moodle: se han formado 49 mujeres (24 febrero, 25 en marzo) 
e. Educación Financiera Moodle: se han formado 129 mujeres (83 febrero, 41 en marzo, 3 abril, 2 en mayo)
f.  Habilidades Socioemocionales - CID: se han formado 1,319 mujeres (237 febrero, 341 en marzo, 377 abril, 364 mayo)
g. Habilidades digitales: se han formado 979 mujeres (148 febrero, 340 en marzo, 151 abril, 340 en mayo)
h. Introducción a los indicadores de género: se han formado 15 mujeres (4 febrero, 2 en marzo, 6 abril, 3 en mayo)
i. Construcción y aplicación de indicadores de género en ideas de proyecto: se han formado 3 mujeres (3 febrero)
j. Derechos de las mujeres y TIC: se han formado 68 mujeres (4 febrero, 21 en marzo, 15 abril, 28 en mayo)
k. Prevención de violencias digitales: se han formado 96 mujeres (19 en marzo, 55 abril, 22 de mayo)
l. Claves para ingresar al mundo laboral: se han formado 39 mujeres (25 abril, 14 en mayo)
m. Constructoras Tic para la Paz: se han formado 4 mujeres (4 abril)
n. Manejo básico de herramientas Microsoft Office 2016: Excel: se han formado 54 mujeres (30 abril, 24 en mayo)
o. Manejo intermedio de herramientas Microsoft office Excel 2016: se han formado 7 mujeres (7 abril)
Las facilitadoras realizan un seguimiento y recolección de aprendizajes mediante instrumentos previamente diseñados, que favorecen la identificación de beneficios para las mujeres que participan del proceso.</t>
  </si>
  <si>
    <t>Febrero - 531 mujeres formadas en, Informática: Word, Excel e Internet: 24, Herramientas TIC: 1, Adobe Photoshop: 2, Socioemocionales. Moodle: 25, Edu.Fin: 83, Hab.Socioemocionales.CID: 237, Hab.Digitales: 148, Indicadores. Género: 4, Aplicación.ind.género: 3 mujeres. Derechos. Mujeres y TIC: 4.</t>
  </si>
  <si>
    <t>950 mujeres formadas en: Informática: Microsoft Word, Excel: 158. Fotografía digital: 2. Adobe Photoshop: 2. Hab.Socioemocionales: 24
Edu.Financiera: 41. Hab.Socioemocionales-CID: 341. Hab.digitales: 340. Int.Indicadores.género: 2. Derechos. Mujeres-TIC: 21. Prevención violencias digitales: 19.</t>
  </si>
  <si>
    <r>
      <t xml:space="preserve">Los procesos de reconocimiento a mujeres se realizara a un grupo de participantes de los Centro de Inclusión Digital y/o localidad que se formaran en los cursos, esto como una estrategia para visibilizar los esfuerzos que realizan las mujeres para participar en estos espacios de formativos, asimismo, motivar a otras mujeres para que se vinculen en los procesos. 
</t>
    </r>
    <r>
      <rPr>
        <b/>
        <sz val="11"/>
        <color theme="1"/>
        <rFont val="Times New Roman"/>
        <family val="1"/>
      </rPr>
      <t>1ra jornada de reconocimiento:</t>
    </r>
    <r>
      <rPr>
        <sz val="11"/>
        <color theme="1"/>
        <rFont val="Times New Roman"/>
        <family val="1"/>
      </rPr>
      <t xml:space="preserve">
En el mes de marzo se realizó la planeación de la jornada de reconocimiento a las mujeres que participaron en los procesos de formación, y se realizó el día 28 abril en auditorio de la Biblioteca Virgilio Barco, de 8am a 11 am., con la entrega de 54 constancia de participación. 
</t>
    </r>
    <r>
      <rPr>
        <b/>
        <sz val="11"/>
        <color theme="1"/>
        <rFont val="Times New Roman"/>
        <family val="1"/>
      </rPr>
      <t xml:space="preserve">
2da jornada de reconocimiento:
</t>
    </r>
    <r>
      <rPr>
        <sz val="11"/>
        <color theme="1"/>
        <rFont val="Times New Roman"/>
        <family val="1"/>
      </rPr>
      <t xml:space="preserve">En el mes de junio, y de acuerdo con lo programado, se realizará la segunda jornada de reconocimiento a las mujeres que participaron en los procesos e formación de los CID. La planeación de esa jornada se realizará en el mes de junio. 
</t>
    </r>
    <r>
      <rPr>
        <b/>
        <sz val="11"/>
        <color theme="1"/>
        <rFont val="Times New Roman"/>
        <family val="1"/>
      </rPr>
      <t xml:space="preserve">
Anexos:
</t>
    </r>
    <r>
      <rPr>
        <sz val="11"/>
        <color theme="1"/>
        <rFont val="Times New Roman"/>
        <family val="1"/>
      </rPr>
      <t>1. Formato de Planeación de la jornada.
2. Soportes 1ra Jornada de reconocimiento</t>
    </r>
  </si>
  <si>
    <t xml:space="preserve">Durante el mes de enero inició la revisión de las diferentes alternativas para los temas a contratar en la vigencia 2022. ; durante el mes de febrero se plantean las temáticas de los cursos y se revisa la modalidad de contratación con el fin de revisar si se debe modificar o de dará continuidad al contrato interadministrativo. Durante el mes de marzo se revisa si se modifica la modalidad de contratación del proceso, sin embargo no se lleva a cabo. Para el mes de abril no se reportan en esta meta. Para el mes de mayo no se encuentra programada la actividad. </t>
  </si>
  <si>
    <t>Diseñar e implementar una (1) estrategia para el desarrollo de capacidades socioemocionales y técnicas de las mujeres en toda su diversidad para su emprendimiento y empleabilidad.</t>
  </si>
  <si>
    <t>Avance en ruta de divulgación: 5 ferias (Kennedy, Engativá) orientación a mujeres en programas de empleo y formación para el trabajo. Divulgación Decreto.332-2020 pautas inclusión laboral con enfoque. Género. Construcción directorio: actores claves programa generación de ingreso con enfoque de género</t>
  </si>
  <si>
    <t>2.379 mujeres (689.orientaciones, 1690.registros a través de difusión de 17 prog. distritales de empleo, generación. Ingresos y formación.para.trabajo. 2 mesas de género EMRE inclusión programa de generación de ingresos. 29.167 mujeres contratadas en ramas económicas descritas en el Decreto 332-2020.</t>
  </si>
  <si>
    <t>Para el mes de mayo se asistió a 122 (ciento veinte dos) espacios de difusión entre los que se encuentran ferias comunitarias, ferias de servicios, jornadas "Mujer Contigo en tu barrio", días de empleo &amp; emprendimiento en las manzanas del cuidado y CIOM, entre otras, en diecinueve (19). En estos espacios se llevó a cabo difusión de la Estrategia E&amp;E, servicios de la SDMujer, programas activos de empleo (Empleo Joven, Ruta de Empleabilidad, Programa Creo, Impulso al Empleo, Más Empleos del Sector Gastronómico, Vacantes Coca-Cola Femsa, Vacantes Cemex, Vacantes Xuss, Vacantes disponibles en sector industrial-Cemex, Somos Bogotá USME, Sodexo, Diamante, Hogarú, Ardanuy Ingeniería S.A, Efiservicios, Call Center - GNP, Auxiliar Enfermeras, Colombina, WOK, WOM, generación de ingresos (Viste Tu Casa Corona, Mujer Emprendedora &amp; Productiva), formación para el trabajo (Cursos en alianza con la UNAL, Fundación SODEXO, IBM) y orientación y acompañamiento a mujeres. Por medio de la Ruta de divulgación de la estrategia se llevaron a cabo 456 orientaciones y 1113 registros. Anexos: 1. Orientación y caracterización ciudadanas Estrategia E&amp;E Mayo</t>
  </si>
  <si>
    <t xml:space="preserve">Para el mes de enero no se programó avance en la actividad sin embargo inicia la consolidación de la estrategia territorial a través de la asistencia a cinco (5) ferias comunitarias en Kennedy y Engativá en la que se realizó difusión de la Estrategia E&amp;E, servicios de la SDMujer y programas activos de empleo y formación para el trabajo. Anexos: 1. Orientación y caracterización ciudadanas Estrategia E&amp;E Enero. Para el mes de febrero el equipo territorial asistió a veintinueve (29) espacios de difusión entre los que se encuentran ferias comunitarias, ferias de servicios, jornadas “Mujer Contigo en tu barrio", encuentro local de mujeres OEI, Festival Renace, jornadas de socialización con SIDICU, entre otras. Lo anterior, se desarrolló en las localidades con manzanas de cuidado; donde se llevó a cabo la difusión de la Estrategia E&amp;E, servicios de la SDMujer y programas activos de empleo y formación para el trabajo; así como la orientación y acompañamiento a mujeres. Se realizaron 165 orientaciones y 422 registros. Anexos: 1. Orientación y registros Estrategia E&amp;E Febrero. Para el mes de marzo se asistió a ochenta y cinco (85) espacios de difusión entre los que se encuentran conmemoración 8M, ferias comunitarias, ferias de servicios, jornadas "Mujer Contigo en tu barrio", días de empleo &amp; emprendimiento en las manzanas del cuidado, jornadas difusión programa "Vecinas Trabajemos Juntas "entre otras, en  (13 localidades). Durante el mes de marzo por medio de la ruta de divulgación de la Estrategia de E&amp;E se llevaron a cabo 370 orientaciones y se realizaron 1172 registros. </t>
  </si>
  <si>
    <t xml:space="preserve">Durante el mes de mayo se divulgo la siguiente oferta para empleo del Distrito: i) Empleo Joven; ii) Impulso al Empleo; iii) Ruta de empleabilidad. A través de los siguientes canales: Correo electrónicos enviados (2.441); Mensajes de WhatsApp (379); Espacios presenciales (886); Orientaciones telefónicas (568). De igual manera, Se gestiono junto con la SDDE la asistencia de las cajas de compensación familiar a los siguientes espacios en territorio, con el fin de registrar a las mujeres asistentes al programa Impulso al Empleo: CIOM SUBA: 10 de mayo; Manzana del Cuidado USME: 10 de mayo; CIOM Fontibón: 11 de mayo. Anexos: 1. Informe difusión programas EMRE; 2. Seguimiento impulso al Empleo. </t>
  </si>
  <si>
    <t>En enero  se inició la etapa de diseñó entre el equipo de empleo y el equipo de generación de ingresos del cronograma de gestión y seguimiento de los programas EMRE.  En febrero del 2022, se avanzó en la ejecución del cronograma con las reuniones de los responsables de los programas EMRE de las diferentes secretarías distritales: SDDE, Secretaría de Movilidad y Secretaría de Hábitat, allí se presentaron los diferentes programas y los avances que han tenido y el plan de trabajo que se definió para el año 2022, que hacen parte de la reactivación económica de Bogotá. Se consolidaron los reportes de las metas del 2022 de los programas: mujeres que reverdecen, Creo en mí, Rescate social-microempresa, Vecinas, trabajemos juntas, Microempresa Local, Impulso Local, Empleo joven, Proyecto de Eco conducción, y se están gestionando impulso al empleo y ruta de empleo. En marzo,  se presentaron los siguientes avances: 1) Se realizó junto con el equipo territorial 28.528 divulgaciones del programa Empleo Joven. 2) Se diseño un cronograma de jornadas de registro de mujeres en el programa impulso al empleo a través de las cajas de compensación. 3) Se divulgó el programa “Mujeres que Construyen”: A)  El programa CREO de Colsubsidio y UNIMINUTO a 41 mujeres. B) El programa VENTA LIBRE DE CORONA a 220 mujeres. C) Invitación a la ruta de empleabilidad de la Agencia de Empleo Colsubsidio a 220 mujeres.</t>
  </si>
  <si>
    <t xml:space="preserve"> Durante el mes de mayo se adelanta otra propuesta, la cual se encuentra en borrador,  de un programa de generación de ingresos para fortalecer capacidades de acceso a mercados a las beneficiarias de Vecinas Trabajemos Juntas pensando en una fase dos de la intervención. Esta propuesta sigue en construcción técnica y queda pendiente la revisión de la líder de la estrategia. Anexo: 1.Propuesta brief programa Vecinas, seguimos trabajando juntas.</t>
  </si>
  <si>
    <t>Para el mes de enero actividad no programada la actividad, sin embargo se gestionan reuniones con Secretaría de Desarrollo económico y Secretaría de Ambiente para coordinar mesas técnicas de análisis de lecciones aprendidas en los programas de "Mujeres que reverdecen" y "Creo en Mí".
Anexos: 1. Se anexa plan de trabajo Mesas EMRE 2022. Para el mes de febrero, si bien es cierto no se realizó programación en esta actividad, se avanzó en la revisión bibliográfica de programas de generación de ingresos dirigidos a mujeres, mujeres cuidadoras o mujeres rurales. Anexos 1: Recopilación bibliográfica 28.02.2022. Para el mes de marzo, se adelanta un análisis de cierre de programas de empleo y generación de ingresos en la mesa de género de EMRE y se realiza junto con los sectores de la mesa la proyección de metas para 2022 esto con el fin de proponer una ruta de acompañamiento para la transversalización de enfoque de género en los programas. Anexo 1: PPT Emre Marzo 2022.</t>
  </si>
  <si>
    <t xml:space="preserve">
Durante el mes de abril se asistió a 57 espacios de difusión. Así mismo a través de la Ruta de Divulgación y Orientación para Mujeres se llevaron a cabo 869 registros y 279 orientaciones de mujeres.</t>
  </si>
  <si>
    <t xml:space="preserve"> En mayo concluye el proceso de selección de las organizaciones ganadoras, se verifica que de las 362 postulaciones 284 eran registros únicos de los cuales 90 pasaron el primer filtro de verificación de requisitos para evaluación de sus propuestas de necesidades de fortalecimiento. Por último se desarrolla la nota técnica de publicación de los resultados de la convocatoria la cual se publicó en la página web de la entidad en el siguiente enlace: https://www.sdmujer.gov.co/estrategiaSDMujer/organizaciones-seleccionadas-para-programa-vecinas-trabajemos-juntas_. (Evidencia: instrumento de evaluación y selección de las organizaciones).</t>
  </si>
  <si>
    <t>En mayo se realiza un comité extraordinario para presentar una estrategia de subsanación de los retrasos identificados en el plan de trabajo. Así las cosas se define que esta actividad se realizará en el mes de junio de acuerdo con el plan de trabajo presentado en el comité extraordinario del 4 de mayo. Por lo tanto la evidencia se reportará para el próximo mes.</t>
  </si>
  <si>
    <t>Indígenas</t>
  </si>
  <si>
    <t>1. Usaquén</t>
  </si>
  <si>
    <t>3. Santafé</t>
  </si>
  <si>
    <t>4. San Cristóbal</t>
  </si>
  <si>
    <t>9. Fontibón</t>
  </si>
  <si>
    <t>10. Engativá</t>
  </si>
  <si>
    <t>14. Los Mártires</t>
  </si>
  <si>
    <t>19. Ciudad Bolívar</t>
  </si>
  <si>
    <r>
      <t xml:space="preserve">Acorde con la programación para el mes de mayo se formaron un total de 922 mujeres, para un avance del 45%  (3,143 mujeres) en la meta 2022, en los siguientes procesos de formación:
a. Informática: Microsoft Word, Excel e Internet: se han formado en total 374 mujeres (24 en febrero, 158 en marzo, 67 en abril y 125 en mayo)
b. Herramientas TIC - Fotografía digital: se han formado 3 mujeres (1 febrero, 2 en marzo)
c. Herramientas TIC - Manejo de Adobe Photoshop:  se han formado 4 mujeres (2 febrero, 2 en marzo)
d. Habilidades Socioemocionales Moodle: se han formado 49 mujeres (24 febrero, 25 en marzo) 
e. Educación Financiera Moodle: se han formado 129 mujeres (83 febrero, 41 en marzo, 3 abril, 2 en mayo)
f.  Habilidades Socioemocionales - CID: se han formado 1,319 mujeres (237 febrero, 341 en marzo, 377 abril, 364 mayo)
g. Habilidades digitales: se han formado 979 mujeres (148 febrero, 340 en marzo, 151 abril, 340 en mayo)
h. Introducción a los indicadores de género: se han formado 15 mujeres (4 febrero, 2 en marzo, 6 abril, 3 en mayo)
i. Construcción y aplicación de indicadores de género en ideas de proyecto: se han formado 3 mujeres (3 febrero)
j. Derechos de las mujeres y TIC: se han formado 68 mujeres (4 febrero, 21 en marzo, 15 abril, 28 en mayo)
k. Prevención de violencias digitales: se han formado 96 mujeres (19 en marzo, 55 abril, 22 de mayo)
l. Claves para ingresar al mundo laboral: se han formado 39 mujeres (25 abril, 14 en mayo)
m. Constructoras Tic para la Paz: se han formado 4 mujeres (4 abril)
n. Manejo básico de herramientas Microsoft Office 2016: Excel: se han formado 54 mujeres (30 abril, 24 en mayo)
o. Manejo intermedio de herramientas Microsoft office Excel 2016: se han formado 7 mujeres (7 abril)
</t>
    </r>
    <r>
      <rPr>
        <b/>
        <sz val="9"/>
        <color theme="1"/>
        <rFont val="Times New Roman"/>
        <family val="1"/>
      </rPr>
      <t xml:space="preserve">Anexos: </t>
    </r>
    <r>
      <rPr>
        <sz val="9"/>
        <color theme="1"/>
        <rFont val="Times New Roman"/>
        <family val="1"/>
      </rPr>
      <t xml:space="preserve">
1) Base consolidada mujeres formadas. 2) Base de mujeres formadas por cursos</t>
    </r>
  </si>
  <si>
    <t>Diseñar e implementar una (1) Estrategia para el Desarrollo De Capacidades Socioemocionales Y Técnicas de las Mujeres en toda su Diversidad para su Emprendimiento y Empleabilidad.</t>
  </si>
  <si>
    <t>No obstante, los esfuerzos y el trabajo realizado por el equipo territorial para el registro de mujeres en los espacios territoriales a los que se asistió y, la orientación a mujeres remitidas por las CIOM, SIDICU y otros aliados locales, a través de medios como WhatsApp Business y telefónicamente, no se pudo alcanzar la meta para el primer trimestre toda vez que la asistencia de ciudadanas a estos espacios varió de manera considerable dependiendo las fechas y convocatorias. Durante el mes de abril hubo retrasos en el cumplimiento de la meta, toda vez que durante la semana santa no se realizaron espacios territoriales de divulgación y orientación, pues se esperaba muy poca participación de ciudadanas. Por esta razón, las actividades de divulgación corresponden únicamente a 3 semanas del mes, no 4 como normalmente sucede, razón por la que no se alcanzó la meta planteada.</t>
  </si>
  <si>
    <t>No obstante, los esfuerzos y el trabajo realizado por el equipo territorial para el registro de mujeres en los espacios territoriales a los que se asistió y, la orientación a mujeres remitidas por las CIOM, SIDICU y otros aliados locales, a través de medios como WhatsApp Business y telefónicamente, no se pudo alcanzar la meta para el mes de febrero, toda vez que la asistencia de ciudadanas a estos espacios varió de manera considerable dependiendo las fechas y convocatorias. Durante el mes de abril hubo retrasos en el cumplimiento de la meta, toda vez que durante la semana santa no se realizaron espacios territoriales de divulgación y orientación, pues se esperaba muy poca participación de ciudadanas. Por esta razón, las actividades de divulgación corresponden únicamente a 3 semanas del mes, no 4 como normalmente sucede, razón por la que no se alcanzó la meta planteada</t>
  </si>
  <si>
    <t xml:space="preserve">Para el mes de abril  se continuará con la divulgación en  las ferias Distritales y en los espacios a nivel local (jornadas territoriales), adicionalmente, con las jornadas del 8m también aumentarán los registros y orientaciones. Así mismo, con la implementación a los Días de Empleabilidad y Emprendimiento en las Manzanas del Cuidado se propone aumentar las acciones para cumplir la meta. Como acciones de mejora para el mes de mayo, el equipo territorial estará en espacios territoriales de divulgación y orientaciones las 4 semanas completas del mes, por lo que se espera alcanzar las metas planeadas. </t>
  </si>
  <si>
    <r>
      <t xml:space="preserve">Se elaboró el informe trimestral con el reporte del avance de la ejecución e implementación del programa con el aliado. El informe tiene como propósito la realización del seguimiento técnico y financiero al plan de trabajo y ejecución presupuestal del convenio ACI No. 777 de 2022 SDMUJER-RE-ACI-001-2022 para el periodo comprendido entre el 1 y el 31 de marzo de 2022. Así las cosas, el documento se divide en cinco secciones. Dicho documento, comprende una revisión del avance a las actividades previstas en el plan de trabajo para el periodo de reporte; una segunda sección de avance a la convocatoria del programa; una tercera sección de avance a la ejecución presupuestal. Así mismo, se desarrollaron dos Comités Técnicos entre el aliado y los integrantes de la SDMujer durante este primer trimestre. </t>
    </r>
    <r>
      <rPr>
        <b/>
        <sz val="9"/>
        <color theme="1"/>
        <rFont val="Times New Roman"/>
        <family val="1"/>
      </rPr>
      <t>Actividad no programada para abril y mayo.</t>
    </r>
  </si>
  <si>
    <t>Paquete de documentos técnicos para el comité técnico del programa piloto  que incluye: i) guía operativa del programa, ii) bases de datos para la convocatoria, iii) términos de referencia de la convocatoria, iv) piezas de la convocatoria, v) términos de referencia de los contratos de los pool de mentores y asesores psicosociales, vi) Diseño y seguimiento al Plan de trabajo detallado correspondiente a la duración total del programa</t>
  </si>
  <si>
    <t>Un documento que de cuenta de las herramientas de fortalecimiento organizativo, mentoría personalizada, de formación y acompañamiento pedagógico implementadas correspondiente al 100% del cumplimiento de los componentes 1 y 2 del programa</t>
  </si>
  <si>
    <t>Un documento de reporte al proceso de convocatoria, registró, verificación de requisitos y selección.</t>
  </si>
  <si>
    <t>El retraso se debe a que la convocatorio se decidió lanzar el 8 de marzo, aprovechando la coyuntura, por lo tanto la convocatoria que estaba programada para un mes, cierra hasta el 8 de abril. Se hace entrega del documento de cierre del proceso de convocatoria.</t>
  </si>
  <si>
    <t xml:space="preserve">Una vez culmine la convocatoria, se tendrán los datos y la información completa para la elaboración del documento. </t>
  </si>
  <si>
    <r>
      <t xml:space="preserve">Para el trimestre enero - marzo se respondieron un total de 5 requerimientos, en los cuales se informa sobre los procesos de formación, así como la gratuidad de los mismos. Asimismo, se realizaron las siguientes publicaciones de las piezas comunicativas en redes sociales:
1. Twitter: 16
2. Instagram: 5 publicaciones
3. Facebook: 18
Por otra parte, las facilitadoras de los CID divulgaron las piezas comunicativas a través de medios como whats app y correo electrónicos
</t>
    </r>
    <r>
      <rPr>
        <b/>
        <sz val="9"/>
        <color theme="1"/>
        <rFont val="Times New Roman"/>
        <family val="1"/>
      </rPr>
      <t>Anexos:</t>
    </r>
    <r>
      <rPr>
        <sz val="9"/>
        <color theme="1"/>
        <rFont val="Times New Roman"/>
        <family val="1"/>
      </rPr>
      <t xml:space="preserve">
1) SDQS con información sobre los cursos gratuitos. 2)Pantallazos de las piezas divulgadas en las redes oficiales de la entidad. 3) Piezas divulgación facilitadoras
</t>
    </r>
    <r>
      <rPr>
        <b/>
        <sz val="9"/>
        <color theme="1"/>
        <rFont val="Times New Roman"/>
        <family val="1"/>
      </rPr>
      <t>Actividad no programada para abril y mayo.</t>
    </r>
  </si>
  <si>
    <t>Actas y listados de asistencia
Documento de formalización de la alianza (memorando, acuerdo, etc.)</t>
  </si>
  <si>
    <t>APROBÓ (Según aplique Gerenta de proyecto, Líder técnica y responsable de proceso)</t>
  </si>
  <si>
    <r>
      <t xml:space="preserve">Para el mes de febrero el equipo territorial asistió a veintinueve (29) espacios de difusión entre los que se encuentran ferias comunitarias, ferias de servicios, jornadas “Mujer Contigo en tu barrio", encuentro local de mujeres OEI, Festival Renace, jornadas de socialización con SIDICU, entre otras. Lo anterior, se desarrolló en las localidades de Kennedy, Bosa, Antonio Nariño, San Cristóbal, Engativá, Santa Fe, Barrios Unidos, Fontibón, Mártires, Rafael Uribe Uribe, Ciudad Bolívar, Chapinero y Suba (13 localidades); donde se llevó a cabo la difusión de la Estrategia E&amp;E, servicios de la SDMujer y programas activos de empleo y formación para el trabajo; así como la orientación y acompañamiento a mujeres. Con corte a 28 de febrero se cuenta con 165 mujeres orientadas a través de la Ruta de Divulgación y Orientación. Para el mes de marzo se asistió a ochenta y cinco (85) espacios de difusión entre los que se encuentran conmemoración 8M, ferias comunitarias, ferias de servicios, jornadas "Mujer Contigo en tu barrio", días de empleo &amp; emprendimiento en las manzanas del cuidado, jornadas difusión programa "Vecinas Trabajemos Juntas "entre otras, en  (13 localidades). Durante el mes de marzo por medio de la ruta de divulgación de la Estrategia de E&amp;E se llevaron a cabo 370 orientaciones, a través de la Ruta de Divulgación y Orientación para Mujeres. Durante el mes de abril el equipo territorial asistió a 57 (cincuenta y siete) espacios de difusión  en diecinueve localidades. En estos espacios se llevó a cabo difusión de la Estrategia E&amp;E, servicios de la SDMujer, difusión y apoyo en el programa "Vecinas Trabajemos Juntas", programas activos de empleo (Empleo Joven, Ruta de Empleabilidad, Más Empleos del Sector Gastronómico, Vacantes Coca-Cola Femsa, Vacantes disponibles en el sector industrial (Cemex), Impulso al Empleo, Vacantes Diamante, Vacantes Somos Bogotá Usme, Vacantes Xuss, Programa CREO, vacantes empresas BPO), generación de ingresos (Viste Tu Casa Corona, Mujer Emprendedora &amp; Productiva, Vecinas Trabajemos Juntas), formación para el trabajo (Cursos en alianza con la UNAL, Laboratoria, Fundación Sodexo-SENA) y orientación y acompañamiento a mujeres. Por medio de la Ruta de divulgación de la estrategia se llevaron a cabo 279 orientaciones. </t>
    </r>
    <r>
      <rPr>
        <b/>
        <sz val="9"/>
        <color theme="1"/>
        <rFont val="Times New Roman"/>
        <family val="1"/>
      </rPr>
      <t xml:space="preserve">Para el mes de mayo </t>
    </r>
    <r>
      <rPr>
        <sz val="9"/>
        <color theme="1"/>
        <rFont val="Times New Roman"/>
        <family val="1"/>
      </rPr>
      <t>se asistió a 122 (ciento veinte dos) espacios de difusión entre los que se encuentran ferias comunitarias, ferias de servicios, jornadas "Mujer Contigo en tu barrio", días de empleo &amp; emprendimiento en las manzanas del cuidado y CIOM, entre otras, en diecinueve (19). En estos espacios se llevó a cabo difusión de la Estrategia E&amp;E, servicios de la SDMujer, programas activos de empleo (Empleo Joven, Ruta de Empleabilidad, Programa Creo, Impulso al Empleo, Más Empleos del Sector Gastronómico, Vacantes Coca-Cola Femsa, Vacantes Cemex, Vacantes Xuss, Vacantes disponibles en sector industrial-Cemex, Somos Bogotá USME, Sodexo, Diamante, Hogarú, Ardanuy Ingeniería S.A, Efiservicios, Call Center - GNP, Auxiliar Enfermeras, Colombina, WOK, WOM, generación de ingresos (Viste Tu Casa Corona, Mujer Emprendedora &amp; Productiva), formación para el trabajo (Cursos en alianza con la UNAL, Fundación SODEXO, IBM) y orientación y acompañamiento a mujeres. Por medio de la Ruta de divulgación de la estrategia se llevo a cabo 456 orientaciones.</t>
    </r>
  </si>
  <si>
    <r>
      <t xml:space="preserve">Para el mes de febrero el equipo territorial asistió a veintinueve (29) espacios de difusión entre los que se encuentran ferias comunitarias, ferias de servicios, jornadas “Mujer Contigo en tu barrio", encuentro local de mujeres OEI, Festival Renace, jornadas de socialización con SIDICU, entre otras. Lo anterior, se desarrolló en las localidades de Kennedy, Bosa, Antonio Nariño, San Cristóbal, Engativá, Santa Fe, Barrios Unidos, Fontibón, Mártires, Rafael Uribe Uribe, Ciudad Bolívar, Chapinero y Suba (13 localidades); donde se llevó a cabo la difusión de la Estrategia E&amp;E, servicios de la SDMujer y programas activos de empleo y formación para el trabajo; así como la orientación y acompañamiento a mujeres. Con corte a 28 de febrero se cuenta con 422 registros en la Ruta de  Divulgación y Orientación. Para el mes de marzo se asistió a ochenta y cinco (85) espacios de difusión entre los que se encuentran conmemoración 8M, ferias comunitarias, ferias de servicios, jornadas "Mujer Contigo en tu barrio", días de empleo &amp; emprendimiento en las manzanas del cuidado, jornadas difusión programa "Vecinas Trabajemos Juntas "entre otras, en  (13 localidades). Durante el mes de marzo por medio de la ruta de divulgación de la Estrategia de E&amp;E se llevaron a cabo 1.172 registros, a través de la Ruta de Divulgación y Orientación para Mujeres. Durante el mes de abril el equipo territorial asistió a 57 (cincuenta y siete) espacios de difusión  en diecinueve localidades .En estos espacios se llevó a cabo difusión de la Estrategia E&amp;E, servicios de la SDMujer, difusión y apoyo en el programa "Vecinas Trabajemos Juntas", programas activos de empleo (Empleo Joven, Ruta de Empleabilidad, Más Empleos del Sector Gastronómico, Vacantes Coca-Cola Femsa, Vacantes disponibles en el sector industrial (Cemex), Impulso al Empleo, Vacantes Diamante, Vacantes Somos Bogotá Usme, Vacantes Xuss, Programa CREO, vacantes empresas BPO), generación de ingresos (Viste Tu Casa Corona, Mujer Emprendedora &amp; Productiva, Vecinas Trabajemos Juntas), formación para el trabajo (Cursos en alianza con la UNAL, Laboratoria, Fundación Sodexo-SENA) y orientación y acompañamiento a mujeres. Por medio de la Ruta de divulgación de la estrategia se llevaron a cabo 869 registros. 		
</t>
    </r>
    <r>
      <rPr>
        <b/>
        <sz val="9"/>
        <color theme="1"/>
        <rFont val="Times New Roman"/>
        <family val="1"/>
      </rPr>
      <t>Para el mes de mayo</t>
    </r>
    <r>
      <rPr>
        <sz val="9"/>
        <color theme="1"/>
        <rFont val="Times New Roman"/>
        <family val="1"/>
      </rPr>
      <t xml:space="preserve"> se asistió a 122 (ciento veintidós) espacios de difusión entre los que se encuentran ferias comunitarias, ferias de servicios, jornadas "Mujer Contigo en tu barrio", días de empleo &amp; emprendimiento en las manzanas del cuidado y CIOM, entre otras, en diecinueve (19). En estos espacios se llevó a cabo difusión de la Estrategia E&amp;E, servicios de la SDMujer, programas activos de empleo (Empleo Joven, Ruta de Empleabilidad, Programa Creo, Impulso al Empleo, Más Empleos del Sector Gastronómico, Vacantes Coca-Cola Femsa, Vacantes Cemex, Vacantes Xuss, Vacantes disponibles en sector industrial-Cemex, Somos Bogotá USME, Sodexo, Diamante, Hogarú, Ardanuy Ingeniería S.A, Efiservicios, Call Center - GNP, Auxiliar Enfermeras, Colombina, WOK, WOM, generación de ingresos (Viste Tu Casa Corona, Mujer Emprendedora &amp; Productiva), formación para el trabajo (Cursos en alianza con la UNAL, Fundación SODEXO, IBM) y orientación y acompañamiento a mujeres. Por medio de la Ruta de divulgación de la estrategia se llevaron a  cabo 1113 registros..</t>
    </r>
  </si>
  <si>
    <r>
      <t xml:space="preserve">Se avanza en la elaboración del documento que da cuenta del proceso de convocatoria con los componentes que se programaron en los indicadores, teniendo en cuenta que la convocatoria va hasta el día 8 de abril del 2022. Hasta el cierre de la convocatoria, será posible registrar la verificación de los términos de referencia y la selección de las beneficiarias en un 100% .Durante el mes de abril se avanzó en identificar 362 organizaciones de mujeres cuidadoras asociadas en la plataforma de la convocatoria de las cuales 128 pasaron al primer filtro de verificación del programa por cumplir con los términos de referencia.; de este último grupo, saldrán las 30 organizaciones seleccionadas. </t>
    </r>
    <r>
      <rPr>
        <b/>
        <sz val="9"/>
        <color theme="1"/>
        <rFont val="Times New Roman"/>
        <family val="1"/>
      </rPr>
      <t xml:space="preserve">Durante el mes de mayo </t>
    </r>
    <r>
      <rPr>
        <sz val="9"/>
        <color theme="1"/>
        <rFont val="Times New Roman"/>
        <family val="1"/>
      </rPr>
      <t>se elaboró el documento final que da cuenta del proceso de selección de las 30 organizaciones de mujeres productivas , donde se encuentra incluida la verificación de los términos de referencia con sus correspondientes puntajes.</t>
    </r>
  </si>
  <si>
    <t>Abril ($24.000.003): Pago reserva contrato interadministrativo 835-2021 por $24.000.003
El contrato interadministrativo 835 de 2021 suscrito con la Universidad Nacional de Colombia para el desarrollo de diplomados virtuales, se encuentra en ejecución su desembolso esta programado para el mes de abril de 2022.</t>
  </si>
  <si>
    <r>
      <t xml:space="preserve">De acuerdo a lo programado para el mes de febrero, se reportan los siguientes avances desde la estrategia: 1. Participación en 29 espacios de divulgación de programas de empleo y generación de ingresos en donde se realizaron 165 orientaciones a mujeres y 422 registros. 2. Informe consolidado de los reportes remitidos por las entidades y organismos distritales frente al cumplimiento de las medidas contenidas en el Decreto 332 de 2020. 3. Consolidación programas EMRE, cierre 2021 y avance 2022. 3. Se avanzó en la recolección de insumos de experiencias de implementación de programas de generación de ingresos de 2021 y de bibliografía de interés para el diseño de un nuevo programa proyectado para el primer semestre. Para el cierre del primer trimestre, se han beneficiado 2.379 mujeres (689 orientaciones, 1690 registros a través de la difusión de 17 programas -distritales de empleo, generación de ingresos y formación para el trabajo y se realizaron 28.528 divulgaciones del programa Empleo Joven. Se realizan dos mesas de género de EMRE  en donde se definió un acompañamiento para incluir un  nuevo programa de generación de ingresos y según  la información reportada por las entidades y organismos distritales respecto del cumplimiento del Decreto 332 de 2020, se contrataron 29.167 mujeres en las distintas ramas económicas descritas en el Decreto. Durante el mes de abril se destacan los siguientes avances: i) 869 registros y 279 orientaciones de mujeres a través de la Ruta de Divulgación y Orientación para Mujeres. Lo anterior, se llevo a cabo en 19 localidades, mediante la participación en 57 espacios de difusión. ii) 7 sesiones de divulgación de la convocatoria del Decreto 332, y envío de convocatoria a empresas de 4 sectores económicos; iii) Divulgación del programa Distrital Empleo Joven, registro de mujeres al programa Impulso al Empleo y definición de ruta de trabajo con la Agencia de Empleo de la SDDE. iv) Propuesta de transición para beneficiarias del programa Mujeres que Reverdecen. Durante el mes de abril se destacan los siguientes avances: i) 869 registros y 279 orientaciones de mujeres a través de la Ruta de Divulgación y Orientación para Mujeres. Lo anterior, se llevo a cabo en 19 localidades, mediante la participación en 57 espacios de difusión. ii) 7 sesiones de divulgación de la convocatoria del Decreto 332, y envío de convocatoria a empresas de 4 sectores económicos; iii) Divulgación del programa Distrital Empleo Joven, registro de mujeres al programa Impulso al Empleo y definición de ruta de trabajo con la Agencia de Empleo de la SDDE. iv) Propuesta de transición para beneficiarias del programa Mujeres que Reverdecen. </t>
    </r>
    <r>
      <rPr>
        <b/>
        <sz val="9"/>
        <color theme="1"/>
        <rFont val="Times New Roman"/>
        <family val="1"/>
      </rPr>
      <t>Durante el mes de mayo</t>
    </r>
    <r>
      <rPr>
        <sz val="9"/>
        <color theme="1"/>
        <rFont val="Times New Roman"/>
        <family val="1"/>
      </rPr>
      <t xml:space="preserve"> se destacan los siguientes avances: i) 1.113 registros y 456 orientaciones de mujeres a través de la Ruta de Divulgación y Orientación para Mujeres. Lo anterior, se llevó a cabo en 19 localidades, mediante la participación en 122 espacios de difusión. ii) 10 sesiones de divulgación de la convocatoria del Decreto 332, a los a los sectores económicos de Construcción, transporte y almacenamiento, suministro de electricidad, gas y agua, actividades inmobiliarias, información y telecomunicaciones, industria manufacturera, comercio y reparación de vehículos. iii)Divulgación del programa Distrital Empleo Joven, Ruta de empleabilidad. iv) Propuesta brief de programa para la generación de ingresos “Vecinas, sigamos trabajando juntas”  En ese orden de ideas, a mayo de 2022, se han orientado un total de 1.424 mujeres, y un acumulado de 3.672 registros. 
</t>
    </r>
  </si>
  <si>
    <t xml:space="preserve">922 mujeres formadas: Informática: 125. Edu.Financiera Moodle: 2. Hab.Socioemocionales-CID: 364. Hab.digitales: 340. Int.Ind.Género: 3. Derechos de las mujeres-TIC: 28. Prevención violencias digitales: 22. Claves para ingresar al mundo laboral: 14. Manejo básico Microsoft Office 2016: Excel: 24. </t>
  </si>
  <si>
    <t>Conforme a la programación no se avanza con la actividad</t>
  </si>
  <si>
    <t>May (producto doc.lin.técnicos)</t>
  </si>
  <si>
    <t>May (ind.gestión)</t>
  </si>
  <si>
    <t>Ene (producto doc.lin.técnicos)</t>
  </si>
  <si>
    <t>Se adelanta borrador de propuesta de un programa de generación de ingresos para fortalecer capacidades de acceso a mercados a las beneficiarias de Vecinas Trabajemos Juntas pensando en una fase dos de la intervención. Esta propuesta sigue en construcción técnica</t>
  </si>
  <si>
    <t>Se han presentado en las adecuaciones de los Centros de Inclusión Digital, esto debido a retrasos en la entrega de materiales de feterriteria. No obstante, para solventar la situación, se crearon mesas de trabajo con el área encargada de la entidad, para asegurar el cumplimiento del cronograma pactado y dar cumplimiento a lo programado.
Estas mesas de trabajo, se iniciarón en el mes de abril y se les ha dado sostenibilidad durante el mes de mayo, permitiendo contar con la adecuación de cinco (5) Centros de Inclusión Digital, especificamente:Antonio Nariño, San Cristóbal, Chapinero, Teusaquillo y Puente Aranda</t>
  </si>
  <si>
    <t>En el mes de enero,  se realizó el proceso de planeación estratégica y definición de productos en el marco de lo programado para la vigencia 2022, para el mes de febrero se inicia con la estrategia de convocatoria de los procesos de formación de la Dirección de Gestión del Conocimiento, y en el mes de marzo se continuó con la implementación de la estrategia de convocatoría a partir del documento construidos, dando sostenibilidad en los meses de abril y mayo. Durante el mes de mayo se amplio la convocatoria permitiendo vincular mujeres de las 20 localidades del Distrito Capital.
a. Publicaciones periódicas en las redes sociales oficiales de la entidad de los cursos Manejo de Herramientas de Microsoft Office y Excel 2016, Introducción a los Indicadores de Género, Claves para ingresar al mundo laboral, Prevención de Violencias Digitales, Habilidades TIC uso de Microsoft Word, Excel e internet y Habilidades Socioemocionales.
b. Durante cuatro lunes correspondientes al 3, 9, 17 y 24 de mayo, se sube la información de los diez cursos brindados por la Dirección de Gestión del Conocimiento al Excel estipulado por la Alcaldía de Bogotá para su publicación en la página web “Portal Bogotá” con el fin de convocar población exógena al target de la Secretaría Distrital de la Mujer a los procesos de formación.
c. Se inicio la revisión final del documento de Estrategia de Convocatoria. En dicho documento se realiza un balance de los aciertos desaciertos y acciones de mejora con miras al 2022. Luego de ello, se describan cad auna de las acciones que se están implementando como parte de la estrategia de convocatoria, y que responden así mismos a las acciones de mejora. 
Anexos:
1. Oferta formativa 2022 con link de inscripción
2. Pantallazos de publicaciones en redes sociales
3. Listas de Excel enviadas a "Portal Bogotá"
4. Documento de estrategia de convocatoria
5. Listado de cursos SENA 
6. Soportes articulaciones MinSalud-USPEC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</si>
</sst>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5" formatCode="&quot;$&quot;\ #,##0;\-&quot;$&quot;\ #,##0"/>
    <numFmt numFmtId="6" formatCode="&quot;$&quot;\ #,##0;[Red]\-&quot;$&quot;\ #,##0"/>
    <numFmt numFmtId="42" formatCode="_-&quot;$&quot;\ * #,##0_-;\-&quot;$&quot;\ * #,##0_-;_-&quot;$&quot;\ * &quot;-&quot;_-;_-@_-"/>
    <numFmt numFmtId="41" formatCode="_-* #,##0_-;\-* #,##0_-;_-* &quot;-&quot;_-;_-@_-"/>
    <numFmt numFmtId="44" formatCode="_-&quot;$&quot;\ * #,##0.00_-;\-&quot;$&quot;\ * #,##0.00_-;_-&quot;$&quot;\ * &quot;-&quot;??_-;_-@_-"/>
    <numFmt numFmtId="164" formatCode="#,##0\ &quot;€&quot;;\-#,##0\ &quot;€&quot;"/>
    <numFmt numFmtId="165" formatCode="_-* #,##0\ &quot;€&quot;_-;\-* #,##0\ &quot;€&quot;_-;_-* &quot;-&quot;\ &quot;€&quot;_-;_-@_-"/>
    <numFmt numFmtId="166" formatCode="_-* #,##0\ _€_-;\-* #,##0\ _€_-;_-* &quot;-&quot;\ _€_-;_-@_-"/>
    <numFmt numFmtId="167" formatCode="_-* #,##0.00\ _€_-;\-* #,##0.00\ _€_-;_-* &quot;-&quot;??\ _€_-;_-@_-"/>
    <numFmt numFmtId="168" formatCode="_-&quot;$&quot;* #,##0.00_-;\-&quot;$&quot;* #,##0.00_-;_-&quot;$&quot;* &quot;-&quot;??_-;_-@_-"/>
    <numFmt numFmtId="169" formatCode="_(&quot;$&quot;\ * #,##0.00_);_(&quot;$&quot;\ * \(#,##0.00\);_(&quot;$&quot;\ * &quot;-&quot;??_);_(@_)"/>
    <numFmt numFmtId="170" formatCode="_ &quot;$&quot;\ * #,##0.00_ ;_ &quot;$&quot;\ * \-#,##0.00_ ;_ &quot;$&quot;\ * &quot;-&quot;??_ ;_ @_ "/>
    <numFmt numFmtId="171" formatCode="&quot;$&quot;\ #,##0"/>
    <numFmt numFmtId="172" formatCode="_-* #,##0\ _€_-;\-* #,##0\ _€_-;_-* &quot;-&quot;??\ _€_-;_-@_-"/>
    <numFmt numFmtId="173" formatCode="0.0%"/>
    <numFmt numFmtId="174" formatCode="[$$-240A]\ #,##0;[Red][$$-240A]\ #,##0"/>
    <numFmt numFmtId="175" formatCode="#,##0;[Red]#,##0"/>
    <numFmt numFmtId="176" formatCode="_-[$$-240A]\ * #,##0.00_-;\-[$$-240A]\ * #,##0.00_-;_-[$$-240A]\ * &quot;-&quot;??_-;_-@_-"/>
    <numFmt numFmtId="177" formatCode="#,##0_ ;\-#,##0\ "/>
    <numFmt numFmtId="178" formatCode="0.000"/>
    <numFmt numFmtId="179" formatCode="0.00000"/>
    <numFmt numFmtId="180" formatCode="0.0000"/>
    <numFmt numFmtId="181" formatCode="&quot;$&quot;#,##0.00"/>
    <numFmt numFmtId="182" formatCode="&quot;$&quot;\ #,##0.00"/>
    <numFmt numFmtId="183" formatCode="#,###\ &quot;COP&quot;"/>
    <numFmt numFmtId="184" formatCode="#,##0.0"/>
    <numFmt numFmtId="185" formatCode="0.0"/>
    <numFmt numFmtId="186" formatCode="#,##0.00000000000000"/>
    <numFmt numFmtId="187" formatCode="#,##0.0000"/>
    <numFmt numFmtId="188" formatCode="_-[$$-240A]\ * #,##0_-;\-[$$-240A]\ * #,##0_-;_-[$$-240A]\ * &quot;-&quot;??_-;_-@_-"/>
  </numFmts>
  <fonts count="98">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b/>
      <sz val="12"/>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8"/>
      <color theme="0" tint="-0.34998626667073579"/>
      <name val="Calibri"/>
      <family val="2"/>
      <scheme val="minor"/>
    </font>
    <font>
      <b/>
      <sz val="12"/>
      <color theme="1"/>
      <name val="Times New Roman"/>
      <family val="1"/>
    </font>
    <font>
      <b/>
      <sz val="11"/>
      <color theme="0" tint="-0.34998626667073579"/>
      <name val="Times New Roman"/>
      <family val="1"/>
    </font>
    <font>
      <sz val="11"/>
      <color rgb="FFFF0000"/>
      <name val="Calibri"/>
      <family val="2"/>
      <scheme val="minor"/>
    </font>
    <font>
      <sz val="9"/>
      <color indexed="81"/>
      <name val="Tahoma"/>
      <family val="2"/>
    </font>
    <font>
      <b/>
      <sz val="8"/>
      <name val="Times New Roman"/>
      <family val="1"/>
    </font>
    <font>
      <sz val="11"/>
      <name val="Calibri"/>
      <family val="2"/>
    </font>
    <font>
      <sz val="8"/>
      <name val="Times New Roman"/>
      <family val="1"/>
    </font>
    <font>
      <sz val="8"/>
      <name val="Calibri"/>
      <family val="2"/>
    </font>
    <font>
      <b/>
      <sz val="8"/>
      <name val="Calibri"/>
      <family val="2"/>
    </font>
    <font>
      <b/>
      <sz val="10"/>
      <name val="Times Roman"/>
    </font>
    <font>
      <b/>
      <sz val="10"/>
      <color theme="0"/>
      <name val="Times Roman"/>
    </font>
    <font>
      <b/>
      <sz val="9"/>
      <color rgb="FF000000"/>
      <name val="Tahoma"/>
      <family val="2"/>
    </font>
    <font>
      <sz val="9"/>
      <color rgb="FF000000"/>
      <name val="Tahoma"/>
      <family val="2"/>
    </font>
    <font>
      <b/>
      <sz val="9"/>
      <color indexed="81"/>
      <name val="Tahoma"/>
      <family val="2"/>
    </font>
    <font>
      <sz val="10"/>
      <color rgb="FF000000"/>
      <name val="Arial Narrow"/>
      <family val="2"/>
    </font>
    <font>
      <b/>
      <sz val="10"/>
      <name val="Arial Narrow"/>
      <family val="2"/>
    </font>
    <font>
      <b/>
      <sz val="10"/>
      <color theme="1"/>
      <name val="Arial Narrow"/>
      <family val="2"/>
    </font>
    <font>
      <sz val="10"/>
      <color theme="1"/>
      <name val="Arial Narrow"/>
      <family val="2"/>
    </font>
    <font>
      <b/>
      <sz val="10"/>
      <color theme="8" tint="-0.249977111117893"/>
      <name val="Arial Narrow"/>
      <family val="2"/>
    </font>
    <font>
      <sz val="9"/>
      <name val="Times New Roman"/>
      <family val="1"/>
    </font>
    <font>
      <sz val="8"/>
      <name val="Calibri"/>
      <family val="2"/>
      <scheme val="minor"/>
    </font>
    <font>
      <sz val="8"/>
      <name val="Arial"/>
      <family val="2"/>
    </font>
    <font>
      <sz val="8"/>
      <color rgb="FF0070C0"/>
      <name val="Arial"/>
      <family val="2"/>
    </font>
    <font>
      <sz val="8"/>
      <color theme="1"/>
      <name val="Maiandra GD"/>
      <family val="2"/>
    </font>
    <font>
      <b/>
      <sz val="8"/>
      <color theme="1"/>
      <name val="Maiandra GD"/>
      <family val="2"/>
    </font>
    <font>
      <sz val="8"/>
      <name val="Maiandra GD"/>
      <family val="2"/>
    </font>
    <font>
      <sz val="8"/>
      <color rgb="FFFF0000"/>
      <name val="Maiandra GD"/>
      <family val="2"/>
    </font>
    <font>
      <sz val="10"/>
      <color rgb="FFFF0000"/>
      <name val="Arial Narrow"/>
      <family val="2"/>
    </font>
    <font>
      <b/>
      <sz val="10"/>
      <color rgb="FFFF0000"/>
      <name val="Arial Narrow"/>
      <family val="2"/>
    </font>
    <font>
      <b/>
      <sz val="8"/>
      <color rgb="FFFF0000"/>
      <name val="Maiandra GD"/>
      <family val="2"/>
    </font>
    <font>
      <sz val="8"/>
      <name val="Arial Narrow"/>
      <family val="2"/>
    </font>
    <font>
      <b/>
      <sz val="8"/>
      <color theme="1"/>
      <name val="Verdana"/>
      <family val="2"/>
    </font>
    <font>
      <sz val="8"/>
      <color theme="1"/>
      <name val="Calibri"/>
      <family val="2"/>
      <scheme val="minor"/>
    </font>
    <font>
      <sz val="8"/>
      <color theme="1"/>
      <name val="Verdana"/>
      <family val="2"/>
    </font>
    <font>
      <b/>
      <sz val="10"/>
      <color rgb="FF000000"/>
      <name val="Times New Roman"/>
      <family val="1"/>
    </font>
    <font>
      <sz val="10"/>
      <color rgb="FF000000"/>
      <name val="Times New Roman"/>
      <family val="1"/>
    </font>
    <font>
      <sz val="8"/>
      <color rgb="FF00B050"/>
      <name val="Arial"/>
      <family val="2"/>
    </font>
    <font>
      <b/>
      <sz val="11"/>
      <color indexed="81"/>
      <name val="Tahoma"/>
      <family val="2"/>
    </font>
    <font>
      <sz val="11"/>
      <color indexed="81"/>
      <name val="Tahoma"/>
      <family val="2"/>
    </font>
    <font>
      <b/>
      <sz val="10"/>
      <color indexed="81"/>
      <name val="Tahoma"/>
      <family val="2"/>
    </font>
    <font>
      <sz val="10"/>
      <color indexed="81"/>
      <name val="Tahoma"/>
      <family val="2"/>
    </font>
    <font>
      <b/>
      <sz val="11"/>
      <color rgb="FFFF0000"/>
      <name val="Times New Roman"/>
      <family val="1"/>
    </font>
    <font>
      <b/>
      <sz val="8"/>
      <color rgb="FF0070C0"/>
      <name val="Arial"/>
      <family val="2"/>
    </font>
    <font>
      <b/>
      <sz val="8"/>
      <name val="Arial"/>
      <family val="2"/>
    </font>
    <font>
      <b/>
      <sz val="9"/>
      <color theme="1"/>
      <name val="Calibri"/>
      <family val="2"/>
      <scheme val="minor"/>
    </font>
    <font>
      <b/>
      <sz val="8"/>
      <color rgb="FF00B050"/>
      <name val="Arial"/>
      <family val="2"/>
    </font>
    <font>
      <b/>
      <sz val="11"/>
      <color theme="1" tint="0.249977111117893"/>
      <name val="Times New Roman"/>
      <family val="1"/>
    </font>
    <font>
      <sz val="11"/>
      <color theme="1" tint="0.249977111117893"/>
      <name val="Times New Roman"/>
      <family val="1"/>
    </font>
    <font>
      <b/>
      <sz val="8"/>
      <name val="Arial Narrow"/>
      <family val="2"/>
    </font>
    <font>
      <b/>
      <sz val="8"/>
      <color theme="1"/>
      <name val="Calibri"/>
      <family val="2"/>
      <scheme val="minor"/>
    </font>
    <font>
      <sz val="9"/>
      <color theme="1"/>
      <name val="Times New Roman"/>
      <family val="1"/>
    </font>
    <font>
      <sz val="9"/>
      <color rgb="FFFF0000"/>
      <name val="Times New Roman"/>
      <family val="1"/>
    </font>
    <font>
      <b/>
      <sz val="9"/>
      <color theme="1"/>
      <name val="Times New Roman"/>
      <family val="1"/>
    </font>
    <font>
      <b/>
      <sz val="8"/>
      <color indexed="8"/>
      <name val="Times New Roman"/>
      <family val="1"/>
    </font>
    <font>
      <sz val="9"/>
      <color rgb="FF000000"/>
      <name val="Times New Roman"/>
      <family val="1"/>
    </font>
    <font>
      <b/>
      <sz val="9"/>
      <color rgb="FF000000"/>
      <name val="Times New Roman"/>
      <family val="1"/>
    </font>
    <font>
      <sz val="11"/>
      <color rgb="FF000000"/>
      <name val="Times New Roman"/>
      <family val="1"/>
    </font>
    <font>
      <sz val="11"/>
      <color rgb="FF000000"/>
      <name val="Times New Roman"/>
      <family val="1"/>
    </font>
    <font>
      <sz val="9"/>
      <color rgb="FF000000"/>
      <name val="Times New Roman"/>
      <family val="1"/>
    </font>
  </fonts>
  <fills count="44">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patternFill>
    </fill>
    <fill>
      <patternFill patternType="solid">
        <fgColor theme="4" tint="0.79998168889431442"/>
        <bgColor indexed="64"/>
      </patternFill>
    </fill>
    <fill>
      <patternFill patternType="solid">
        <fgColor rgb="FF00B0F0"/>
        <bgColor indexed="64"/>
      </patternFill>
    </fill>
    <fill>
      <patternFill patternType="solid">
        <fgColor rgb="FFFFFFCC"/>
        <bgColor rgb="FFFFFFCC"/>
      </patternFill>
    </fill>
    <fill>
      <patternFill patternType="solid">
        <fgColor rgb="FFC6D9F0"/>
        <bgColor rgb="FFC6D9F0"/>
      </patternFill>
    </fill>
    <fill>
      <patternFill patternType="solid">
        <fgColor rgb="FFFDE9D9"/>
        <bgColor rgb="FFFDE9D9"/>
      </patternFill>
    </fill>
    <fill>
      <patternFill patternType="solid">
        <fgColor rgb="FFF79646"/>
        <bgColor rgb="FFF79646"/>
      </patternFill>
    </fill>
    <fill>
      <patternFill patternType="solid">
        <fgColor theme="9" tint="0.39997558519241921"/>
        <bgColor indexed="64"/>
      </patternFill>
    </fill>
    <fill>
      <patternFill patternType="solid">
        <fgColor rgb="FFCC99FF"/>
        <bgColor indexed="64"/>
      </patternFill>
    </fill>
    <fill>
      <patternFill patternType="solid">
        <fgColor rgb="FFFFFF00"/>
        <bgColor rgb="FF000000"/>
      </patternFill>
    </fill>
    <fill>
      <patternFill patternType="solid">
        <fgColor rgb="FF59F0D1"/>
        <bgColor indexed="64"/>
      </patternFill>
    </fill>
    <fill>
      <patternFill patternType="solid">
        <fgColor rgb="FF59F0D1"/>
        <bgColor rgb="FF000000"/>
      </patternFill>
    </fill>
    <fill>
      <patternFill patternType="solid">
        <fgColor indexed="22"/>
        <bgColor indexed="64"/>
      </patternFill>
    </fill>
    <fill>
      <patternFill patternType="solid">
        <fgColor rgb="FFFF6699"/>
        <bgColor indexed="64"/>
      </patternFill>
    </fill>
    <fill>
      <patternFill patternType="solid">
        <fgColor rgb="FFFF0000"/>
        <bgColor indexed="64"/>
      </patternFill>
    </fill>
    <fill>
      <patternFill patternType="solid">
        <fgColor rgb="FF33CC33"/>
        <bgColor indexed="64"/>
      </patternFill>
    </fill>
    <fill>
      <patternFill patternType="solid">
        <fgColor rgb="FF4BACC6"/>
        <bgColor rgb="FF4BACC6"/>
      </patternFill>
    </fill>
    <fill>
      <patternFill patternType="solid">
        <fgColor rgb="FF00B050"/>
        <bgColor indexed="64"/>
      </patternFill>
    </fill>
    <fill>
      <patternFill patternType="solid">
        <fgColor rgb="FFFFFFFF"/>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top/>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indexed="64"/>
      </left>
      <right style="thin">
        <color indexed="64"/>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rgb="FF000000"/>
      </left>
      <right style="medium">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s>
  <cellStyleXfs count="36">
    <xf numFmtId="0" fontId="0" fillId="0" borderId="0"/>
    <xf numFmtId="0" fontId="20" fillId="3" borderId="66" applyNumberFormat="0" applyAlignment="0" applyProtection="0"/>
    <xf numFmtId="49" fontId="22" fillId="0" borderId="0" applyFill="0" applyBorder="0" applyProtection="0">
      <alignment horizontal="left" vertical="center"/>
    </xf>
    <xf numFmtId="0" fontId="23" fillId="4" borderId="67" applyNumberFormat="0" applyFont="0" applyFill="0" applyAlignment="0"/>
    <xf numFmtId="0" fontId="23" fillId="4" borderId="68" applyNumberFormat="0" applyFont="0" applyFill="0" applyAlignment="0"/>
    <xf numFmtId="0" fontId="25" fillId="5" borderId="0" applyNumberFormat="0" applyProtection="0">
      <alignment horizontal="left" wrapText="1" indent="4"/>
    </xf>
    <xf numFmtId="0" fontId="26" fillId="5" borderId="0" applyNumberFormat="0" applyProtection="0">
      <alignment horizontal="left" wrapText="1" indent="4"/>
    </xf>
    <xf numFmtId="0" fontId="24" fillId="6" borderId="0" applyNumberFormat="0" applyBorder="0" applyAlignment="0" applyProtection="0"/>
    <xf numFmtId="16" fontId="27" fillId="0" borderId="0" applyFont="0" applyFill="0" applyBorder="0" applyAlignment="0">
      <alignment horizontal="left"/>
    </xf>
    <xf numFmtId="0" fontId="28" fillId="7" borderId="0" applyNumberFormat="0" applyBorder="0" applyProtection="0">
      <alignment horizontal="center" vertical="center"/>
    </xf>
    <xf numFmtId="167" fontId="20" fillId="0" borderId="0" applyFont="0" applyFill="0" applyBorder="0" applyAlignment="0" applyProtection="0"/>
    <xf numFmtId="166" fontId="20" fillId="0" borderId="0" applyFont="0" applyFill="0" applyBorder="0" applyAlignment="0" applyProtection="0"/>
    <xf numFmtId="41" fontId="20" fillId="0" borderId="0" applyFont="0" applyFill="0" applyBorder="0" applyAlignment="0" applyProtection="0"/>
    <xf numFmtId="167" fontId="5" fillId="0" borderId="0" applyFont="0" applyFill="0" applyBorder="0" applyAlignment="0" applyProtection="0"/>
    <xf numFmtId="165" fontId="20" fillId="0" borderId="0" applyFont="0" applyFill="0" applyBorder="0" applyAlignment="0" applyProtection="0"/>
    <xf numFmtId="168" fontId="20" fillId="0" borderId="0" applyFont="0" applyFill="0" applyBorder="0" applyAlignment="0" applyProtection="0"/>
    <xf numFmtId="170" fontId="2" fillId="0" borderId="0" applyFont="0" applyFill="0" applyBorder="0" applyAlignment="0" applyProtection="0"/>
    <xf numFmtId="169" fontId="20" fillId="0" borderId="0" applyFont="0" applyFill="0" applyBorder="0" applyAlignment="0" applyProtection="0"/>
    <xf numFmtId="168" fontId="1" fillId="0" borderId="0" applyFont="0" applyFill="0" applyBorder="0" applyAlignment="0" applyProtection="0"/>
    <xf numFmtId="164" fontId="23" fillId="0" borderId="0" applyFont="0" applyFill="0" applyBorder="0" applyAlignment="0" applyProtection="0"/>
    <xf numFmtId="0" fontId="29" fillId="8" borderId="0" applyNumberFormat="0" applyBorder="0" applyAlignment="0" applyProtection="0"/>
    <xf numFmtId="0" fontId="2" fillId="0" borderId="0"/>
    <xf numFmtId="0" fontId="2" fillId="0" borderId="0"/>
    <xf numFmtId="0" fontId="23" fillId="0" borderId="0"/>
    <xf numFmtId="0" fontId="6" fillId="0" borderId="0"/>
    <xf numFmtId="0" fontId="5" fillId="0" borderId="0"/>
    <xf numFmtId="0" fontId="2" fillId="0" borderId="0"/>
    <xf numFmtId="9" fontId="20"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6" fillId="0" borderId="0" applyFill="0" applyBorder="0">
      <alignment wrapText="1"/>
    </xf>
    <xf numFmtId="0" fontId="21" fillId="0" borderId="0"/>
    <xf numFmtId="0" fontId="30" fillId="5" borderId="0" applyNumberFormat="0" applyBorder="0" applyProtection="0">
      <alignment horizontal="left" indent="1"/>
    </xf>
    <xf numFmtId="0" fontId="21" fillId="25" borderId="0" applyNumberFormat="0" applyBorder="0" applyAlignment="0" applyProtection="0"/>
    <xf numFmtId="44" fontId="20" fillId="0" borderId="0" applyFont="0" applyFill="0" applyBorder="0" applyAlignment="0" applyProtection="0"/>
    <xf numFmtId="44" fontId="20" fillId="0" borderId="0" applyFont="0" applyFill="0" applyBorder="0" applyAlignment="0" applyProtection="0"/>
  </cellStyleXfs>
  <cellXfs count="1197">
    <xf numFmtId="0" fontId="0" fillId="0" borderId="0" xfId="0"/>
    <xf numFmtId="9" fontId="4" fillId="9" borderId="1" xfId="27" applyFont="1" applyFill="1" applyBorder="1" applyAlignment="1" applyProtection="1">
      <alignment horizontal="center" vertical="center" wrapText="1"/>
      <protection locked="0"/>
    </xf>
    <xf numFmtId="9" fontId="3" fillId="0" borderId="2" xfId="21" applyNumberFormat="1" applyFont="1" applyBorder="1" applyAlignment="1">
      <alignment horizontal="center" vertical="center" wrapText="1"/>
    </xf>
    <xf numFmtId="175" fontId="20" fillId="0" borderId="0" xfId="3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7" applyFont="1" applyFill="1" applyBorder="1" applyAlignment="1" applyProtection="1">
      <alignment horizontal="center" vertical="center" wrapText="1"/>
      <protection locked="0"/>
    </xf>
    <xf numFmtId="9" fontId="3" fillId="10" borderId="2" xfId="21"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7" applyFont="1" applyFill="1" applyBorder="1" applyAlignment="1" applyProtection="1">
      <alignment horizontal="center" vertical="center" wrapText="1"/>
      <protection locked="0"/>
    </xf>
    <xf numFmtId="9" fontId="3" fillId="12" borderId="2" xfId="21"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7" applyFont="1" applyFill="1" applyBorder="1" applyAlignment="1" applyProtection="1">
      <alignment horizontal="center" vertical="center" wrapText="1"/>
      <protection locked="0"/>
    </xf>
    <xf numFmtId="9" fontId="3" fillId="10" borderId="9" xfId="21" applyNumberFormat="1" applyFont="1" applyFill="1" applyBorder="1" applyAlignment="1">
      <alignment horizontal="center" vertical="center" wrapText="1"/>
    </xf>
    <xf numFmtId="9" fontId="3" fillId="12" borderId="8" xfId="21"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1" fillId="0" borderId="0" xfId="27" applyFont="1" applyBorder="1" applyAlignment="1">
      <alignment horizontal="center" vertical="center"/>
    </xf>
    <xf numFmtId="0" fontId="0" fillId="0" borderId="0" xfId="0" applyAlignment="1">
      <alignment vertical="center"/>
    </xf>
    <xf numFmtId="0" fontId="12" fillId="19" borderId="69" xfId="21" applyFont="1" applyFill="1" applyBorder="1" applyAlignment="1">
      <alignment vertical="center" wrapText="1"/>
    </xf>
    <xf numFmtId="0" fontId="12" fillId="19" borderId="70" xfId="21" applyFont="1" applyFill="1" applyBorder="1" applyAlignment="1">
      <alignment vertical="center" wrapText="1"/>
    </xf>
    <xf numFmtId="0" fontId="12" fillId="19" borderId="71" xfId="21" applyFont="1" applyFill="1" applyBorder="1" applyAlignment="1">
      <alignment vertical="center" wrapText="1"/>
    </xf>
    <xf numFmtId="0" fontId="12" fillId="19" borderId="0" xfId="21" applyFont="1" applyFill="1" applyAlignment="1">
      <alignment vertical="center" wrapText="1"/>
    </xf>
    <xf numFmtId="0" fontId="14" fillId="19" borderId="0" xfId="21" applyFont="1" applyFill="1" applyAlignment="1">
      <alignment vertical="center" wrapText="1"/>
    </xf>
    <xf numFmtId="0" fontId="12" fillId="19" borderId="11" xfId="21" applyFont="1" applyFill="1" applyBorder="1" applyAlignment="1">
      <alignment vertical="center" wrapText="1"/>
    </xf>
    <xf numFmtId="0" fontId="11" fillId="19" borderId="11" xfId="21" applyFont="1" applyFill="1" applyBorder="1" applyAlignment="1">
      <alignment vertical="center" wrapText="1"/>
    </xf>
    <xf numFmtId="0" fontId="11" fillId="19" borderId="12" xfId="21" applyFont="1" applyFill="1" applyBorder="1" applyAlignment="1">
      <alignment vertical="center" wrapText="1"/>
    </xf>
    <xf numFmtId="0" fontId="12" fillId="19" borderId="13" xfId="21" applyFont="1" applyFill="1" applyBorder="1" applyAlignment="1">
      <alignment vertical="center" wrapText="1"/>
    </xf>
    <xf numFmtId="0" fontId="11" fillId="19" borderId="0" xfId="21" applyFont="1" applyFill="1" applyAlignment="1">
      <alignment vertical="center" wrapText="1"/>
    </xf>
    <xf numFmtId="0" fontId="11" fillId="19" borderId="14" xfId="21" applyFont="1" applyFill="1" applyBorder="1" applyAlignment="1">
      <alignment vertical="center" wrapText="1"/>
    </xf>
    <xf numFmtId="0" fontId="0" fillId="0" borderId="72" xfId="0" applyBorder="1" applyAlignment="1">
      <alignment vertical="center"/>
    </xf>
    <xf numFmtId="0" fontId="0" fillId="0" borderId="73" xfId="0" applyBorder="1" applyAlignment="1">
      <alignment vertical="center"/>
    </xf>
    <xf numFmtId="0" fontId="0" fillId="0" borderId="74" xfId="0" applyBorder="1" applyAlignment="1">
      <alignment vertical="center"/>
    </xf>
    <xf numFmtId="0" fontId="12" fillId="0" borderId="0" xfId="21" applyFont="1" applyAlignment="1">
      <alignment horizontal="center" vertical="center" wrapText="1"/>
    </xf>
    <xf numFmtId="0" fontId="12" fillId="0" borderId="14" xfId="21" applyFont="1" applyBorder="1" applyAlignment="1">
      <alignment horizontal="center" vertical="center" wrapText="1"/>
    </xf>
    <xf numFmtId="0" fontId="12" fillId="19" borderId="13" xfId="21" applyFont="1" applyFill="1" applyBorder="1" applyAlignment="1">
      <alignment horizontal="center" vertical="center" wrapText="1"/>
    </xf>
    <xf numFmtId="0" fontId="12" fillId="19" borderId="75" xfId="21" applyFont="1" applyFill="1" applyBorder="1" applyAlignment="1">
      <alignment horizontal="center" vertical="center" wrapText="1"/>
    </xf>
    <xf numFmtId="0" fontId="15" fillId="19" borderId="0" xfId="21" applyFont="1" applyFill="1" applyAlignment="1">
      <alignment horizontal="center" vertical="center" wrapText="1"/>
    </xf>
    <xf numFmtId="0" fontId="12" fillId="19" borderId="0" xfId="21" applyFont="1" applyFill="1" applyAlignment="1">
      <alignment horizontal="center" vertical="center" wrapText="1"/>
    </xf>
    <xf numFmtId="0" fontId="15" fillId="0" borderId="0" xfId="21" applyFont="1" applyAlignment="1">
      <alignment horizontal="center" vertical="center" wrapText="1"/>
    </xf>
    <xf numFmtId="0" fontId="0" fillId="0" borderId="0" xfId="0" applyAlignment="1">
      <alignment horizontal="center" vertical="center" wrapText="1"/>
    </xf>
    <xf numFmtId="0" fontId="11" fillId="19" borderId="15" xfId="21" applyFont="1" applyFill="1" applyBorder="1" applyAlignment="1">
      <alignment vertical="center" wrapText="1"/>
    </xf>
    <xf numFmtId="0" fontId="11" fillId="19" borderId="16" xfId="21" applyFont="1" applyFill="1" applyBorder="1" applyAlignment="1">
      <alignment vertical="center" wrapText="1"/>
    </xf>
    <xf numFmtId="9" fontId="12" fillId="0" borderId="17" xfId="27" applyFont="1" applyFill="1" applyBorder="1" applyAlignment="1" applyProtection="1">
      <alignment horizontal="center" vertical="center" wrapText="1"/>
    </xf>
    <xf numFmtId="0" fontId="16" fillId="2" borderId="0" xfId="21" applyFont="1" applyFill="1" applyAlignment="1">
      <alignment vertical="center" wrapText="1"/>
    </xf>
    <xf numFmtId="0" fontId="32" fillId="19" borderId="13" xfId="0" applyFont="1" applyFill="1" applyBorder="1" applyAlignment="1">
      <alignment vertical="center"/>
    </xf>
    <xf numFmtId="0" fontId="32" fillId="19" borderId="0" xfId="0" applyFont="1" applyFill="1" applyAlignment="1">
      <alignment vertical="center"/>
    </xf>
    <xf numFmtId="0" fontId="32" fillId="19" borderId="14" xfId="0" applyFont="1" applyFill="1" applyBorder="1" applyAlignment="1">
      <alignment vertical="center"/>
    </xf>
    <xf numFmtId="0" fontId="12" fillId="19" borderId="0" xfId="21" applyFont="1" applyFill="1" applyAlignment="1">
      <alignment horizontal="left" vertical="center" wrapText="1"/>
    </xf>
    <xf numFmtId="0" fontId="0" fillId="19" borderId="0" xfId="0" applyFill="1" applyAlignment="1">
      <alignment vertical="center"/>
    </xf>
    <xf numFmtId="0" fontId="11" fillId="19" borderId="13" xfId="21" applyFont="1" applyFill="1" applyBorder="1" applyAlignment="1">
      <alignment vertical="center" wrapText="1"/>
    </xf>
    <xf numFmtId="175" fontId="0" fillId="0" borderId="0" xfId="0" applyNumberFormat="1" applyAlignment="1">
      <alignment vertical="center"/>
    </xf>
    <xf numFmtId="174" fontId="0" fillId="19" borderId="0" xfId="0" applyNumberFormat="1" applyFill="1" applyAlignment="1">
      <alignment vertical="center"/>
    </xf>
    <xf numFmtId="0" fontId="11" fillId="0" borderId="18" xfId="21" applyFont="1" applyBorder="1" applyAlignment="1">
      <alignment horizontal="left" vertical="center" wrapText="1"/>
    </xf>
    <xf numFmtId="166" fontId="12" fillId="0" borderId="10" xfId="11" applyFont="1" applyFill="1" applyBorder="1" applyAlignment="1" applyProtection="1">
      <alignment horizontal="center" vertical="center" wrapText="1"/>
    </xf>
    <xf numFmtId="165" fontId="20" fillId="0" borderId="0" xfId="14" applyFont="1" applyAlignment="1">
      <alignment vertical="center"/>
    </xf>
    <xf numFmtId="0" fontId="12" fillId="20" borderId="1" xfId="21" applyFont="1" applyFill="1" applyBorder="1" applyAlignment="1">
      <alignment horizontal="center" vertical="center" wrapText="1"/>
    </xf>
    <xf numFmtId="0" fontId="12" fillId="0" borderId="10" xfId="21" applyFont="1" applyBorder="1" applyAlignment="1">
      <alignment horizontal="center" vertical="center" wrapText="1"/>
    </xf>
    <xf numFmtId="0" fontId="12" fillId="0" borderId="4" xfId="21" applyFont="1" applyBorder="1" applyAlignment="1">
      <alignment horizontal="left" vertical="center" wrapText="1"/>
    </xf>
    <xf numFmtId="0" fontId="12" fillId="9" borderId="19" xfId="21" applyFont="1" applyFill="1" applyBorder="1" applyAlignment="1">
      <alignment horizontal="left" vertical="center" wrapText="1"/>
    </xf>
    <xf numFmtId="9" fontId="33" fillId="9" borderId="19" xfId="29" applyFont="1" applyFill="1" applyBorder="1" applyAlignment="1" applyProtection="1">
      <alignment vertical="center" wrapText="1"/>
    </xf>
    <xf numFmtId="173" fontId="12" fillId="9" borderId="19" xfId="27" applyNumberFormat="1" applyFont="1" applyFill="1" applyBorder="1" applyAlignment="1" applyProtection="1">
      <alignment vertical="center" wrapText="1"/>
    </xf>
    <xf numFmtId="165" fontId="31" fillId="0" borderId="0" xfId="14" applyFont="1" applyAlignment="1">
      <alignment vertical="center"/>
    </xf>
    <xf numFmtId="9" fontId="11" fillId="0" borderId="4" xfId="28" applyFont="1" applyFill="1" applyBorder="1" applyAlignment="1" applyProtection="1">
      <alignment horizontal="center" vertical="center" wrapText="1"/>
      <protection locked="0"/>
    </xf>
    <xf numFmtId="9" fontId="12" fillId="0" borderId="20" xfId="21" applyNumberFormat="1" applyFont="1" applyBorder="1" applyAlignment="1">
      <alignment horizontal="center" vertical="center" wrapText="1"/>
    </xf>
    <xf numFmtId="9" fontId="12" fillId="0" borderId="0" xfId="21" applyNumberFormat="1" applyFont="1" applyAlignment="1">
      <alignment vertical="center" wrapText="1"/>
    </xf>
    <xf numFmtId="0" fontId="31" fillId="0" borderId="0" xfId="0" applyFont="1" applyAlignment="1">
      <alignment vertical="center"/>
    </xf>
    <xf numFmtId="0" fontId="12" fillId="9" borderId="1" xfId="21" applyFont="1" applyFill="1" applyBorder="1" applyAlignment="1">
      <alignment horizontal="left" vertical="center" wrapText="1"/>
    </xf>
    <xf numFmtId="9" fontId="11" fillId="9" borderId="1" xfId="27" applyFont="1" applyFill="1" applyBorder="1" applyAlignment="1" applyProtection="1">
      <alignment horizontal="center" vertical="center" wrapText="1"/>
      <protection locked="0"/>
    </xf>
    <xf numFmtId="9" fontId="12" fillId="0" borderId="2" xfId="21" applyNumberFormat="1" applyFont="1" applyBorder="1" applyAlignment="1">
      <alignment horizontal="center" vertical="center" wrapText="1"/>
    </xf>
    <xf numFmtId="0" fontId="12" fillId="0" borderId="1" xfId="21" applyFont="1" applyBorder="1" applyAlignment="1">
      <alignment horizontal="left" vertical="center" wrapText="1"/>
    </xf>
    <xf numFmtId="9" fontId="11" fillId="0" borderId="1" xfId="28" applyFont="1" applyFill="1" applyBorder="1" applyAlignment="1" applyProtection="1">
      <alignment horizontal="center" vertical="center" wrapText="1"/>
      <protection locked="0"/>
    </xf>
    <xf numFmtId="9" fontId="11" fillId="9" borderId="2" xfId="27" applyFont="1" applyFill="1" applyBorder="1" applyAlignment="1" applyProtection="1">
      <alignment horizontal="center" vertical="center" wrapText="1"/>
      <protection locked="0"/>
    </xf>
    <xf numFmtId="9" fontId="11" fillId="9" borderId="19" xfId="27" applyFont="1" applyFill="1" applyBorder="1" applyAlignment="1" applyProtection="1">
      <alignment horizontal="center" vertical="center" wrapText="1"/>
      <protection locked="0"/>
    </xf>
    <xf numFmtId="9" fontId="11" fillId="9" borderId="21" xfId="27" applyFont="1" applyFill="1" applyBorder="1" applyAlignment="1" applyProtection="1">
      <alignment horizontal="center" vertical="center" wrapText="1"/>
      <protection locked="0"/>
    </xf>
    <xf numFmtId="9" fontId="12" fillId="0" borderId="21" xfId="21" applyNumberFormat="1" applyFont="1" applyBorder="1" applyAlignment="1">
      <alignment horizontal="center" vertical="center" wrapText="1"/>
    </xf>
    <xf numFmtId="0" fontId="32" fillId="0" borderId="0" xfId="0" applyFont="1" applyAlignment="1">
      <alignment vertical="center"/>
    </xf>
    <xf numFmtId="0" fontId="34" fillId="9" borderId="1" xfId="0" applyFont="1" applyFill="1" applyBorder="1" applyAlignment="1">
      <alignment horizontal="center" vertical="center" wrapText="1"/>
    </xf>
    <xf numFmtId="0" fontId="32" fillId="0" borderId="1" xfId="0" applyFont="1" applyBorder="1" applyAlignment="1">
      <alignment horizontal="center" vertical="center"/>
    </xf>
    <xf numFmtId="0" fontId="32" fillId="0" borderId="1" xfId="0" applyFont="1" applyBorder="1" applyAlignment="1">
      <alignment horizontal="center" vertical="center" wrapText="1"/>
    </xf>
    <xf numFmtId="0" fontId="32" fillId="0" borderId="1" xfId="0" applyFont="1" applyBorder="1" applyAlignment="1">
      <alignment vertical="center"/>
    </xf>
    <xf numFmtId="0" fontId="35" fillId="9" borderId="1" xfId="0" applyFont="1" applyFill="1" applyBorder="1" applyAlignment="1">
      <alignment horizontal="center" vertical="center"/>
    </xf>
    <xf numFmtId="0" fontId="32" fillId="0" borderId="0" xfId="0" applyFont="1" applyAlignment="1">
      <alignment horizontal="center" vertical="center"/>
    </xf>
    <xf numFmtId="0" fontId="36" fillId="0" borderId="1" xfId="0" applyFont="1" applyBorder="1" applyAlignment="1">
      <alignment vertical="center"/>
    </xf>
    <xf numFmtId="0" fontId="35" fillId="9" borderId="1" xfId="0" applyFont="1" applyFill="1" applyBorder="1" applyAlignment="1">
      <alignment horizontal="left" vertical="center"/>
    </xf>
    <xf numFmtId="0" fontId="32" fillId="0" borderId="1" xfId="0" applyFont="1" applyBorder="1" applyAlignment="1">
      <alignment horizontal="left" vertical="center"/>
    </xf>
    <xf numFmtId="0" fontId="32" fillId="0" borderId="2" xfId="0" applyFont="1" applyBorder="1" applyAlignment="1">
      <alignment horizontal="left" vertical="center"/>
    </xf>
    <xf numFmtId="41" fontId="32" fillId="0" borderId="1" xfId="12" applyFont="1" applyFill="1" applyBorder="1" applyAlignment="1">
      <alignment vertical="center"/>
    </xf>
    <xf numFmtId="0" fontId="36" fillId="0" borderId="0" xfId="0" applyFont="1" applyAlignment="1">
      <alignment vertical="center"/>
    </xf>
    <xf numFmtId="0" fontId="34" fillId="0" borderId="0" xfId="0" applyFont="1" applyAlignment="1">
      <alignment horizontal="left" vertical="center"/>
    </xf>
    <xf numFmtId="0" fontId="34" fillId="9" borderId="1" xfId="0" applyFont="1" applyFill="1" applyBorder="1" applyAlignment="1">
      <alignment vertical="center"/>
    </xf>
    <xf numFmtId="41" fontId="32" fillId="0" borderId="2" xfId="12" applyFont="1" applyFill="1" applyBorder="1" applyAlignment="1">
      <alignment vertical="center"/>
    </xf>
    <xf numFmtId="49" fontId="32" fillId="0" borderId="2" xfId="12" applyNumberFormat="1" applyFont="1" applyFill="1" applyBorder="1" applyAlignment="1">
      <alignment vertical="center"/>
    </xf>
    <xf numFmtId="49" fontId="32" fillId="0" borderId="1" xfId="12" applyNumberFormat="1" applyFont="1" applyFill="1" applyBorder="1" applyAlignment="1">
      <alignment vertical="center"/>
    </xf>
    <xf numFmtId="0" fontId="32" fillId="0" borderId="0" xfId="0" applyFont="1" applyAlignment="1">
      <alignment horizontal="left" vertical="center"/>
    </xf>
    <xf numFmtId="0" fontId="34" fillId="21" borderId="1" xfId="0" applyFont="1" applyFill="1" applyBorder="1" applyAlignment="1">
      <alignment horizontal="center" vertical="center"/>
    </xf>
    <xf numFmtId="0" fontId="34" fillId="0" borderId="1" xfId="0" applyFont="1" applyBorder="1" applyAlignment="1">
      <alignment horizontal="center" vertical="center"/>
    </xf>
    <xf numFmtId="0" fontId="32" fillId="0" borderId="4" xfId="0" applyFont="1" applyBorder="1" applyAlignment="1">
      <alignment horizontal="left" vertical="center" wrapText="1"/>
    </xf>
    <xf numFmtId="0" fontId="32" fillId="0" borderId="1" xfId="0" applyFont="1" applyBorder="1" applyAlignment="1">
      <alignment horizontal="left" vertical="center" wrapText="1"/>
    </xf>
    <xf numFmtId="0" fontId="34" fillId="0" borderId="1" xfId="0" applyFont="1" applyBorder="1" applyAlignment="1">
      <alignment horizontal="center" vertical="center" wrapText="1"/>
    </xf>
    <xf numFmtId="0" fontId="32" fillId="0" borderId="1" xfId="0" applyFont="1" applyBorder="1" applyAlignment="1">
      <alignment vertical="center" wrapText="1"/>
    </xf>
    <xf numFmtId="0" fontId="34" fillId="0" borderId="1" xfId="0" applyFont="1" applyBorder="1" applyAlignment="1">
      <alignment vertical="center" wrapText="1"/>
    </xf>
    <xf numFmtId="0" fontId="11" fillId="19" borderId="1" xfId="0" applyFont="1" applyFill="1" applyBorder="1" applyAlignment="1">
      <alignment horizontal="left" vertical="center" wrapText="1"/>
    </xf>
    <xf numFmtId="0" fontId="34" fillId="0" borderId="10" xfId="0" applyFont="1" applyBorder="1" applyAlignment="1">
      <alignment horizontal="left" vertical="center" wrapText="1"/>
    </xf>
    <xf numFmtId="0" fontId="32" fillId="0" borderId="10" xfId="0" applyFont="1" applyBorder="1" applyAlignment="1">
      <alignment horizontal="left" vertical="center"/>
    </xf>
    <xf numFmtId="0" fontId="12" fillId="19" borderId="2" xfId="21" applyFont="1" applyFill="1" applyBorder="1" applyAlignment="1">
      <alignment horizontal="center" vertical="center" wrapText="1"/>
    </xf>
    <xf numFmtId="0" fontId="12" fillId="19" borderId="5" xfId="21" applyFont="1" applyFill="1" applyBorder="1" applyAlignment="1">
      <alignment horizontal="center" vertical="center" wrapText="1"/>
    </xf>
    <xf numFmtId="0" fontId="12" fillId="0" borderId="2" xfId="21" applyFont="1" applyBorder="1" applyAlignment="1">
      <alignment horizontal="center" vertical="center" wrapText="1"/>
    </xf>
    <xf numFmtId="0" fontId="12" fillId="0" borderId="26" xfId="21" applyFont="1" applyBorder="1" applyAlignment="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7" fillId="0" borderId="1" xfId="0" applyFont="1" applyBorder="1" applyAlignment="1">
      <alignment horizontal="center"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9" fontId="12" fillId="0" borderId="10" xfId="27" applyFont="1" applyFill="1" applyBorder="1" applyAlignment="1" applyProtection="1">
      <alignment horizontal="center" vertical="center" wrapText="1"/>
    </xf>
    <xf numFmtId="9" fontId="12" fillId="9" borderId="19" xfId="27" applyFont="1" applyFill="1" applyBorder="1" applyAlignment="1" applyProtection="1">
      <alignment horizontal="center" vertical="center" wrapText="1"/>
    </xf>
    <xf numFmtId="0" fontId="12" fillId="19" borderId="30" xfId="21" applyFont="1" applyFill="1" applyBorder="1" applyAlignment="1">
      <alignment horizontal="center" vertical="center" wrapText="1"/>
    </xf>
    <xf numFmtId="0" fontId="12" fillId="19" borderId="22" xfId="21" applyFont="1" applyFill="1" applyBorder="1" applyAlignment="1">
      <alignment horizontal="center" vertical="center" wrapText="1"/>
    </xf>
    <xf numFmtId="0" fontId="12" fillId="19" borderId="23" xfId="21" applyFont="1" applyFill="1" applyBorder="1" applyAlignment="1">
      <alignment horizontal="center" vertical="center" wrapText="1"/>
    </xf>
    <xf numFmtId="0" fontId="31" fillId="0" borderId="0" xfId="0" applyFont="1" applyAlignment="1">
      <alignment horizontal="center" vertical="center" wrapText="1"/>
    </xf>
    <xf numFmtId="0" fontId="0" fillId="0" borderId="0" xfId="0" applyAlignment="1">
      <alignment horizontal="center" vertical="center"/>
    </xf>
    <xf numFmtId="0" fontId="12" fillId="0" borderId="13" xfId="21" applyFont="1" applyBorder="1" applyAlignment="1">
      <alignment vertical="center" wrapText="1"/>
    </xf>
    <xf numFmtId="0" fontId="11" fillId="0" borderId="14" xfId="21" applyFont="1" applyBorder="1" applyAlignment="1">
      <alignment vertical="center" wrapText="1"/>
    </xf>
    <xf numFmtId="172" fontId="20" fillId="0" borderId="1" xfId="10" applyNumberFormat="1" applyFont="1" applyBorder="1" applyAlignment="1">
      <alignment vertical="center"/>
    </xf>
    <xf numFmtId="172" fontId="20" fillId="0" borderId="8" xfId="10" applyNumberFormat="1" applyFont="1" applyBorder="1" applyAlignment="1">
      <alignment vertical="center"/>
    </xf>
    <xf numFmtId="172" fontId="20" fillId="0" borderId="19" xfId="10" applyNumberFormat="1" applyFont="1" applyBorder="1" applyAlignment="1">
      <alignment vertical="center"/>
    </xf>
    <xf numFmtId="172" fontId="20" fillId="0" borderId="4" xfId="10" applyNumberFormat="1" applyFont="1" applyBorder="1" applyAlignment="1">
      <alignment vertical="center"/>
    </xf>
    <xf numFmtId="172" fontId="20" fillId="0" borderId="32" xfId="10" applyNumberFormat="1" applyFont="1" applyBorder="1" applyAlignment="1">
      <alignment vertical="center"/>
    </xf>
    <xf numFmtId="9" fontId="20" fillId="0" borderId="9" xfId="27" applyFont="1" applyBorder="1" applyAlignment="1">
      <alignment vertical="center"/>
    </xf>
    <xf numFmtId="9" fontId="20" fillId="0" borderId="33" xfId="27" applyFont="1" applyBorder="1" applyAlignment="1">
      <alignment vertical="center"/>
    </xf>
    <xf numFmtId="9" fontId="20" fillId="0" borderId="34" xfId="27" applyFont="1" applyBorder="1" applyAlignment="1">
      <alignment vertical="center"/>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5" xfId="0" applyFont="1" applyFill="1" applyBorder="1" applyAlignment="1">
      <alignment horizontal="center" vertical="center" wrapText="1"/>
    </xf>
    <xf numFmtId="0" fontId="3" fillId="9" borderId="4" xfId="0" applyFont="1" applyFill="1" applyBorder="1" applyAlignment="1">
      <alignment horizontal="center" vertical="center" wrapText="1"/>
    </xf>
    <xf numFmtId="176" fontId="13" fillId="0" borderId="1" xfId="14" applyNumberFormat="1" applyFont="1" applyFill="1" applyBorder="1" applyAlignment="1">
      <alignment horizontal="center" vertical="center"/>
    </xf>
    <xf numFmtId="0" fontId="17" fillId="23" borderId="1" xfId="0" applyFont="1" applyFill="1" applyBorder="1" applyAlignment="1">
      <alignment horizontal="center" vertical="center"/>
    </xf>
    <xf numFmtId="0" fontId="17" fillId="0" borderId="1" xfId="0" applyFont="1" applyBorder="1" applyAlignment="1">
      <alignment horizontal="center" vertical="center" wrapText="1"/>
    </xf>
    <xf numFmtId="2" fontId="12" fillId="0" borderId="10" xfId="21" applyNumberFormat="1" applyFont="1" applyBorder="1" applyAlignment="1">
      <alignment horizontal="center" vertical="center" wrapText="1"/>
    </xf>
    <xf numFmtId="0" fontId="12" fillId="9" borderId="10" xfId="21" applyFont="1" applyFill="1" applyBorder="1" applyAlignment="1">
      <alignment horizontal="left" vertical="center" wrapText="1"/>
    </xf>
    <xf numFmtId="9" fontId="12" fillId="0" borderId="1" xfId="21" applyNumberFormat="1" applyFont="1" applyBorder="1" applyAlignment="1">
      <alignment horizontal="center" vertical="center" wrapText="1"/>
    </xf>
    <xf numFmtId="0" fontId="31" fillId="26" borderId="40" xfId="0" applyFont="1" applyFill="1" applyBorder="1" applyAlignment="1">
      <alignment horizontal="center" vertical="center" wrapText="1"/>
    </xf>
    <xf numFmtId="0" fontId="31" fillId="26" borderId="47" xfId="0" applyFont="1" applyFill="1" applyBorder="1" applyAlignment="1">
      <alignment horizontal="center" vertical="center" wrapText="1"/>
    </xf>
    <xf numFmtId="0" fontId="31" fillId="27" borderId="47" xfId="0" applyFont="1" applyFill="1" applyBorder="1" applyAlignment="1">
      <alignment horizontal="center" vertical="center" wrapText="1"/>
    </xf>
    <xf numFmtId="0" fontId="31" fillId="26" borderId="48" xfId="0" applyFont="1" applyFill="1" applyBorder="1" applyAlignment="1">
      <alignment horizontal="center" vertical="center" wrapText="1"/>
    </xf>
    <xf numFmtId="4" fontId="0" fillId="0" borderId="1" xfId="0" applyNumberFormat="1" applyBorder="1" applyAlignment="1">
      <alignment horizontal="right" vertical="center"/>
    </xf>
    <xf numFmtId="4" fontId="31" fillId="26" borderId="1" xfId="0" applyNumberFormat="1" applyFont="1" applyFill="1" applyBorder="1" applyAlignment="1">
      <alignment horizontal="right" vertical="center"/>
    </xf>
    <xf numFmtId="4" fontId="31" fillId="26" borderId="9" xfId="0" applyNumberFormat="1" applyFont="1" applyFill="1" applyBorder="1" applyAlignment="1">
      <alignment horizontal="right" vertical="center"/>
    </xf>
    <xf numFmtId="4" fontId="0" fillId="26" borderId="1" xfId="0" applyNumberFormat="1" applyFill="1" applyBorder="1" applyAlignment="1">
      <alignment horizontal="right" vertical="center"/>
    </xf>
    <xf numFmtId="4" fontId="0" fillId="26" borderId="19" xfId="0" applyNumberFormat="1" applyFill="1" applyBorder="1" applyAlignment="1">
      <alignment horizontal="right" vertical="center"/>
    </xf>
    <xf numFmtId="4" fontId="31" fillId="26" borderId="19" xfId="0" applyNumberFormat="1" applyFont="1" applyFill="1" applyBorder="1" applyAlignment="1">
      <alignment horizontal="right" vertical="center"/>
    </xf>
    <xf numFmtId="177" fontId="12" fillId="0" borderId="10" xfId="10" applyNumberFormat="1" applyFont="1" applyFill="1" applyBorder="1" applyAlignment="1" applyProtection="1">
      <alignment horizontal="center" vertical="center" wrapText="1"/>
    </xf>
    <xf numFmtId="9" fontId="0" fillId="0" borderId="0" xfId="27" applyFont="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4" fontId="0" fillId="0" borderId="9" xfId="0" applyNumberFormat="1" applyBorder="1" applyAlignment="1">
      <alignment vertical="center"/>
    </xf>
    <xf numFmtId="4" fontId="0" fillId="26" borderId="9" xfId="0" applyNumberFormat="1" applyFill="1" applyBorder="1" applyAlignment="1">
      <alignment vertical="center"/>
    </xf>
    <xf numFmtId="4" fontId="0" fillId="26" borderId="33" xfId="0" applyNumberFormat="1" applyFill="1" applyBorder="1" applyAlignment="1">
      <alignment vertical="center"/>
    </xf>
    <xf numFmtId="9" fontId="0" fillId="0" borderId="0" xfId="0" applyNumberFormat="1" applyAlignment="1">
      <alignment horizontal="center" vertical="center"/>
    </xf>
    <xf numFmtId="9" fontId="31" fillId="0" borderId="0" xfId="0" applyNumberFormat="1" applyFont="1" applyAlignment="1">
      <alignment horizontal="center" vertical="center"/>
    </xf>
    <xf numFmtId="0" fontId="45" fillId="0" borderId="0" xfId="0" applyFont="1"/>
    <xf numFmtId="0" fontId="46" fillId="0" borderId="0" xfId="0" applyFont="1"/>
    <xf numFmtId="0" fontId="44" fillId="0" borderId="0" xfId="0" applyFont="1"/>
    <xf numFmtId="0" fontId="43" fillId="28" borderId="76" xfId="0" applyFont="1" applyFill="1" applyBorder="1" applyAlignment="1">
      <alignment horizontal="center" vertical="center" wrapText="1"/>
    </xf>
    <xf numFmtId="0" fontId="43" fillId="0" borderId="76" xfId="0" applyFont="1" applyBorder="1" applyAlignment="1">
      <alignment horizontal="center" vertical="center" wrapText="1"/>
    </xf>
    <xf numFmtId="0" fontId="46" fillId="0" borderId="0" xfId="0" applyFont="1" applyAlignment="1">
      <alignment horizontal="center" vertical="center"/>
    </xf>
    <xf numFmtId="0" fontId="43" fillId="29" borderId="76" xfId="0" applyFont="1" applyFill="1" applyBorder="1" applyAlignment="1">
      <alignment horizontal="center" vertical="center" wrapText="1"/>
    </xf>
    <xf numFmtId="178" fontId="46" fillId="29" borderId="0" xfId="0" applyNumberFormat="1" applyFont="1" applyFill="1" applyAlignment="1">
      <alignment horizontal="center" vertical="center"/>
    </xf>
    <xf numFmtId="178" fontId="47" fillId="29" borderId="0" xfId="0" applyNumberFormat="1" applyFont="1" applyFill="1" applyAlignment="1">
      <alignment horizontal="center" vertical="center"/>
    </xf>
    <xf numFmtId="0" fontId="46" fillId="30" borderId="0" xfId="0" applyFont="1" applyFill="1" applyAlignment="1">
      <alignment horizontal="center" vertical="center"/>
    </xf>
    <xf numFmtId="179" fontId="47" fillId="30" borderId="0" xfId="0" applyNumberFormat="1" applyFont="1" applyFill="1" applyAlignment="1">
      <alignment horizontal="center" vertical="center"/>
    </xf>
    <xf numFmtId="0" fontId="4" fillId="0" borderId="0" xfId="0" applyFont="1" applyAlignment="1">
      <alignment vertical="center"/>
    </xf>
    <xf numFmtId="0" fontId="45" fillId="0" borderId="0" xfId="0" applyFont="1" applyAlignment="1">
      <alignment vertical="center"/>
    </xf>
    <xf numFmtId="0" fontId="12" fillId="20" borderId="10" xfId="21" applyFont="1" applyFill="1" applyBorder="1" applyAlignment="1">
      <alignment horizontal="center" vertical="center" wrapText="1"/>
    </xf>
    <xf numFmtId="0" fontId="12" fillId="0" borderId="47" xfId="21" applyFont="1" applyBorder="1" applyAlignment="1">
      <alignment horizontal="left" vertical="center" wrapText="1"/>
    </xf>
    <xf numFmtId="9" fontId="11" fillId="0" borderId="47" xfId="28" applyFont="1" applyFill="1" applyBorder="1" applyAlignment="1" applyProtection="1">
      <alignment horizontal="center" vertical="center" wrapText="1"/>
      <protection locked="0"/>
    </xf>
    <xf numFmtId="180" fontId="12" fillId="0" borderId="10" xfId="21" applyNumberFormat="1" applyFont="1" applyBorder="1" applyAlignment="1">
      <alignment horizontal="center" vertical="center" wrapText="1"/>
    </xf>
    <xf numFmtId="5" fontId="20" fillId="0" borderId="32" xfId="10" applyNumberFormat="1" applyFont="1" applyBorder="1" applyAlignment="1">
      <alignment vertical="center"/>
    </xf>
    <xf numFmtId="5" fontId="20" fillId="0" borderId="1" xfId="10" applyNumberFormat="1" applyFont="1" applyBorder="1" applyAlignment="1">
      <alignment vertical="center"/>
    </xf>
    <xf numFmtId="0" fontId="48" fillId="32" borderId="1" xfId="33" applyFont="1" applyFill="1" applyBorder="1" applyAlignment="1">
      <alignment horizontal="center" vertical="center" wrapText="1"/>
    </xf>
    <xf numFmtId="0" fontId="48" fillId="33" borderId="1" xfId="33" applyFont="1" applyFill="1" applyBorder="1" applyAlignment="1">
      <alignment horizontal="center" vertical="center" wrapText="1"/>
    </xf>
    <xf numFmtId="0" fontId="48" fillId="15" borderId="1" xfId="33" applyFont="1" applyFill="1" applyBorder="1" applyAlignment="1">
      <alignment horizontal="center" vertical="center" wrapText="1"/>
    </xf>
    <xf numFmtId="41" fontId="48" fillId="15" borderId="1" xfId="12" applyFont="1" applyFill="1" applyBorder="1" applyAlignment="1">
      <alignment horizontal="center" vertical="center" wrapText="1"/>
    </xf>
    <xf numFmtId="165" fontId="48" fillId="15" borderId="1" xfId="14" applyFont="1" applyFill="1" applyBorder="1" applyAlignment="1">
      <alignment horizontal="center" vertical="center" wrapText="1"/>
    </xf>
    <xf numFmtId="181" fontId="48" fillId="15" borderId="1" xfId="33" applyNumberFormat="1" applyFont="1" applyFill="1" applyBorder="1" applyAlignment="1">
      <alignment horizontal="center" vertical="center" wrapText="1"/>
    </xf>
    <xf numFmtId="181" fontId="49" fillId="0" borderId="1" xfId="33" applyNumberFormat="1" applyFont="1" applyFill="1" applyBorder="1" applyAlignment="1">
      <alignment horizontal="center" vertical="center" wrapText="1"/>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5" fillId="33" borderId="1" xfId="0" applyFont="1" applyFill="1" applyBorder="1" applyAlignment="1">
      <alignment horizontal="center" vertical="center"/>
    </xf>
    <xf numFmtId="0" fontId="5" fillId="0" borderId="1" xfId="0" applyFont="1" applyBorder="1" applyAlignment="1">
      <alignment horizontal="right" vertical="center"/>
    </xf>
    <xf numFmtId="9" fontId="5" fillId="0" borderId="1" xfId="27" applyFont="1" applyFill="1" applyBorder="1" applyAlignment="1">
      <alignment horizontal="center" vertical="center"/>
    </xf>
    <xf numFmtId="0" fontId="5" fillId="34" borderId="1" xfId="0" applyFont="1" applyFill="1" applyBorder="1" applyAlignment="1">
      <alignment vertical="center"/>
    </xf>
    <xf numFmtId="0" fontId="53" fillId="0" borderId="1" xfId="0" applyFont="1" applyBorder="1" applyAlignment="1">
      <alignment horizontal="left" vertical="center"/>
    </xf>
    <xf numFmtId="0" fontId="5" fillId="0" borderId="1" xfId="0" applyFont="1" applyBorder="1" applyAlignment="1">
      <alignment vertical="center"/>
    </xf>
    <xf numFmtId="4" fontId="5" fillId="0" borderId="1" xfId="0" applyNumberFormat="1" applyFont="1" applyBorder="1" applyAlignment="1">
      <alignment horizontal="right" vertical="center"/>
    </xf>
    <xf numFmtId="0" fontId="54" fillId="0" borderId="0" xfId="0" applyFont="1"/>
    <xf numFmtId="15" fontId="55" fillId="0" borderId="0" xfId="0" applyNumberFormat="1" applyFont="1" applyAlignment="1">
      <alignment horizontal="center" vertical="center" wrapText="1"/>
    </xf>
    <xf numFmtId="0" fontId="55" fillId="0" borderId="0" xfId="0" applyFont="1" applyAlignment="1">
      <alignment horizontal="center" vertical="center" wrapText="1"/>
    </xf>
    <xf numFmtId="0" fontId="55" fillId="0" borderId="0" xfId="0" applyFont="1" applyAlignment="1">
      <alignment wrapText="1"/>
    </xf>
    <xf numFmtId="0" fontId="56" fillId="0" borderId="0" xfId="0" applyFont="1" applyAlignment="1">
      <alignment wrapText="1"/>
    </xf>
    <xf numFmtId="0" fontId="5" fillId="34" borderId="4" xfId="0" applyFont="1" applyFill="1" applyBorder="1" applyAlignment="1">
      <alignment vertical="center"/>
    </xf>
    <xf numFmtId="0" fontId="5" fillId="0" borderId="0" xfId="0" applyFont="1"/>
    <xf numFmtId="0" fontId="54" fillId="0" borderId="0" xfId="0" applyFont="1" applyAlignment="1">
      <alignment wrapText="1"/>
    </xf>
    <xf numFmtId="0" fontId="57" fillId="0" borderId="0" xfId="0" applyFont="1" applyAlignment="1">
      <alignment vertical="center"/>
    </xf>
    <xf numFmtId="14" fontId="56" fillId="0" borderId="0" xfId="0" applyNumberFormat="1" applyFont="1" applyAlignment="1">
      <alignment wrapText="1"/>
    </xf>
    <xf numFmtId="0" fontId="57" fillId="24" borderId="0" xfId="0" applyFont="1" applyFill="1" applyAlignment="1">
      <alignment vertical="center"/>
    </xf>
    <xf numFmtId="0" fontId="5" fillId="0" borderId="0" xfId="0" applyFont="1" applyAlignment="1">
      <alignment vertical="center"/>
    </xf>
    <xf numFmtId="168" fontId="5" fillId="0" borderId="1" xfId="15" applyFont="1" applyBorder="1" applyAlignment="1">
      <alignment horizontal="left" vertical="center"/>
    </xf>
    <xf numFmtId="167" fontId="58" fillId="0" borderId="4" xfId="0" applyNumberFormat="1" applyFont="1" applyBorder="1" applyAlignment="1">
      <alignment horizontal="right" vertical="center" wrapText="1"/>
    </xf>
    <xf numFmtId="0" fontId="58" fillId="0" borderId="4" xfId="0" applyFont="1" applyBorder="1" applyAlignment="1">
      <alignment vertical="center"/>
    </xf>
    <xf numFmtId="0" fontId="5" fillId="35" borderId="1" xfId="0" applyFont="1" applyFill="1" applyBorder="1" applyAlignment="1">
      <alignment horizontal="left" vertical="center"/>
    </xf>
    <xf numFmtId="0" fontId="5" fillId="35" borderId="1" xfId="0" applyFont="1" applyFill="1" applyBorder="1" applyAlignment="1">
      <alignment horizontal="center" vertical="center"/>
    </xf>
    <xf numFmtId="0" fontId="5" fillId="35" borderId="1" xfId="0" applyFont="1" applyFill="1" applyBorder="1" applyAlignment="1">
      <alignment horizontal="right" vertical="center"/>
    </xf>
    <xf numFmtId="9" fontId="5" fillId="35" borderId="1" xfId="27" applyFont="1" applyFill="1" applyBorder="1" applyAlignment="1">
      <alignment horizontal="center" vertical="center"/>
    </xf>
    <xf numFmtId="0" fontId="58" fillId="35" borderId="4" xfId="0" applyFont="1" applyFill="1" applyBorder="1" applyAlignment="1">
      <alignment vertical="center" wrapText="1"/>
    </xf>
    <xf numFmtId="0" fontId="58" fillId="36" borderId="25" xfId="0" applyFont="1" applyFill="1" applyBorder="1" applyAlignment="1">
      <alignment vertical="center"/>
    </xf>
    <xf numFmtId="0" fontId="5" fillId="35" borderId="1" xfId="0" applyFont="1" applyFill="1" applyBorder="1" applyAlignment="1">
      <alignment vertical="center"/>
    </xf>
    <xf numFmtId="167" fontId="58" fillId="35" borderId="4" xfId="0" applyNumberFormat="1" applyFont="1" applyFill="1" applyBorder="1" applyAlignment="1">
      <alignment horizontal="right" vertical="center" wrapText="1"/>
    </xf>
    <xf numFmtId="167" fontId="5" fillId="35" borderId="1" xfId="0" applyNumberFormat="1" applyFont="1" applyFill="1" applyBorder="1" applyAlignment="1">
      <alignment vertical="center"/>
    </xf>
    <xf numFmtId="0" fontId="58" fillId="35" borderId="4" xfId="0" applyFont="1" applyFill="1" applyBorder="1" applyAlignment="1">
      <alignment vertical="center"/>
    </xf>
    <xf numFmtId="0" fontId="5" fillId="18" borderId="1" xfId="0" applyFont="1" applyFill="1" applyBorder="1" applyAlignment="1">
      <alignment horizontal="left" vertical="center"/>
    </xf>
    <xf numFmtId="0" fontId="5" fillId="18" borderId="1" xfId="0" applyFont="1" applyFill="1" applyBorder="1" applyAlignment="1">
      <alignment horizontal="center" vertical="center"/>
    </xf>
    <xf numFmtId="0" fontId="5" fillId="18" borderId="1" xfId="0" applyFont="1" applyFill="1" applyBorder="1" applyAlignment="1">
      <alignment horizontal="right" vertical="center"/>
    </xf>
    <xf numFmtId="9" fontId="5" fillId="18" borderId="1" xfId="27" applyFont="1" applyFill="1" applyBorder="1" applyAlignment="1">
      <alignment horizontal="center" vertical="center"/>
    </xf>
    <xf numFmtId="0" fontId="5" fillId="18" borderId="1" xfId="0" applyFont="1" applyFill="1" applyBorder="1" applyAlignment="1">
      <alignment vertical="center"/>
    </xf>
    <xf numFmtId="4" fontId="5" fillId="18" borderId="1" xfId="0" applyNumberFormat="1" applyFont="1" applyFill="1" applyBorder="1" applyAlignment="1">
      <alignment horizontal="right" vertical="center"/>
    </xf>
    <xf numFmtId="0" fontId="5" fillId="18" borderId="0" xfId="0" applyFont="1" applyFill="1"/>
    <xf numFmtId="15" fontId="55" fillId="18" borderId="0" xfId="0" applyNumberFormat="1" applyFont="1" applyFill="1" applyAlignment="1">
      <alignment horizontal="center" vertical="center" wrapText="1"/>
    </xf>
    <xf numFmtId="0" fontId="56" fillId="18" borderId="0" xfId="0" applyFont="1" applyFill="1" applyAlignment="1">
      <alignment wrapText="1"/>
    </xf>
    <xf numFmtId="4" fontId="56" fillId="18" borderId="0" xfId="0" applyNumberFormat="1" applyFont="1" applyFill="1" applyAlignment="1">
      <alignment wrapText="1"/>
    </xf>
    <xf numFmtId="0" fontId="0" fillId="18" borderId="0" xfId="0" applyFill="1"/>
    <xf numFmtId="0" fontId="53" fillId="18" borderId="1" xfId="0" applyFont="1" applyFill="1" applyBorder="1" applyAlignment="1">
      <alignment horizontal="left" vertical="center"/>
    </xf>
    <xf numFmtId="9" fontId="5" fillId="18" borderId="1" xfId="27" applyFont="1" applyFill="1" applyBorder="1" applyAlignment="1">
      <alignment horizontal="left" vertical="center"/>
    </xf>
    <xf numFmtId="168" fontId="5" fillId="18" borderId="1" xfId="15" applyFont="1" applyFill="1" applyBorder="1" applyAlignment="1">
      <alignment horizontal="left" vertical="center"/>
    </xf>
    <xf numFmtId="0" fontId="56" fillId="18" borderId="0" xfId="0" applyFont="1" applyFill="1"/>
    <xf numFmtId="0" fontId="5" fillId="18" borderId="1" xfId="10" applyNumberFormat="1" applyFont="1" applyFill="1" applyBorder="1" applyAlignment="1">
      <alignment horizontal="center" vertical="center"/>
    </xf>
    <xf numFmtId="167" fontId="58" fillId="18" borderId="1" xfId="0" applyNumberFormat="1" applyFont="1" applyFill="1" applyBorder="1" applyAlignment="1">
      <alignment horizontal="right" vertical="center" wrapText="1"/>
    </xf>
    <xf numFmtId="0" fontId="58" fillId="18" borderId="1" xfId="0" applyFont="1" applyFill="1" applyBorder="1" applyAlignment="1">
      <alignment vertical="center"/>
    </xf>
    <xf numFmtId="0" fontId="58" fillId="18" borderId="0" xfId="0" applyFont="1" applyFill="1"/>
    <xf numFmtId="0" fontId="31" fillId="0" borderId="0" xfId="0" applyFont="1"/>
    <xf numFmtId="3" fontId="32" fillId="0" borderId="0" xfId="0" applyNumberFormat="1" applyFont="1" applyAlignment="1">
      <alignment horizontal="center" vertical="center"/>
    </xf>
    <xf numFmtId="0" fontId="60" fillId="0" borderId="0" xfId="0" applyFont="1" applyAlignment="1">
      <alignment vertical="center" wrapText="1"/>
    </xf>
    <xf numFmtId="0" fontId="61" fillId="0" borderId="0" xfId="0" applyFont="1" applyAlignment="1">
      <alignment vertical="top"/>
    </xf>
    <xf numFmtId="0" fontId="60" fillId="0" borderId="0" xfId="0" applyFont="1" applyAlignment="1">
      <alignment vertical="top"/>
    </xf>
    <xf numFmtId="3" fontId="61" fillId="0" borderId="0" xfId="0" applyNumberFormat="1" applyFont="1" applyAlignment="1">
      <alignment vertical="top"/>
    </xf>
    <xf numFmtId="0" fontId="63" fillId="0" borderId="0" xfId="0" applyFont="1"/>
    <xf numFmtId="0" fontId="62" fillId="0" borderId="0" xfId="0" applyFont="1"/>
    <xf numFmtId="0" fontId="63" fillId="0" borderId="0" xfId="0" applyFont="1" applyAlignment="1">
      <alignment wrapText="1"/>
    </xf>
    <xf numFmtId="0" fontId="62" fillId="0" borderId="0" xfId="0" applyFont="1" applyAlignment="1">
      <alignment wrapText="1"/>
    </xf>
    <xf numFmtId="4" fontId="62" fillId="0" borderId="0" xfId="0" applyNumberFormat="1" applyFont="1"/>
    <xf numFmtId="0" fontId="62" fillId="18" borderId="0" xfId="0" applyFont="1" applyFill="1" applyAlignment="1">
      <alignment wrapText="1"/>
    </xf>
    <xf numFmtId="0" fontId="62" fillId="18" borderId="0" xfId="0" applyFont="1" applyFill="1"/>
    <xf numFmtId="0" fontId="63" fillId="18" borderId="0" xfId="0" applyFont="1" applyFill="1"/>
    <xf numFmtId="4" fontId="62" fillId="18" borderId="0" xfId="0" applyNumberFormat="1" applyFont="1" applyFill="1"/>
    <xf numFmtId="0" fontId="5" fillId="27" borderId="1" xfId="0" applyFont="1" applyFill="1" applyBorder="1" applyAlignment="1">
      <alignment horizontal="left" vertical="center"/>
    </xf>
    <xf numFmtId="0" fontId="5" fillId="27" borderId="1" xfId="0" applyFont="1" applyFill="1" applyBorder="1" applyAlignment="1">
      <alignment horizontal="center" vertical="center"/>
    </xf>
    <xf numFmtId="0" fontId="5" fillId="27" borderId="1" xfId="0" applyFont="1" applyFill="1" applyBorder="1" applyAlignment="1">
      <alignment horizontal="right" vertical="center"/>
    </xf>
    <xf numFmtId="9" fontId="5" fillId="27" borderId="1" xfId="27" applyFont="1" applyFill="1" applyBorder="1" applyAlignment="1">
      <alignment horizontal="left" vertical="center"/>
    </xf>
    <xf numFmtId="9" fontId="5" fillId="27" borderId="1" xfId="27" applyFont="1" applyFill="1" applyBorder="1" applyAlignment="1">
      <alignment horizontal="center" vertical="center"/>
    </xf>
    <xf numFmtId="0" fontId="5" fillId="27" borderId="1" xfId="10" applyNumberFormat="1" applyFont="1" applyFill="1" applyBorder="1" applyAlignment="1">
      <alignment horizontal="center" vertical="center"/>
    </xf>
    <xf numFmtId="168" fontId="5" fillId="27" borderId="1" xfId="15" applyFont="1" applyFill="1" applyBorder="1" applyAlignment="1">
      <alignment horizontal="left" vertical="center"/>
    </xf>
    <xf numFmtId="0" fontId="5" fillId="27" borderId="1" xfId="0" applyFont="1" applyFill="1" applyBorder="1" applyAlignment="1">
      <alignment vertical="center"/>
    </xf>
    <xf numFmtId="4" fontId="5" fillId="27" borderId="1" xfId="0" applyNumberFormat="1" applyFont="1" applyFill="1" applyBorder="1" applyAlignment="1">
      <alignment horizontal="right" vertical="center"/>
    </xf>
    <xf numFmtId="0" fontId="5" fillId="27" borderId="0" xfId="0" applyFont="1" applyFill="1"/>
    <xf numFmtId="15" fontId="55" fillId="27" borderId="0" xfId="0" applyNumberFormat="1" applyFont="1" applyFill="1" applyAlignment="1">
      <alignment horizontal="center" vertical="center" wrapText="1"/>
    </xf>
    <xf numFmtId="0" fontId="56" fillId="27" borderId="0" xfId="0" applyFont="1" applyFill="1"/>
    <xf numFmtId="0" fontId="62" fillId="27" borderId="0" xfId="0" applyFont="1" applyFill="1"/>
    <xf numFmtId="0" fontId="63" fillId="27" borderId="0" xfId="0" applyFont="1" applyFill="1"/>
    <xf numFmtId="4" fontId="62" fillId="27" borderId="0" xfId="0" applyNumberFormat="1" applyFont="1" applyFill="1"/>
    <xf numFmtId="0" fontId="0" fillId="27" borderId="0" xfId="0" applyFill="1"/>
    <xf numFmtId="4" fontId="56" fillId="27" borderId="0" xfId="0" applyNumberFormat="1" applyFont="1" applyFill="1" applyAlignment="1">
      <alignment wrapText="1"/>
    </xf>
    <xf numFmtId="171" fontId="62" fillId="0" borderId="0" xfId="0" applyNumberFormat="1" applyFont="1"/>
    <xf numFmtId="182" fontId="63" fillId="0" borderId="0" xfId="0" applyNumberFormat="1" applyFont="1"/>
    <xf numFmtId="182" fontId="63" fillId="18" borderId="0" xfId="0" applyNumberFormat="1" applyFont="1" applyFill="1"/>
    <xf numFmtId="182" fontId="63" fillId="27" borderId="0" xfId="0" applyNumberFormat="1" applyFont="1" applyFill="1"/>
    <xf numFmtId="182" fontId="62" fillId="0" borderId="0" xfId="0" applyNumberFormat="1" applyFont="1"/>
    <xf numFmtId="171" fontId="65" fillId="0" borderId="0" xfId="0" applyNumberFormat="1" applyFont="1"/>
    <xf numFmtId="4" fontId="41" fillId="0" borderId="1" xfId="0" applyNumberFormat="1" applyFont="1" applyBorder="1" applyAlignment="1">
      <alignment horizontal="right" vertical="center"/>
    </xf>
    <xf numFmtId="0" fontId="0" fillId="0" borderId="1" xfId="0" applyBorder="1" applyAlignment="1">
      <alignment vertical="center" wrapText="1"/>
    </xf>
    <xf numFmtId="0" fontId="63" fillId="0" borderId="0" xfId="0" applyFont="1" applyAlignment="1">
      <alignment vertical="center" wrapText="1"/>
    </xf>
    <xf numFmtId="182" fontId="63" fillId="38" borderId="0" xfId="0" applyNumberFormat="1" applyFont="1" applyFill="1"/>
    <xf numFmtId="4" fontId="5" fillId="38" borderId="1" xfId="0" applyNumberFormat="1" applyFont="1" applyFill="1" applyBorder="1" applyAlignment="1">
      <alignment horizontal="right" vertical="center"/>
    </xf>
    <xf numFmtId="0" fontId="66" fillId="18" borderId="1" xfId="0" applyFont="1" applyFill="1" applyBorder="1" applyAlignment="1">
      <alignment horizontal="left" vertical="center"/>
    </xf>
    <xf numFmtId="0" fontId="66" fillId="18" borderId="1" xfId="0" applyFont="1" applyFill="1" applyBorder="1" applyAlignment="1">
      <alignment horizontal="center" vertical="center"/>
    </xf>
    <xf numFmtId="0" fontId="66" fillId="18" borderId="1" xfId="0" applyFont="1" applyFill="1" applyBorder="1" applyAlignment="1">
      <alignment horizontal="right" vertical="center"/>
    </xf>
    <xf numFmtId="9" fontId="66" fillId="18" borderId="1" xfId="27" applyFont="1" applyFill="1" applyBorder="1" applyAlignment="1">
      <alignment horizontal="center" vertical="center"/>
    </xf>
    <xf numFmtId="0" fontId="66" fillId="18" borderId="1" xfId="0" applyFont="1" applyFill="1" applyBorder="1" applyAlignment="1">
      <alignment vertical="center"/>
    </xf>
    <xf numFmtId="4" fontId="66" fillId="18" borderId="1" xfId="0" applyNumberFormat="1" applyFont="1" applyFill="1" applyBorder="1" applyAlignment="1">
      <alignment horizontal="right" vertical="center"/>
    </xf>
    <xf numFmtId="0" fontId="66" fillId="18" borderId="0" xfId="0" applyFont="1" applyFill="1"/>
    <xf numFmtId="15" fontId="67" fillId="18" borderId="0" xfId="0" applyNumberFormat="1" applyFont="1" applyFill="1" applyAlignment="1">
      <alignment horizontal="center" vertical="center" wrapText="1"/>
    </xf>
    <xf numFmtId="0" fontId="66" fillId="18" borderId="0" xfId="0" applyFont="1" applyFill="1" applyAlignment="1">
      <alignment wrapText="1"/>
    </xf>
    <xf numFmtId="0" fontId="65" fillId="18" borderId="0" xfId="0" applyFont="1" applyFill="1" applyAlignment="1">
      <alignment wrapText="1"/>
    </xf>
    <xf numFmtId="182" fontId="68" fillId="18" borderId="0" xfId="0" applyNumberFormat="1" applyFont="1" applyFill="1"/>
    <xf numFmtId="4" fontId="65" fillId="18" borderId="0" xfId="0" applyNumberFormat="1" applyFont="1" applyFill="1"/>
    <xf numFmtId="0" fontId="65" fillId="18" borderId="0" xfId="0" applyFont="1" applyFill="1"/>
    <xf numFmtId="0" fontId="68" fillId="18" borderId="0" xfId="0" applyFont="1" applyFill="1"/>
    <xf numFmtId="0" fontId="41" fillId="18" borderId="0" xfId="0" applyFont="1" applyFill="1"/>
    <xf numFmtId="9" fontId="66" fillId="18" borderId="1" xfId="27" applyFont="1" applyFill="1" applyBorder="1" applyAlignment="1">
      <alignment horizontal="left" vertical="center"/>
    </xf>
    <xf numFmtId="0" fontId="66" fillId="18" borderId="5" xfId="0" applyFont="1" applyFill="1" applyBorder="1" applyAlignment="1">
      <alignment vertical="center"/>
    </xf>
    <xf numFmtId="0" fontId="66" fillId="18" borderId="1" xfId="10" applyNumberFormat="1" applyFont="1" applyFill="1" applyBorder="1" applyAlignment="1">
      <alignment horizontal="center" vertical="center"/>
    </xf>
    <xf numFmtId="0" fontId="66" fillId="18" borderId="4" xfId="0" applyFont="1" applyFill="1" applyBorder="1" applyAlignment="1">
      <alignment vertical="center"/>
    </xf>
    <xf numFmtId="9" fontId="0" fillId="0" borderId="0" xfId="0" applyNumberFormat="1"/>
    <xf numFmtId="0" fontId="31" fillId="39" borderId="0" xfId="0" applyFont="1" applyFill="1"/>
    <xf numFmtId="172" fontId="0" fillId="39" borderId="0" xfId="10" applyNumberFormat="1" applyFont="1" applyFill="1"/>
    <xf numFmtId="0" fontId="5" fillId="35" borderId="0" xfId="0" applyFont="1" applyFill="1" applyAlignment="1">
      <alignment horizontal="left" vertical="center"/>
    </xf>
    <xf numFmtId="182" fontId="62" fillId="0" borderId="0" xfId="0" applyNumberFormat="1" applyFont="1" applyAlignment="1">
      <alignment wrapText="1"/>
    </xf>
    <xf numFmtId="182" fontId="62" fillId="18" borderId="0" xfId="0" applyNumberFormat="1" applyFont="1" applyFill="1" applyAlignment="1">
      <alignment wrapText="1"/>
    </xf>
    <xf numFmtId="182" fontId="62" fillId="18" borderId="0" xfId="0" applyNumberFormat="1" applyFont="1" applyFill="1"/>
    <xf numFmtId="182" fontId="65" fillId="18" borderId="0" xfId="0" applyNumberFormat="1" applyFont="1" applyFill="1" applyAlignment="1">
      <alignment wrapText="1"/>
    </xf>
    <xf numFmtId="182" fontId="65" fillId="18" borderId="0" xfId="0" applyNumberFormat="1" applyFont="1" applyFill="1"/>
    <xf numFmtId="182" fontId="62" fillId="27" borderId="0" xfId="0" applyNumberFormat="1" applyFont="1" applyFill="1" applyAlignment="1">
      <alignment wrapText="1"/>
    </xf>
    <xf numFmtId="182" fontId="62" fillId="27" borderId="0" xfId="0" applyNumberFormat="1" applyFont="1" applyFill="1"/>
    <xf numFmtId="182" fontId="64" fillId="27" borderId="0" xfId="0" applyNumberFormat="1" applyFont="1" applyFill="1" applyAlignment="1">
      <alignment horizontal="right" vertical="center"/>
    </xf>
    <xf numFmtId="182" fontId="62" fillId="35" borderId="0" xfId="0" applyNumberFormat="1" applyFont="1" applyFill="1" applyAlignment="1">
      <alignment wrapText="1"/>
    </xf>
    <xf numFmtId="182" fontId="62" fillId="0" borderId="0" xfId="0" applyNumberFormat="1" applyFont="1" applyAlignment="1">
      <alignment vertical="center" wrapText="1"/>
    </xf>
    <xf numFmtId="182" fontId="69" fillId="27" borderId="0" xfId="0" applyNumberFormat="1" applyFont="1" applyFill="1" applyAlignment="1">
      <alignment horizontal="right" vertical="center"/>
    </xf>
    <xf numFmtId="4" fontId="0" fillId="0" borderId="0" xfId="0" applyNumberFormat="1"/>
    <xf numFmtId="182" fontId="63" fillId="38" borderId="0" xfId="0" applyNumberFormat="1" applyFont="1" applyFill="1" applyAlignment="1">
      <alignment horizontal="center" vertical="center"/>
    </xf>
    <xf numFmtId="0" fontId="63" fillId="38" borderId="0" xfId="0" applyFont="1" applyFill="1" applyAlignment="1">
      <alignment horizontal="center" vertical="center" wrapText="1"/>
    </xf>
    <xf numFmtId="178" fontId="47" fillId="38" borderId="0" xfId="0" applyNumberFormat="1" applyFont="1" applyFill="1" applyAlignment="1">
      <alignment horizontal="center" vertical="center"/>
    </xf>
    <xf numFmtId="9" fontId="12" fillId="0" borderId="48" xfId="21" applyNumberFormat="1" applyFont="1" applyBorder="1" applyAlignment="1">
      <alignment horizontal="center" vertical="center" wrapText="1"/>
    </xf>
    <xf numFmtId="9" fontId="12" fillId="0" borderId="9" xfId="21" applyNumberFormat="1" applyFont="1" applyBorder="1" applyAlignment="1">
      <alignment horizontal="center" vertical="center" wrapText="1"/>
    </xf>
    <xf numFmtId="9" fontId="12" fillId="0" borderId="33" xfId="21" applyNumberFormat="1" applyFont="1" applyBorder="1" applyAlignment="1">
      <alignment horizontal="center" vertical="center" wrapText="1"/>
    </xf>
    <xf numFmtId="9" fontId="46" fillId="0" borderId="0" xfId="0" applyNumberFormat="1" applyFont="1" applyAlignment="1">
      <alignment horizontal="center" vertical="center"/>
    </xf>
    <xf numFmtId="9" fontId="46" fillId="29" borderId="0" xfId="0" applyNumberFormat="1" applyFont="1" applyFill="1" applyAlignment="1">
      <alignment horizontal="center" vertical="center"/>
    </xf>
    <xf numFmtId="171" fontId="20" fillId="0" borderId="32" xfId="10" applyNumberFormat="1" applyFont="1" applyBorder="1" applyAlignment="1">
      <alignment vertical="center"/>
    </xf>
    <xf numFmtId="171" fontId="20" fillId="0" borderId="4" xfId="10" applyNumberFormat="1" applyFont="1" applyBorder="1" applyAlignment="1">
      <alignment vertical="center"/>
    </xf>
    <xf numFmtId="171" fontId="20" fillId="0" borderId="1" xfId="10" applyNumberFormat="1" applyFont="1" applyBorder="1" applyAlignment="1">
      <alignment vertical="center"/>
    </xf>
    <xf numFmtId="171" fontId="20" fillId="0" borderId="19" xfId="10" applyNumberFormat="1" applyFont="1" applyBorder="1" applyAlignment="1">
      <alignment vertical="center"/>
    </xf>
    <xf numFmtId="4" fontId="67" fillId="18" borderId="1" xfId="0" applyNumberFormat="1" applyFont="1" applyFill="1" applyBorder="1" applyAlignment="1">
      <alignment horizontal="right" vertical="center"/>
    </xf>
    <xf numFmtId="4" fontId="5" fillId="24" borderId="1" xfId="0" applyNumberFormat="1" applyFont="1" applyFill="1" applyBorder="1" applyAlignment="1">
      <alignment horizontal="right" vertical="center"/>
    </xf>
    <xf numFmtId="4" fontId="54" fillId="24" borderId="1" xfId="0" applyNumberFormat="1" applyFont="1" applyFill="1" applyBorder="1" applyAlignment="1">
      <alignment horizontal="right" vertical="center"/>
    </xf>
    <xf numFmtId="4" fontId="66" fillId="24" borderId="1" xfId="0" applyNumberFormat="1" applyFont="1" applyFill="1" applyBorder="1" applyAlignment="1">
      <alignment horizontal="right" vertical="center"/>
    </xf>
    <xf numFmtId="167" fontId="58" fillId="24" borderId="4" xfId="0" applyNumberFormat="1" applyFont="1" applyFill="1" applyBorder="1" applyAlignment="1">
      <alignment horizontal="right" vertical="center" wrapText="1"/>
    </xf>
    <xf numFmtId="172" fontId="0" fillId="24" borderId="0" xfId="10" applyNumberFormat="1" applyFont="1" applyFill="1"/>
    <xf numFmtId="171" fontId="0" fillId="0" borderId="0" xfId="0" applyNumberFormat="1" applyAlignment="1">
      <alignment vertical="center"/>
    </xf>
    <xf numFmtId="172" fontId="20" fillId="0" borderId="57" xfId="10" applyNumberFormat="1" applyFont="1" applyBorder="1" applyAlignment="1">
      <alignment vertical="center"/>
    </xf>
    <xf numFmtId="172" fontId="20" fillId="0" borderId="58" xfId="10" applyNumberFormat="1" applyFont="1" applyBorder="1" applyAlignment="1">
      <alignment vertical="center"/>
    </xf>
    <xf numFmtId="0" fontId="12" fillId="19" borderId="42" xfId="21" applyFont="1" applyFill="1" applyBorder="1" applyAlignment="1">
      <alignment vertical="center" wrapText="1"/>
    </xf>
    <xf numFmtId="172" fontId="20" fillId="0" borderId="34" xfId="10" applyNumberFormat="1" applyFont="1" applyBorder="1" applyAlignment="1">
      <alignment vertical="center"/>
    </xf>
    <xf numFmtId="172" fontId="20" fillId="0" borderId="9" xfId="10" applyNumberFormat="1" applyFont="1" applyBorder="1" applyAlignment="1">
      <alignment vertical="center"/>
    </xf>
    <xf numFmtId="0" fontId="70" fillId="7" borderId="22" xfId="9" applyFont="1" applyBorder="1" applyProtection="1">
      <alignment horizontal="center" vertical="center"/>
    </xf>
    <xf numFmtId="0" fontId="70" fillId="7" borderId="0" xfId="9" applyFont="1" applyProtection="1">
      <alignment horizontal="center" vertical="center"/>
    </xf>
    <xf numFmtId="0" fontId="71" fillId="0" borderId="0" xfId="0" applyFont="1"/>
    <xf numFmtId="49" fontId="72" fillId="15" borderId="0" xfId="2" applyFont="1" applyFill="1" applyProtection="1">
      <alignment horizontal="left" vertical="center"/>
      <protection locked="0"/>
    </xf>
    <xf numFmtId="183" fontId="71" fillId="15" borderId="0" xfId="34" applyNumberFormat="1" applyFont="1" applyFill="1" applyProtection="1">
      <protection locked="0"/>
    </xf>
    <xf numFmtId="9" fontId="0" fillId="0" borderId="0" xfId="27" applyFont="1" applyAlignment="1">
      <alignment vertical="center"/>
    </xf>
    <xf numFmtId="3" fontId="0" fillId="0" borderId="0" xfId="0" applyNumberFormat="1"/>
    <xf numFmtId="4" fontId="12" fillId="9" borderId="19" xfId="27" applyNumberFormat="1" applyFont="1" applyFill="1" applyBorder="1" applyAlignment="1" applyProtection="1">
      <alignment horizontal="center" vertical="center" wrapText="1"/>
    </xf>
    <xf numFmtId="4" fontId="12" fillId="9" borderId="19" xfId="21" applyNumberFormat="1" applyFont="1" applyFill="1" applyBorder="1" applyAlignment="1">
      <alignment horizontal="center" vertical="center" wrapText="1"/>
    </xf>
    <xf numFmtId="6" fontId="32" fillId="0" borderId="0" xfId="0" applyNumberFormat="1" applyFont="1" applyAlignment="1">
      <alignment vertical="center"/>
    </xf>
    <xf numFmtId="171" fontId="17" fillId="0" borderId="1" xfId="0" applyNumberFormat="1" applyFont="1" applyBorder="1" applyAlignment="1">
      <alignment horizontal="center" vertical="center"/>
    </xf>
    <xf numFmtId="171" fontId="17" fillId="0" borderId="1" xfId="0" applyNumberFormat="1" applyFont="1" applyBorder="1" applyAlignment="1">
      <alignment vertical="center"/>
    </xf>
    <xf numFmtId="0" fontId="43" fillId="31" borderId="0" xfId="0" applyFont="1" applyFill="1" applyAlignment="1">
      <alignment vertical="center"/>
    </xf>
    <xf numFmtId="180" fontId="45" fillId="31" borderId="0" xfId="0" applyNumberFormat="1" applyFont="1" applyFill="1" applyAlignment="1">
      <alignment horizontal="center" vertical="center"/>
    </xf>
    <xf numFmtId="178" fontId="45" fillId="31" borderId="0" xfId="0" applyNumberFormat="1" applyFont="1" applyFill="1" applyAlignment="1">
      <alignment horizontal="center" vertical="center"/>
    </xf>
    <xf numFmtId="0" fontId="11" fillId="0" borderId="0" xfId="0" applyFont="1" applyAlignment="1">
      <alignment vertical="center"/>
    </xf>
    <xf numFmtId="179" fontId="43" fillId="30" borderId="0" xfId="0" applyNumberFormat="1" applyFont="1" applyFill="1" applyAlignment="1">
      <alignment horizontal="center" vertical="center"/>
    </xf>
    <xf numFmtId="0" fontId="11" fillId="0" borderId="18" xfId="21" applyFont="1" applyBorder="1" applyAlignment="1">
      <alignment horizontal="justify" vertical="center" wrapText="1"/>
    </xf>
    <xf numFmtId="0" fontId="12" fillId="20" borderId="27" xfId="21" applyFont="1" applyFill="1" applyBorder="1" applyAlignment="1">
      <alignment horizontal="center" vertical="center" wrapText="1"/>
    </xf>
    <xf numFmtId="0" fontId="12" fillId="20" borderId="28" xfId="21" applyFont="1" applyFill="1" applyBorder="1" applyAlignment="1">
      <alignment horizontal="center" vertical="center" wrapText="1"/>
    </xf>
    <xf numFmtId="0" fontId="12" fillId="20" borderId="29" xfId="21" applyFont="1" applyFill="1" applyBorder="1" applyAlignment="1">
      <alignment horizontal="center" vertical="center" wrapText="1"/>
    </xf>
    <xf numFmtId="0" fontId="34" fillId="9" borderId="8" xfId="0" applyFont="1" applyFill="1" applyBorder="1" applyAlignment="1">
      <alignment horizontal="center" vertical="center" wrapText="1"/>
    </xf>
    <xf numFmtId="0" fontId="12" fillId="0" borderId="0" xfId="21" applyFont="1" applyAlignment="1">
      <alignment vertical="center" wrapText="1"/>
    </xf>
    <xf numFmtId="0" fontId="37" fillId="0" borderId="0" xfId="0" applyFont="1" applyAlignment="1">
      <alignment horizontal="center" vertical="center"/>
    </xf>
    <xf numFmtId="0" fontId="14" fillId="0" borderId="0" xfId="21" applyFont="1" applyAlignment="1">
      <alignment vertical="center" wrapText="1"/>
    </xf>
    <xf numFmtId="0" fontId="11" fillId="0" borderId="0" xfId="21" applyFont="1" applyAlignment="1">
      <alignment vertical="center" wrapText="1"/>
    </xf>
    <xf numFmtId="0" fontId="0" fillId="0" borderId="0" xfId="0" applyAlignment="1">
      <alignment horizontal="center"/>
    </xf>
    <xf numFmtId="185" fontId="17" fillId="23" borderId="1" xfId="0" applyNumberFormat="1" applyFont="1" applyFill="1" applyBorder="1" applyAlignment="1">
      <alignment horizontal="center" vertical="center"/>
    </xf>
    <xf numFmtId="4" fontId="17" fillId="0" borderId="1" xfId="0" applyNumberFormat="1" applyFont="1" applyBorder="1" applyAlignment="1">
      <alignment vertical="center"/>
    </xf>
    <xf numFmtId="4" fontId="17" fillId="23" borderId="1" xfId="0" applyNumberFormat="1" applyFont="1" applyFill="1" applyBorder="1" applyAlignment="1">
      <alignment horizontal="center" vertical="center"/>
    </xf>
    <xf numFmtId="0" fontId="35" fillId="0" borderId="0" xfId="0" applyFont="1" applyAlignment="1">
      <alignment horizontal="center" vertical="center" wrapText="1"/>
    </xf>
    <xf numFmtId="0" fontId="36" fillId="0" borderId="0" xfId="0" applyFont="1" applyAlignment="1">
      <alignment horizontal="center" vertical="center" wrapText="1"/>
    </xf>
    <xf numFmtId="0" fontId="73" fillId="0" borderId="0" xfId="0" applyFont="1" applyAlignment="1">
      <alignment horizontal="center" vertical="center" wrapText="1"/>
    </xf>
    <xf numFmtId="0" fontId="73" fillId="0" borderId="85" xfId="0" applyFont="1" applyBorder="1" applyAlignment="1">
      <alignment horizontal="center" vertical="center"/>
    </xf>
    <xf numFmtId="0" fontId="74" fillId="0" borderId="86" xfId="0" applyFont="1" applyBorder="1" applyAlignment="1">
      <alignment horizontal="center" vertical="center"/>
    </xf>
    <xf numFmtId="0" fontId="73" fillId="0" borderId="87" xfId="0" applyFont="1" applyBorder="1" applyAlignment="1">
      <alignment horizontal="center" vertical="center"/>
    </xf>
    <xf numFmtId="0" fontId="73" fillId="40" borderId="87" xfId="0" applyFont="1" applyFill="1" applyBorder="1" applyAlignment="1">
      <alignment horizontal="center" vertical="center"/>
    </xf>
    <xf numFmtId="0" fontId="74" fillId="0" borderId="87" xfId="0" applyFont="1" applyBorder="1" applyAlignment="1">
      <alignment horizontal="center" vertical="center"/>
    </xf>
    <xf numFmtId="0" fontId="74" fillId="0" borderId="88" xfId="0" applyFont="1" applyBorder="1" applyAlignment="1">
      <alignment horizontal="center" vertical="center"/>
    </xf>
    <xf numFmtId="3" fontId="74" fillId="0" borderId="0" xfId="0" applyNumberFormat="1" applyFont="1" applyAlignment="1">
      <alignment horizontal="center" vertical="center"/>
    </xf>
    <xf numFmtId="2" fontId="36" fillId="0" borderId="0" xfId="0" applyNumberFormat="1" applyFont="1" applyAlignment="1">
      <alignment horizontal="center" vertical="center"/>
    </xf>
    <xf numFmtId="2" fontId="0" fillId="0" borderId="0" xfId="0" applyNumberFormat="1"/>
    <xf numFmtId="0" fontId="73" fillId="0" borderId="89" xfId="0" applyFont="1" applyBorder="1" applyAlignment="1">
      <alignment horizontal="center" vertical="center"/>
    </xf>
    <xf numFmtId="0" fontId="74" fillId="0" borderId="90" xfId="0" applyFont="1" applyBorder="1" applyAlignment="1">
      <alignment horizontal="center" vertical="center"/>
    </xf>
    <xf numFmtId="0" fontId="73" fillId="0" borderId="91" xfId="0" applyFont="1" applyBorder="1" applyAlignment="1">
      <alignment horizontal="center" vertical="center"/>
    </xf>
    <xf numFmtId="0" fontId="73" fillId="40" borderId="91" xfId="0" applyFont="1" applyFill="1" applyBorder="1" applyAlignment="1">
      <alignment horizontal="center" vertical="center"/>
    </xf>
    <xf numFmtId="0" fontId="74" fillId="0" borderId="91" xfId="0" applyFont="1" applyBorder="1" applyAlignment="1">
      <alignment horizontal="center" vertical="center"/>
    </xf>
    <xf numFmtId="0" fontId="74" fillId="0" borderId="92" xfId="0" applyFont="1" applyBorder="1" applyAlignment="1">
      <alignment horizontal="center" vertical="center"/>
    </xf>
    <xf numFmtId="185" fontId="35" fillId="41" borderId="0" xfId="0" applyNumberFormat="1" applyFont="1" applyFill="1" applyAlignment="1">
      <alignment horizontal="center" vertical="center"/>
    </xf>
    <xf numFmtId="186" fontId="0" fillId="0" borderId="0" xfId="0" applyNumberFormat="1"/>
    <xf numFmtId="0" fontId="12" fillId="9" borderId="19" xfId="21" applyFont="1" applyFill="1" applyBorder="1" applyAlignment="1">
      <alignment horizontal="center" vertical="center" wrapText="1"/>
    </xf>
    <xf numFmtId="4" fontId="12" fillId="9" borderId="19" xfId="29" applyNumberFormat="1" applyFont="1" applyFill="1" applyBorder="1" applyAlignment="1" applyProtection="1">
      <alignment horizontal="center" vertical="center" wrapText="1"/>
    </xf>
    <xf numFmtId="3" fontId="73" fillId="0" borderId="0" xfId="0" applyNumberFormat="1" applyFont="1" applyAlignment="1">
      <alignment horizontal="center" vertical="center"/>
    </xf>
    <xf numFmtId="4" fontId="73" fillId="0" borderId="0" xfId="0" applyNumberFormat="1" applyFont="1" applyAlignment="1">
      <alignment horizontal="center" vertical="center"/>
    </xf>
    <xf numFmtId="187" fontId="12" fillId="9" borderId="19" xfId="27" applyNumberFormat="1" applyFont="1" applyFill="1" applyBorder="1" applyAlignment="1" applyProtection="1">
      <alignment horizontal="center" vertical="center" wrapText="1"/>
    </xf>
    <xf numFmtId="187" fontId="11" fillId="9" borderId="19" xfId="29" applyNumberFormat="1" applyFont="1" applyFill="1" applyBorder="1" applyAlignment="1" applyProtection="1">
      <alignment horizontal="center" vertical="center" wrapText="1"/>
    </xf>
    <xf numFmtId="4" fontId="73" fillId="24" borderId="0" xfId="0" applyNumberFormat="1" applyFont="1" applyFill="1" applyAlignment="1">
      <alignment horizontal="center" vertical="center"/>
    </xf>
    <xf numFmtId="0" fontId="60" fillId="0" borderId="0" xfId="0" applyFont="1" applyAlignment="1">
      <alignment horizontal="center" vertical="center" wrapText="1"/>
    </xf>
    <xf numFmtId="5" fontId="0" fillId="0" borderId="1" xfId="10" applyNumberFormat="1" applyFont="1" applyBorder="1" applyAlignment="1">
      <alignment vertical="center"/>
    </xf>
    <xf numFmtId="2" fontId="32" fillId="9" borderId="10" xfId="29" applyNumberFormat="1" applyFont="1" applyFill="1" applyBorder="1" applyAlignment="1" applyProtection="1">
      <alignment horizontal="center" vertical="center" wrapText="1"/>
    </xf>
    <xf numFmtId="1" fontId="32" fillId="9" borderId="10" xfId="29" applyNumberFormat="1" applyFont="1" applyFill="1" applyBorder="1" applyAlignment="1" applyProtection="1">
      <alignment horizontal="center" vertical="center" wrapText="1"/>
    </xf>
    <xf numFmtId="173" fontId="12" fillId="9" borderId="10" xfId="27" applyNumberFormat="1" applyFont="1" applyFill="1" applyBorder="1" applyAlignment="1" applyProtection="1">
      <alignment vertical="center" wrapText="1"/>
    </xf>
    <xf numFmtId="1" fontId="12" fillId="9" borderId="10" xfId="27" applyNumberFormat="1" applyFont="1" applyFill="1" applyBorder="1" applyAlignment="1" applyProtection="1">
      <alignment horizontal="center" vertical="center" wrapText="1"/>
    </xf>
    <xf numFmtId="165" fontId="20" fillId="0" borderId="0" xfId="14" applyFont="1" applyAlignment="1">
      <alignment horizontal="center" vertical="center"/>
    </xf>
    <xf numFmtId="5" fontId="20" fillId="0" borderId="58" xfId="10" applyNumberFormat="1" applyFont="1" applyBorder="1" applyAlignment="1">
      <alignment vertical="center"/>
    </xf>
    <xf numFmtId="1" fontId="32" fillId="9" borderId="19" xfId="29" applyNumberFormat="1" applyFont="1" applyFill="1" applyBorder="1" applyAlignment="1" applyProtection="1">
      <alignment horizontal="center" vertical="center" wrapText="1"/>
    </xf>
    <xf numFmtId="1" fontId="34" fillId="9" borderId="19" xfId="27" applyNumberFormat="1" applyFont="1" applyFill="1" applyBorder="1" applyAlignment="1" applyProtection="1">
      <alignment horizontal="center" vertical="center" wrapText="1"/>
    </xf>
    <xf numFmtId="5" fontId="20" fillId="0" borderId="57" xfId="10" applyNumberFormat="1" applyFont="1" applyBorder="1" applyAlignment="1">
      <alignment vertical="center"/>
    </xf>
    <xf numFmtId="0" fontId="16" fillId="2" borderId="0" xfId="21" applyFont="1" applyFill="1" applyAlignment="1">
      <alignment horizontal="center" vertical="center" wrapText="1"/>
    </xf>
    <xf numFmtId="172" fontId="20" fillId="0" borderId="25" xfId="10" applyNumberFormat="1" applyFont="1" applyBorder="1" applyAlignment="1">
      <alignment vertical="center"/>
    </xf>
    <xf numFmtId="172" fontId="20" fillId="0" borderId="5" xfId="10" applyNumberFormat="1" applyFont="1" applyBorder="1" applyAlignment="1">
      <alignment vertical="center"/>
    </xf>
    <xf numFmtId="171" fontId="20" fillId="0" borderId="57" xfId="10" applyNumberFormat="1" applyFont="1" applyBorder="1" applyAlignment="1">
      <alignment vertical="center"/>
    </xf>
    <xf numFmtId="0" fontId="11" fillId="19" borderId="42" xfId="21" applyFont="1" applyFill="1" applyBorder="1" applyAlignment="1">
      <alignment vertical="center" wrapText="1"/>
    </xf>
    <xf numFmtId="5" fontId="20" fillId="0" borderId="19" xfId="10" applyNumberFormat="1" applyFont="1" applyBorder="1" applyAlignment="1">
      <alignment vertical="center"/>
    </xf>
    <xf numFmtId="0" fontId="0" fillId="0" borderId="0" xfId="0" applyAlignment="1">
      <alignment vertical="top"/>
    </xf>
    <xf numFmtId="14" fontId="0" fillId="0" borderId="0" xfId="0" applyNumberFormat="1" applyAlignment="1">
      <alignment horizontal="right" vertical="top"/>
    </xf>
    <xf numFmtId="3" fontId="0" fillId="0" borderId="0" xfId="0" applyNumberFormat="1" applyAlignment="1">
      <alignment horizontal="right" vertical="top"/>
    </xf>
    <xf numFmtId="171" fontId="20" fillId="0" borderId="31" xfId="10" applyNumberFormat="1" applyFont="1" applyBorder="1" applyAlignment="1">
      <alignment vertical="center"/>
    </xf>
    <xf numFmtId="171" fontId="0" fillId="0" borderId="0" xfId="0" applyNumberFormat="1"/>
    <xf numFmtId="171" fontId="31" fillId="0" borderId="0" xfId="0" applyNumberFormat="1" applyFont="1"/>
    <xf numFmtId="178" fontId="35" fillId="41" borderId="0" xfId="0" applyNumberFormat="1" applyFont="1" applyFill="1" applyAlignment="1">
      <alignment horizontal="center" vertical="center"/>
    </xf>
    <xf numFmtId="3" fontId="32" fillId="0" borderId="0" xfId="0" applyNumberFormat="1" applyFont="1" applyAlignment="1">
      <alignment vertical="center"/>
    </xf>
    <xf numFmtId="0" fontId="13" fillId="22" borderId="0" xfId="0" applyFont="1" applyFill="1" applyAlignment="1">
      <alignment horizontal="left" vertical="center"/>
    </xf>
    <xf numFmtId="0" fontId="13" fillId="22" borderId="0" xfId="0" applyFont="1" applyFill="1" applyAlignment="1">
      <alignment horizontal="center" vertical="center"/>
    </xf>
    <xf numFmtId="171" fontId="13" fillId="22" borderId="0" xfId="0" applyNumberFormat="1" applyFont="1" applyFill="1" applyAlignment="1">
      <alignment horizontal="center" vertical="center"/>
    </xf>
    <xf numFmtId="176" fontId="13" fillId="22" borderId="0" xfId="14" applyNumberFormat="1" applyFont="1" applyFill="1" applyBorder="1" applyAlignment="1">
      <alignment horizontal="center" vertical="center"/>
    </xf>
    <xf numFmtId="0" fontId="13" fillId="23" borderId="0" xfId="0" applyFont="1" applyFill="1" applyAlignment="1">
      <alignment horizontal="center" vertical="center"/>
    </xf>
    <xf numFmtId="176" fontId="13" fillId="22" borderId="0" xfId="0" applyNumberFormat="1" applyFont="1" applyFill="1" applyAlignment="1">
      <alignment horizontal="center" vertical="center"/>
    </xf>
    <xf numFmtId="5" fontId="20" fillId="0" borderId="4" xfId="10" applyNumberFormat="1" applyFont="1" applyBorder="1" applyAlignment="1">
      <alignment vertical="center"/>
    </xf>
    <xf numFmtId="0" fontId="32" fillId="0" borderId="0" xfId="0" applyFont="1" applyAlignment="1">
      <alignment horizontal="center" vertical="center" wrapText="1"/>
    </xf>
    <xf numFmtId="165" fontId="31" fillId="0" borderId="0" xfId="14" applyFont="1" applyAlignment="1">
      <alignment horizontal="center" vertical="center"/>
    </xf>
    <xf numFmtId="0" fontId="31" fillId="0" borderId="0" xfId="0" applyFont="1" applyAlignment="1">
      <alignment horizontal="center" vertical="center"/>
    </xf>
    <xf numFmtId="0" fontId="45" fillId="0" borderId="0" xfId="0" applyFont="1" applyAlignment="1">
      <alignment horizontal="center" vertical="center"/>
    </xf>
    <xf numFmtId="171" fontId="0" fillId="0" borderId="0" xfId="0" applyNumberFormat="1" applyAlignment="1">
      <alignment horizontal="center" vertical="center" wrapText="1"/>
    </xf>
    <xf numFmtId="165" fontId="20" fillId="0" borderId="0" xfId="14" applyFont="1" applyAlignment="1">
      <alignment horizontal="center" vertical="center" wrapText="1"/>
    </xf>
    <xf numFmtId="165" fontId="31" fillId="0" borderId="0" xfId="14" applyFont="1" applyAlignment="1">
      <alignment horizontal="center" vertical="center" wrapText="1"/>
    </xf>
    <xf numFmtId="0" fontId="45" fillId="0" borderId="0" xfId="0" applyFont="1" applyAlignment="1">
      <alignment horizontal="center" vertical="center" wrapText="1"/>
    </xf>
    <xf numFmtId="0" fontId="46" fillId="0" borderId="0" xfId="0" applyFont="1" applyAlignment="1">
      <alignment horizontal="center" vertical="center" wrapText="1"/>
    </xf>
    <xf numFmtId="0" fontId="31" fillId="13" borderId="0" xfId="0" applyFont="1" applyFill="1"/>
    <xf numFmtId="0" fontId="31" fillId="13" borderId="0" xfId="0" applyFont="1" applyFill="1" applyAlignment="1">
      <alignment vertical="top"/>
    </xf>
    <xf numFmtId="14" fontId="31" fillId="13" borderId="0" xfId="0" applyNumberFormat="1" applyFont="1" applyFill="1" applyAlignment="1">
      <alignment horizontal="right" vertical="top"/>
    </xf>
    <xf numFmtId="3" fontId="31" fillId="13" borderId="0" xfId="0" applyNumberFormat="1" applyFont="1" applyFill="1" applyAlignment="1">
      <alignment horizontal="right" vertical="top"/>
    </xf>
    <xf numFmtId="0" fontId="81" fillId="13" borderId="0" xfId="0" applyFont="1" applyFill="1" applyAlignment="1">
      <alignment vertical="top"/>
    </xf>
    <xf numFmtId="0" fontId="0" fillId="37" borderId="1" xfId="0" applyFill="1" applyBorder="1" applyAlignment="1">
      <alignment horizontal="center" vertical="center" wrapText="1"/>
    </xf>
    <xf numFmtId="0" fontId="0" fillId="42" borderId="1" xfId="0" applyFill="1" applyBorder="1" applyAlignment="1">
      <alignment horizontal="center" vertical="center" wrapText="1"/>
    </xf>
    <xf numFmtId="3" fontId="31" fillId="0" borderId="0" xfId="0" applyNumberFormat="1" applyFont="1"/>
    <xf numFmtId="3" fontId="75" fillId="0" borderId="0" xfId="0" applyNumberFormat="1" applyFont="1" applyAlignment="1">
      <alignment vertical="top"/>
    </xf>
    <xf numFmtId="171" fontId="20" fillId="0" borderId="58" xfId="10" applyNumberFormat="1" applyFont="1" applyBorder="1" applyAlignment="1">
      <alignment vertical="center"/>
    </xf>
    <xf numFmtId="3" fontId="34" fillId="9" borderId="22" xfId="0" applyNumberFormat="1" applyFont="1" applyFill="1" applyBorder="1" applyAlignment="1">
      <alignment horizontal="center" vertical="center"/>
    </xf>
    <xf numFmtId="3" fontId="34" fillId="9" borderId="23" xfId="0" applyNumberFormat="1" applyFont="1" applyFill="1" applyBorder="1" applyAlignment="1">
      <alignment horizontal="center" vertical="center"/>
    </xf>
    <xf numFmtId="3" fontId="34" fillId="9" borderId="24" xfId="0" applyNumberFormat="1" applyFont="1" applyFill="1" applyBorder="1" applyAlignment="1">
      <alignment horizontal="center" vertical="center"/>
    </xf>
    <xf numFmtId="3" fontId="34" fillId="9" borderId="3" xfId="0" applyNumberFormat="1" applyFont="1" applyFill="1" applyBorder="1" applyAlignment="1">
      <alignment horizontal="center" vertical="center"/>
    </xf>
    <xf numFmtId="3" fontId="34" fillId="9" borderId="25" xfId="0" applyNumberFormat="1" applyFont="1" applyFill="1" applyBorder="1" applyAlignment="1">
      <alignment horizontal="center" vertical="center"/>
    </xf>
    <xf numFmtId="3" fontId="12" fillId="9" borderId="8" xfId="0" applyNumberFormat="1" applyFont="1" applyFill="1" applyBorder="1" applyAlignment="1">
      <alignment horizontal="center" vertical="center" wrapText="1"/>
    </xf>
    <xf numFmtId="3" fontId="12" fillId="9" borderId="1" xfId="0" applyNumberFormat="1" applyFont="1" applyFill="1" applyBorder="1" applyAlignment="1">
      <alignment horizontal="center" vertical="center" wrapText="1"/>
    </xf>
    <xf numFmtId="3" fontId="12" fillId="9" borderId="9" xfId="0" applyNumberFormat="1" applyFont="1" applyFill="1" applyBorder="1" applyAlignment="1">
      <alignment horizontal="center" vertical="center" wrapText="1"/>
    </xf>
    <xf numFmtId="3" fontId="12" fillId="9" borderId="18" xfId="0" applyNumberFormat="1" applyFont="1" applyFill="1" applyBorder="1" applyAlignment="1">
      <alignment horizontal="center" vertical="center" wrapText="1"/>
    </xf>
    <xf numFmtId="3" fontId="12" fillId="9" borderId="10" xfId="0" applyNumberFormat="1" applyFont="1" applyFill="1" applyBorder="1" applyAlignment="1">
      <alignment horizontal="center" vertical="center" wrapText="1"/>
    </xf>
    <xf numFmtId="3" fontId="12" fillId="9" borderId="83" xfId="0" applyNumberFormat="1" applyFont="1" applyFill="1" applyBorder="1" applyAlignment="1">
      <alignment horizontal="center" vertical="center" wrapText="1"/>
    </xf>
    <xf numFmtId="0" fontId="12" fillId="20" borderId="93" xfId="21" applyFont="1" applyFill="1" applyBorder="1" applyAlignment="1">
      <alignment horizontal="center" vertical="center" wrapText="1"/>
    </xf>
    <xf numFmtId="5" fontId="20" fillId="0" borderId="5" xfId="10" applyNumberFormat="1" applyFont="1" applyBorder="1" applyAlignment="1">
      <alignment vertical="center"/>
    </xf>
    <xf numFmtId="0" fontId="12" fillId="19" borderId="12" xfId="21" applyFont="1" applyFill="1" applyBorder="1" applyAlignment="1">
      <alignment vertical="center" wrapText="1"/>
    </xf>
    <xf numFmtId="5" fontId="17" fillId="0" borderId="1" xfId="0" applyNumberFormat="1" applyFont="1" applyBorder="1" applyAlignment="1">
      <alignment horizontal="right" vertical="center"/>
    </xf>
    <xf numFmtId="4" fontId="0" fillId="0" borderId="1" xfId="0" applyNumberFormat="1" applyBorder="1" applyAlignment="1">
      <alignment vertical="center" wrapText="1"/>
    </xf>
    <xf numFmtId="4" fontId="0" fillId="0" borderId="0" xfId="0" applyNumberFormat="1" applyAlignment="1">
      <alignment vertical="center" wrapText="1"/>
    </xf>
    <xf numFmtId="4" fontId="32" fillId="0" borderId="0" xfId="0" applyNumberFormat="1" applyFont="1" applyAlignment="1">
      <alignment vertical="center"/>
    </xf>
    <xf numFmtId="0" fontId="34" fillId="0" borderId="0" xfId="0" applyFont="1" applyAlignment="1">
      <alignment vertical="center"/>
    </xf>
    <xf numFmtId="0" fontId="60" fillId="0" borderId="0" xfId="0" applyFont="1" applyAlignment="1">
      <alignment horizontal="center" vertical="top"/>
    </xf>
    <xf numFmtId="0" fontId="31" fillId="13" borderId="0" xfId="0" applyFont="1" applyFill="1" applyAlignment="1">
      <alignment horizontal="center" vertical="top"/>
    </xf>
    <xf numFmtId="0" fontId="0" fillId="0" borderId="0" xfId="0" applyAlignment="1">
      <alignment horizontal="center" vertical="top"/>
    </xf>
    <xf numFmtId="0" fontId="60" fillId="37" borderId="1" xfId="0" applyFont="1" applyFill="1" applyBorder="1" applyAlignment="1">
      <alignment horizontal="center" vertical="center" wrapText="1"/>
    </xf>
    <xf numFmtId="14" fontId="31" fillId="13" borderId="0" xfId="0" applyNumberFormat="1" applyFont="1" applyFill="1" applyAlignment="1">
      <alignment horizontal="center" vertical="top"/>
    </xf>
    <xf numFmtId="14" fontId="0" fillId="0" borderId="0" xfId="0" applyNumberFormat="1" applyAlignment="1">
      <alignment horizontal="center" vertical="top"/>
    </xf>
    <xf numFmtId="0" fontId="31" fillId="13" borderId="0" xfId="0" applyFont="1" applyFill="1" applyAlignment="1">
      <alignment horizontal="center"/>
    </xf>
    <xf numFmtId="9" fontId="20" fillId="0" borderId="33" xfId="27" applyFont="1" applyFill="1" applyBorder="1" applyAlignment="1">
      <alignment vertical="center"/>
    </xf>
    <xf numFmtId="44" fontId="82" fillId="0" borderId="0" xfId="34" applyFont="1" applyAlignment="1">
      <alignment horizontal="center" vertical="center" wrapText="1"/>
    </xf>
    <xf numFmtId="44" fontId="81" fillId="13" borderId="0" xfId="34" applyFont="1" applyFill="1" applyAlignment="1">
      <alignment vertical="top"/>
    </xf>
    <xf numFmtId="44" fontId="60" fillId="0" borderId="0" xfId="34" applyFont="1" applyAlignment="1">
      <alignment vertical="top"/>
    </xf>
    <xf numFmtId="44" fontId="82" fillId="0" borderId="0" xfId="34" applyFont="1" applyAlignment="1">
      <alignment horizontal="center" vertical="center"/>
    </xf>
    <xf numFmtId="44" fontId="0" fillId="0" borderId="0" xfId="34" applyFont="1"/>
    <xf numFmtId="44" fontId="81" fillId="0" borderId="0" xfId="34" applyFont="1" applyFill="1" applyAlignment="1">
      <alignment vertical="top"/>
    </xf>
    <xf numFmtId="44" fontId="31" fillId="0" borderId="0" xfId="34" applyFont="1"/>
    <xf numFmtId="44" fontId="0" fillId="0" borderId="0" xfId="34" applyFont="1" applyFill="1"/>
    <xf numFmtId="44" fontId="31" fillId="0" borderId="0" xfId="34" applyFont="1" applyAlignment="1">
      <alignment horizontal="center" vertical="center" wrapText="1"/>
    </xf>
    <xf numFmtId="44" fontId="0" fillId="0" borderId="0" xfId="34" applyFont="1" applyAlignment="1">
      <alignment horizontal="center" vertical="center" wrapText="1"/>
    </xf>
    <xf numFmtId="44" fontId="31" fillId="13" borderId="0" xfId="34" applyFont="1" applyFill="1"/>
    <xf numFmtId="44" fontId="60" fillId="0" borderId="0" xfId="34" applyFont="1" applyFill="1" applyAlignment="1">
      <alignment vertical="top"/>
    </xf>
    <xf numFmtId="44" fontId="0" fillId="0" borderId="0" xfId="34" applyFont="1" applyFill="1" applyAlignment="1">
      <alignment horizontal="center" vertical="center" wrapText="1"/>
    </xf>
    <xf numFmtId="44" fontId="31" fillId="0" borderId="0" xfId="34" applyFont="1" applyFill="1"/>
    <xf numFmtId="3" fontId="34" fillId="9" borderId="8" xfId="0" applyNumberFormat="1" applyFont="1" applyFill="1" applyBorder="1" applyAlignment="1">
      <alignment horizontal="center" vertical="center" wrapText="1"/>
    </xf>
    <xf numFmtId="0" fontId="34" fillId="9" borderId="9" xfId="0" applyFont="1" applyFill="1" applyBorder="1" applyAlignment="1">
      <alignment horizontal="center" vertical="center" wrapText="1"/>
    </xf>
    <xf numFmtId="3" fontId="34" fillId="9" borderId="0" xfId="0" applyNumberFormat="1" applyFont="1" applyFill="1" applyAlignment="1">
      <alignment horizontal="center" vertical="center"/>
    </xf>
    <xf numFmtId="165" fontId="0" fillId="0" borderId="0" xfId="14" applyFont="1" applyAlignment="1">
      <alignment horizontal="center" vertical="center" wrapText="1"/>
    </xf>
    <xf numFmtId="178" fontId="0" fillId="0" borderId="0" xfId="0" applyNumberFormat="1"/>
    <xf numFmtId="0" fontId="81" fillId="0" borderId="0" xfId="0" applyFont="1" applyAlignment="1">
      <alignment vertical="top"/>
    </xf>
    <xf numFmtId="0" fontId="82" fillId="0" borderId="0" xfId="0" applyFont="1" applyAlignment="1">
      <alignment horizontal="center" vertical="top"/>
    </xf>
    <xf numFmtId="0" fontId="31" fillId="0" borderId="0" xfId="0" applyFont="1" applyAlignment="1">
      <alignment horizontal="center" vertical="top"/>
    </xf>
    <xf numFmtId="14" fontId="31" fillId="0" borderId="0" xfId="0" applyNumberFormat="1" applyFont="1" applyAlignment="1">
      <alignment horizontal="center" vertical="top"/>
    </xf>
    <xf numFmtId="0" fontId="31" fillId="0" borderId="0" xfId="0" applyFont="1" applyAlignment="1">
      <alignment vertical="top"/>
    </xf>
    <xf numFmtId="3" fontId="31" fillId="0" borderId="0" xfId="0" applyNumberFormat="1" applyFont="1" applyAlignment="1">
      <alignment horizontal="right" vertical="top"/>
    </xf>
    <xf numFmtId="14" fontId="31" fillId="0" borderId="0" xfId="0" applyNumberFormat="1" applyFont="1" applyAlignment="1">
      <alignment horizontal="right" vertical="top"/>
    </xf>
    <xf numFmtId="44" fontId="81" fillId="0" borderId="0" xfId="34" applyFont="1" applyAlignment="1">
      <alignment vertical="top"/>
    </xf>
    <xf numFmtId="3" fontId="84" fillId="0" borderId="0" xfId="0" applyNumberFormat="1" applyFont="1" applyAlignment="1">
      <alignment vertical="top"/>
    </xf>
    <xf numFmtId="0" fontId="82" fillId="0" borderId="0" xfId="0" applyFont="1" applyAlignment="1">
      <alignment vertical="top"/>
    </xf>
    <xf numFmtId="3" fontId="82" fillId="0" borderId="0" xfId="0" applyNumberFormat="1" applyFont="1" applyAlignment="1">
      <alignment vertical="top"/>
    </xf>
    <xf numFmtId="44" fontId="82" fillId="0" borderId="0" xfId="34" applyFont="1" applyAlignment="1">
      <alignment vertical="top"/>
    </xf>
    <xf numFmtId="44" fontId="82" fillId="0" borderId="0" xfId="34" applyFont="1" applyFill="1" applyAlignment="1">
      <alignment vertical="top"/>
    </xf>
    <xf numFmtId="0" fontId="85" fillId="9" borderId="10" xfId="0" applyFont="1" applyFill="1" applyBorder="1" applyAlignment="1">
      <alignment horizontal="center" vertical="center" wrapText="1"/>
    </xf>
    <xf numFmtId="171" fontId="17" fillId="23" borderId="1" xfId="0" applyNumberFormat="1" applyFont="1" applyFill="1" applyBorder="1" applyAlignment="1">
      <alignment vertical="center"/>
    </xf>
    <xf numFmtId="0" fontId="86" fillId="0" borderId="1" xfId="0" applyFont="1" applyBorder="1" applyAlignment="1">
      <alignment vertical="center"/>
    </xf>
    <xf numFmtId="171" fontId="13" fillId="0" borderId="1" xfId="0" applyNumberFormat="1" applyFont="1" applyBorder="1" applyAlignment="1">
      <alignment vertical="center"/>
    </xf>
    <xf numFmtId="171" fontId="13" fillId="0" borderId="1" xfId="0" applyNumberFormat="1" applyFont="1" applyBorder="1" applyAlignment="1">
      <alignment horizontal="center" vertical="center"/>
    </xf>
    <xf numFmtId="0" fontId="17" fillId="23" borderId="1" xfId="0" applyFont="1" applyFill="1" applyBorder="1" applyAlignment="1">
      <alignment vertical="center"/>
    </xf>
    <xf numFmtId="171" fontId="13" fillId="22" borderId="0" xfId="0" applyNumberFormat="1" applyFont="1" applyFill="1" applyAlignment="1">
      <alignment horizontal="justify" vertical="center"/>
    </xf>
    <xf numFmtId="1" fontId="32" fillId="9" borderId="19" xfId="27" applyNumberFormat="1" applyFont="1" applyFill="1" applyBorder="1" applyAlignment="1" applyProtection="1">
      <alignment horizontal="center" vertical="center" wrapText="1"/>
    </xf>
    <xf numFmtId="0" fontId="0" fillId="0" borderId="0" xfId="0" quotePrefix="1" applyAlignment="1">
      <alignment vertical="center"/>
    </xf>
    <xf numFmtId="165" fontId="0" fillId="0" borderId="0" xfId="0" applyNumberFormat="1" applyAlignment="1">
      <alignment horizontal="center" vertical="center"/>
    </xf>
    <xf numFmtId="0" fontId="0" fillId="0" borderId="0" xfId="0" applyAlignment="1">
      <alignment horizontal="justify" vertical="center" wrapText="1"/>
    </xf>
    <xf numFmtId="0" fontId="16" fillId="2" borderId="0" xfId="21" applyFont="1" applyFill="1" applyAlignment="1">
      <alignment horizontal="justify" vertical="center" wrapText="1"/>
    </xf>
    <xf numFmtId="175" fontId="0" fillId="0" borderId="0" xfId="0" applyNumberFormat="1" applyAlignment="1">
      <alignment horizontal="justify" vertical="center" wrapText="1"/>
    </xf>
    <xf numFmtId="175" fontId="20" fillId="0" borderId="0" xfId="34" applyNumberFormat="1" applyFont="1" applyBorder="1" applyAlignment="1">
      <alignment horizontal="justify" vertical="center" wrapText="1"/>
    </xf>
    <xf numFmtId="171" fontId="0" fillId="0" borderId="0" xfId="0" applyNumberFormat="1" applyAlignment="1">
      <alignment horizontal="justify" vertical="center" wrapText="1"/>
    </xf>
    <xf numFmtId="175" fontId="83" fillId="0" borderId="0" xfId="34" applyNumberFormat="1" applyFont="1" applyBorder="1" applyAlignment="1">
      <alignment horizontal="justify" vertical="center" wrapText="1"/>
    </xf>
    <xf numFmtId="165" fontId="20" fillId="0" borderId="0" xfId="14" applyFont="1" applyAlignment="1">
      <alignment horizontal="justify" vertical="center" wrapText="1"/>
    </xf>
    <xf numFmtId="165" fontId="31" fillId="0" borderId="0" xfId="14" applyFont="1" applyAlignment="1">
      <alignment horizontal="justify" vertical="center" wrapText="1"/>
    </xf>
    <xf numFmtId="165" fontId="0" fillId="0" borderId="0" xfId="0" applyNumberFormat="1" applyAlignment="1">
      <alignment horizontal="justify" vertical="center" wrapText="1"/>
    </xf>
    <xf numFmtId="165" fontId="31" fillId="0" borderId="0" xfId="14" applyFont="1" applyBorder="1" applyAlignment="1">
      <alignment horizontal="center" vertical="center" wrapText="1"/>
    </xf>
    <xf numFmtId="9" fontId="80" fillId="0" borderId="0" xfId="21" applyNumberFormat="1" applyFont="1" applyAlignment="1">
      <alignment vertical="center" wrapText="1"/>
    </xf>
    <xf numFmtId="1" fontId="12" fillId="0" borderId="0" xfId="27" applyNumberFormat="1" applyFont="1" applyAlignment="1">
      <alignment vertical="center" wrapText="1"/>
    </xf>
    <xf numFmtId="0" fontId="44" fillId="0" borderId="0" xfId="0" applyFont="1" applyAlignment="1">
      <alignment horizontal="justify" vertical="center" wrapText="1"/>
    </xf>
    <xf numFmtId="0" fontId="46" fillId="0" borderId="0" xfId="0" applyFont="1" applyAlignment="1">
      <alignment horizontal="justify" vertical="center" wrapText="1"/>
    </xf>
    <xf numFmtId="0" fontId="45" fillId="0" borderId="0" xfId="0" applyFont="1" applyAlignment="1">
      <alignment horizontal="justify" vertical="center" wrapText="1"/>
    </xf>
    <xf numFmtId="0" fontId="32" fillId="0" borderId="0" xfId="0" applyFont="1" applyAlignment="1">
      <alignment horizontal="justify" vertical="center" wrapText="1"/>
    </xf>
    <xf numFmtId="3" fontId="20" fillId="0" borderId="0" xfId="14" applyNumberFormat="1" applyFont="1" applyAlignment="1">
      <alignment horizontal="center" vertical="center"/>
    </xf>
    <xf numFmtId="3" fontId="20" fillId="0" borderId="0" xfId="14" applyNumberFormat="1" applyFont="1" applyAlignment="1">
      <alignment vertical="center"/>
    </xf>
    <xf numFmtId="3" fontId="0" fillId="0" borderId="0" xfId="0" applyNumberFormat="1" applyAlignment="1">
      <alignment vertical="center"/>
    </xf>
    <xf numFmtId="3" fontId="31" fillId="0" borderId="0" xfId="14" applyNumberFormat="1" applyFont="1" applyAlignment="1">
      <alignment horizontal="center" vertical="center" wrapText="1"/>
    </xf>
    <xf numFmtId="177" fontId="31" fillId="0" borderId="0" xfId="14" applyNumberFormat="1" applyFont="1" applyAlignment="1">
      <alignment horizontal="center" vertical="center" wrapText="1"/>
    </xf>
    <xf numFmtId="0" fontId="31" fillId="0" borderId="0" xfId="0" applyFont="1" applyAlignment="1">
      <alignment horizontal="justify" vertical="center" wrapText="1"/>
    </xf>
    <xf numFmtId="177" fontId="20" fillId="0" borderId="0" xfId="14" applyNumberFormat="1" applyFont="1" applyAlignment="1">
      <alignment horizontal="center" vertical="center" wrapText="1"/>
    </xf>
    <xf numFmtId="9" fontId="11" fillId="0" borderId="0" xfId="21" applyNumberFormat="1" applyFont="1" applyAlignment="1">
      <alignment vertical="center" wrapText="1"/>
    </xf>
    <xf numFmtId="0" fontId="12" fillId="9" borderId="10" xfId="0" applyFont="1" applyFill="1" applyBorder="1" applyAlignment="1">
      <alignment horizontal="center" vertical="center" wrapText="1"/>
    </xf>
    <xf numFmtId="172" fontId="20" fillId="0" borderId="4" xfId="10" applyNumberFormat="1" applyFont="1" applyFill="1" applyBorder="1" applyAlignment="1">
      <alignment vertical="center"/>
    </xf>
    <xf numFmtId="171" fontId="20" fillId="0" borderId="1" xfId="10" applyNumberFormat="1" applyFont="1" applyFill="1" applyBorder="1" applyAlignment="1">
      <alignment vertical="center"/>
    </xf>
    <xf numFmtId="0" fontId="71" fillId="0" borderId="0" xfId="0" applyFont="1" applyAlignment="1">
      <alignment horizontal="justify" vertical="center" wrapText="1"/>
    </xf>
    <xf numFmtId="0" fontId="87" fillId="2" borderId="0" xfId="21" applyFont="1" applyFill="1" applyAlignment="1">
      <alignment horizontal="justify" vertical="center" wrapText="1"/>
    </xf>
    <xf numFmtId="175" fontId="71" fillId="0" borderId="0" xfId="0" applyNumberFormat="1" applyFont="1" applyAlignment="1">
      <alignment horizontal="justify" vertical="center" wrapText="1"/>
    </xf>
    <xf numFmtId="175" fontId="71" fillId="0" borderId="0" xfId="34" applyNumberFormat="1" applyFont="1" applyBorder="1" applyAlignment="1">
      <alignment horizontal="justify" vertical="center" wrapText="1"/>
    </xf>
    <xf numFmtId="171" fontId="71" fillId="0" borderId="0" xfId="0" applyNumberFormat="1" applyFont="1" applyAlignment="1">
      <alignment horizontal="justify" vertical="center" wrapText="1"/>
    </xf>
    <xf numFmtId="175" fontId="88" fillId="0" borderId="0" xfId="34" applyNumberFormat="1" applyFont="1" applyBorder="1" applyAlignment="1">
      <alignment horizontal="justify" vertical="center" wrapText="1"/>
    </xf>
    <xf numFmtId="9" fontId="71" fillId="0" borderId="0" xfId="27" applyFont="1" applyBorder="1" applyAlignment="1">
      <alignment horizontal="justify" vertical="center" wrapText="1"/>
    </xf>
    <xf numFmtId="165" fontId="71" fillId="0" borderId="0" xfId="14" applyFont="1" applyAlignment="1">
      <alignment horizontal="justify" vertical="center" wrapText="1"/>
    </xf>
    <xf numFmtId="165" fontId="88" fillId="0" borderId="0" xfId="14" applyFont="1" applyAlignment="1">
      <alignment horizontal="justify" vertical="center" wrapText="1"/>
    </xf>
    <xf numFmtId="0" fontId="88" fillId="0" borderId="0" xfId="0" applyFont="1" applyAlignment="1">
      <alignment horizontal="center" vertical="center" wrapText="1"/>
    </xf>
    <xf numFmtId="165" fontId="88" fillId="0" borderId="0" xfId="14" applyFont="1" applyAlignment="1">
      <alignment horizontal="center" vertical="center" wrapText="1"/>
    </xf>
    <xf numFmtId="37" fontId="71" fillId="0" borderId="0" xfId="10" applyNumberFormat="1" applyFont="1" applyAlignment="1">
      <alignment horizontal="center" vertical="center" wrapText="1"/>
    </xf>
    <xf numFmtId="171" fontId="12" fillId="19" borderId="0" xfId="21" applyNumberFormat="1" applyFont="1" applyFill="1" applyAlignment="1">
      <alignment horizontal="left" vertical="center" wrapText="1"/>
    </xf>
    <xf numFmtId="0" fontId="89" fillId="0" borderId="8" xfId="0" applyFont="1" applyBorder="1" applyAlignment="1">
      <alignment horizontal="center" vertical="center"/>
    </xf>
    <xf numFmtId="0" fontId="89" fillId="0" borderId="1" xfId="0" applyFont="1" applyBorder="1" applyAlignment="1">
      <alignment horizontal="center" vertical="center"/>
    </xf>
    <xf numFmtId="0" fontId="89" fillId="0" borderId="1" xfId="0" applyFont="1" applyBorder="1" applyAlignment="1">
      <alignment horizontal="justify" vertical="center" wrapText="1"/>
    </xf>
    <xf numFmtId="0" fontId="89" fillId="0" borderId="1" xfId="0" applyFont="1" applyBorder="1" applyAlignment="1">
      <alignment horizontal="justify" vertical="center"/>
    </xf>
    <xf numFmtId="0" fontId="89" fillId="0" borderId="1" xfId="0" applyFont="1" applyBorder="1" applyAlignment="1">
      <alignment horizontal="center" vertical="center" wrapText="1"/>
    </xf>
    <xf numFmtId="3" fontId="89" fillId="0" borderId="1" xfId="27" applyNumberFormat="1" applyFont="1" applyFill="1" applyBorder="1" applyAlignment="1">
      <alignment horizontal="center" vertical="center" wrapText="1"/>
    </xf>
    <xf numFmtId="166" fontId="89" fillId="0" borderId="1" xfId="11" applyFont="1" applyFill="1" applyBorder="1" applyAlignment="1">
      <alignment horizontal="center" vertical="center" wrapText="1"/>
    </xf>
    <xf numFmtId="166" fontId="89" fillId="0" borderId="2" xfId="11" applyFont="1" applyFill="1" applyBorder="1" applyAlignment="1">
      <alignment horizontal="left" vertical="center" wrapText="1"/>
    </xf>
    <xf numFmtId="3" fontId="89" fillId="0" borderId="8" xfId="0" applyNumberFormat="1" applyFont="1" applyBorder="1" applyAlignment="1">
      <alignment horizontal="center" vertical="center"/>
    </xf>
    <xf numFmtId="3" fontId="89" fillId="0" borderId="1" xfId="0" applyNumberFormat="1" applyFont="1" applyBorder="1" applyAlignment="1">
      <alignment horizontal="center" vertical="center"/>
    </xf>
    <xf numFmtId="3" fontId="89" fillId="0" borderId="9" xfId="0" applyNumberFormat="1" applyFont="1" applyBorder="1" applyAlignment="1">
      <alignment horizontal="center" vertical="center"/>
    </xf>
    <xf numFmtId="3" fontId="89" fillId="0" borderId="5" xfId="0" applyNumberFormat="1" applyFont="1" applyBorder="1" applyAlignment="1">
      <alignment horizontal="center" vertical="center"/>
    </xf>
    <xf numFmtId="10" fontId="89" fillId="0" borderId="9" xfId="27" applyNumberFormat="1" applyFont="1" applyFill="1" applyBorder="1" applyAlignment="1">
      <alignment horizontal="center" vertical="center"/>
    </xf>
    <xf numFmtId="0" fontId="89" fillId="0" borderId="5" xfId="27" applyNumberFormat="1" applyFont="1" applyFill="1" applyBorder="1" applyAlignment="1">
      <alignment horizontal="justify" vertical="center" wrapText="1"/>
    </xf>
    <xf numFmtId="0" fontId="89" fillId="0" borderId="1" xfId="27" applyNumberFormat="1" applyFont="1" applyFill="1" applyBorder="1" applyAlignment="1">
      <alignment horizontal="justify" vertical="center" wrapText="1"/>
    </xf>
    <xf numFmtId="0" fontId="89" fillId="0" borderId="9" xfId="27" applyNumberFormat="1" applyFont="1" applyFill="1" applyBorder="1" applyAlignment="1">
      <alignment horizontal="justify" vertical="center" wrapText="1"/>
    </xf>
    <xf numFmtId="0" fontId="89" fillId="0" borderId="0" xfId="0" applyFont="1" applyAlignment="1">
      <alignment vertical="center"/>
    </xf>
    <xf numFmtId="0" fontId="89" fillId="0" borderId="2" xfId="0" applyFont="1" applyBorder="1" applyAlignment="1">
      <alignment horizontal="justify" vertical="center" wrapText="1"/>
    </xf>
    <xf numFmtId="0" fontId="89" fillId="0" borderId="5" xfId="0" applyFont="1" applyBorder="1" applyAlignment="1">
      <alignment horizontal="justify" vertical="center"/>
    </xf>
    <xf numFmtId="4" fontId="58" fillId="0" borderId="8" xfId="21" applyNumberFormat="1" applyFont="1" applyBorder="1" applyAlignment="1">
      <alignment horizontal="center" vertical="center" wrapText="1"/>
    </xf>
    <xf numFmtId="4" fontId="58" fillId="0" borderId="1" xfId="21" applyNumberFormat="1" applyFont="1" applyBorder="1" applyAlignment="1">
      <alignment horizontal="center" vertical="center" wrapText="1"/>
    </xf>
    <xf numFmtId="4" fontId="58" fillId="0" borderId="9" xfId="21" applyNumberFormat="1" applyFont="1" applyBorder="1" applyAlignment="1">
      <alignment horizontal="center" vertical="center" wrapText="1"/>
    </xf>
    <xf numFmtId="4" fontId="89" fillId="0" borderId="8" xfId="0" applyNumberFormat="1" applyFont="1" applyBorder="1" applyAlignment="1">
      <alignment horizontal="center" vertical="center"/>
    </xf>
    <xf numFmtId="0" fontId="90" fillId="0" borderId="9" xfId="0" applyFont="1" applyBorder="1" applyAlignment="1">
      <alignment horizontal="justify" vertical="center" wrapText="1"/>
    </xf>
    <xf numFmtId="9" fontId="89" fillId="0" borderId="9" xfId="27" applyFont="1" applyFill="1" applyBorder="1" applyAlignment="1">
      <alignment horizontal="center" vertical="center"/>
    </xf>
    <xf numFmtId="0" fontId="58" fillId="0" borderId="1" xfId="27" applyNumberFormat="1" applyFont="1" applyFill="1" applyBorder="1" applyAlignment="1">
      <alignment horizontal="justify" vertical="center" wrapText="1"/>
    </xf>
    <xf numFmtId="0" fontId="58" fillId="0" borderId="9" xfId="0" applyFont="1" applyBorder="1" applyAlignment="1">
      <alignment horizontal="justify" vertical="center" wrapText="1"/>
    </xf>
    <xf numFmtId="49" fontId="89" fillId="0" borderId="2" xfId="11" applyNumberFormat="1" applyFont="1" applyFill="1" applyBorder="1" applyAlignment="1">
      <alignment horizontal="left" vertical="center" wrapText="1"/>
    </xf>
    <xf numFmtId="0" fontId="89" fillId="0" borderId="5" xfId="0" applyFont="1" applyBorder="1" applyAlignment="1">
      <alignment horizontal="justify" vertical="center" wrapText="1"/>
    </xf>
    <xf numFmtId="184" fontId="89" fillId="0" borderId="1" xfId="0" applyNumberFormat="1" applyFont="1" applyBorder="1" applyAlignment="1">
      <alignment horizontal="center" vertical="center"/>
    </xf>
    <xf numFmtId="0" fontId="58" fillId="0" borderId="10" xfId="0" applyFont="1" applyBorder="1" applyAlignment="1">
      <alignment horizontal="justify" vertical="center" wrapText="1"/>
    </xf>
    <xf numFmtId="0" fontId="58" fillId="0" borderId="4" xfId="0" applyFont="1" applyBorder="1" applyAlignment="1">
      <alignment horizontal="center" vertical="center" wrapText="1"/>
    </xf>
    <xf numFmtId="0" fontId="58" fillId="0" borderId="23" xfId="0" applyFont="1" applyBorder="1" applyAlignment="1">
      <alignment horizontal="center" vertical="center" wrapText="1"/>
    </xf>
    <xf numFmtId="9" fontId="89" fillId="0" borderId="1" xfId="27" applyFont="1" applyFill="1" applyBorder="1" applyAlignment="1">
      <alignment horizontal="center" vertical="center" wrapText="1"/>
    </xf>
    <xf numFmtId="9" fontId="89" fillId="0" borderId="1" xfId="27" applyFont="1" applyFill="1" applyBorder="1" applyAlignment="1">
      <alignment horizontal="center" vertical="center"/>
    </xf>
    <xf numFmtId="0" fontId="89" fillId="0" borderId="5" xfId="27" applyNumberFormat="1" applyFont="1" applyFill="1" applyBorder="1" applyAlignment="1">
      <alignment vertical="center" wrapText="1"/>
    </xf>
    <xf numFmtId="3" fontId="89" fillId="0" borderId="1" xfId="27" applyNumberFormat="1" applyFont="1" applyFill="1" applyBorder="1" applyAlignment="1">
      <alignment horizontal="center" vertical="center"/>
    </xf>
    <xf numFmtId="0" fontId="89" fillId="0" borderId="31" xfId="0" applyFont="1" applyBorder="1" applyAlignment="1">
      <alignment horizontal="center" vertical="center"/>
    </xf>
    <xf numFmtId="0" fontId="89" fillId="0" borderId="19" xfId="0" applyFont="1" applyBorder="1" applyAlignment="1">
      <alignment horizontal="center" vertical="center"/>
    </xf>
    <xf numFmtId="0" fontId="89" fillId="0" borderId="19" xfId="0" applyFont="1" applyBorder="1" applyAlignment="1">
      <alignment horizontal="justify" vertical="center" wrapText="1"/>
    </xf>
    <xf numFmtId="0" fontId="89" fillId="0" borderId="21" xfId="0" applyFont="1" applyBorder="1" applyAlignment="1">
      <alignment horizontal="justify" vertical="center" wrapText="1"/>
    </xf>
    <xf numFmtId="0" fontId="58" fillId="0" borderId="19" xfId="0" applyFont="1" applyBorder="1" applyAlignment="1">
      <alignment horizontal="justify" vertical="center" wrapText="1"/>
    </xf>
    <xf numFmtId="0" fontId="58" fillId="0" borderId="58" xfId="0" applyFont="1" applyBorder="1" applyAlignment="1">
      <alignment horizontal="center" vertical="center" wrapText="1"/>
    </xf>
    <xf numFmtId="0" fontId="89" fillId="0" borderId="19" xfId="0" applyFont="1" applyBorder="1" applyAlignment="1">
      <alignment horizontal="center" vertical="center" wrapText="1"/>
    </xf>
    <xf numFmtId="0" fontId="58" fillId="0" borderId="49" xfId="0" applyFont="1" applyBorder="1" applyAlignment="1">
      <alignment horizontal="center" vertical="center" wrapText="1"/>
    </xf>
    <xf numFmtId="3" fontId="89" fillId="0" borderId="19" xfId="27" applyNumberFormat="1" applyFont="1" applyFill="1" applyBorder="1" applyAlignment="1">
      <alignment horizontal="center" vertical="center" wrapText="1"/>
    </xf>
    <xf numFmtId="9" fontId="89" fillId="0" borderId="19" xfId="27" applyFont="1" applyFill="1" applyBorder="1" applyAlignment="1">
      <alignment horizontal="center" vertical="center" wrapText="1"/>
    </xf>
    <xf numFmtId="166" fontId="89" fillId="0" borderId="19" xfId="11" applyFont="1" applyFill="1" applyBorder="1" applyAlignment="1">
      <alignment horizontal="center" vertical="center" wrapText="1"/>
    </xf>
    <xf numFmtId="166" fontId="89" fillId="0" borderId="21" xfId="11" applyFont="1" applyFill="1" applyBorder="1" applyAlignment="1">
      <alignment horizontal="left" vertical="center" wrapText="1"/>
    </xf>
    <xf numFmtId="3" fontId="89" fillId="0" borderId="31" xfId="0" applyNumberFormat="1" applyFont="1" applyBorder="1" applyAlignment="1">
      <alignment horizontal="center" vertical="center"/>
    </xf>
    <xf numFmtId="3" fontId="89" fillId="0" borderId="19" xfId="0" applyNumberFormat="1" applyFont="1" applyBorder="1" applyAlignment="1">
      <alignment horizontal="center" vertical="center"/>
    </xf>
    <xf numFmtId="3" fontId="89" fillId="0" borderId="19" xfId="27" applyNumberFormat="1" applyFont="1" applyFill="1" applyBorder="1" applyAlignment="1">
      <alignment horizontal="center" vertical="center"/>
    </xf>
    <xf numFmtId="3" fontId="89" fillId="0" borderId="33" xfId="0" applyNumberFormat="1" applyFont="1" applyBorder="1" applyAlignment="1">
      <alignment horizontal="center" vertical="center"/>
    </xf>
    <xf numFmtId="9" fontId="89" fillId="0" borderId="33" xfId="27" applyFont="1" applyFill="1" applyBorder="1" applyAlignment="1">
      <alignment horizontal="center" vertical="center"/>
    </xf>
    <xf numFmtId="0" fontId="89" fillId="0" borderId="19" xfId="27" applyNumberFormat="1" applyFont="1" applyFill="1" applyBorder="1" applyAlignment="1">
      <alignment horizontal="justify" vertical="center" wrapText="1"/>
    </xf>
    <xf numFmtId="0" fontId="90" fillId="0" borderId="33" xfId="0" applyFont="1" applyBorder="1" applyAlignment="1">
      <alignment horizontal="justify" vertical="center" wrapText="1"/>
    </xf>
    <xf numFmtId="0" fontId="92" fillId="22" borderId="0" xfId="0" applyFont="1" applyFill="1" applyAlignment="1">
      <alignment horizontal="center" vertical="center"/>
    </xf>
    <xf numFmtId="42" fontId="92" fillId="22" borderId="0" xfId="0" applyNumberFormat="1" applyFont="1" applyFill="1" applyAlignment="1">
      <alignment horizontal="justify" vertical="top" wrapText="1"/>
    </xf>
    <xf numFmtId="0" fontId="3" fillId="9" borderId="24" xfId="0" applyFont="1" applyFill="1" applyBorder="1" applyAlignment="1">
      <alignment horizontal="center" vertical="center" wrapText="1"/>
    </xf>
    <xf numFmtId="176" fontId="13" fillId="0" borderId="5" xfId="14" applyNumberFormat="1" applyFont="1" applyFill="1" applyBorder="1" applyAlignment="1">
      <alignment horizontal="center" vertical="center"/>
    </xf>
    <xf numFmtId="0" fontId="13" fillId="22" borderId="5" xfId="0" applyFont="1" applyFill="1" applyBorder="1" applyAlignment="1">
      <alignment horizontal="center" vertical="center"/>
    </xf>
    <xf numFmtId="0" fontId="12" fillId="9" borderId="83" xfId="0" applyFont="1" applyFill="1" applyBorder="1" applyAlignment="1">
      <alignment horizontal="center" vertical="center" wrapText="1"/>
    </xf>
    <xf numFmtId="0" fontId="17" fillId="0" borderId="8" xfId="0" applyFont="1" applyBorder="1" applyAlignment="1">
      <alignment vertical="center"/>
    </xf>
    <xf numFmtId="176" fontId="13" fillId="22" borderId="9" xfId="14" applyNumberFormat="1" applyFont="1" applyFill="1" applyBorder="1" applyAlignment="1">
      <alignment horizontal="center" vertical="center"/>
    </xf>
    <xf numFmtId="0" fontId="13" fillId="0" borderId="5" xfId="0" applyFont="1" applyBorder="1" applyAlignment="1">
      <alignment vertical="center"/>
    </xf>
    <xf numFmtId="0" fontId="17" fillId="0" borderId="0" xfId="0" applyFont="1" applyAlignment="1">
      <alignment vertical="center"/>
    </xf>
    <xf numFmtId="0" fontId="17" fillId="0" borderId="18" xfId="0" applyFont="1" applyBorder="1" applyAlignment="1">
      <alignment vertical="center"/>
    </xf>
    <xf numFmtId="0" fontId="17" fillId="0" borderId="10" xfId="0" applyFont="1" applyBorder="1" applyAlignment="1">
      <alignment vertical="center"/>
    </xf>
    <xf numFmtId="0" fontId="17" fillId="0" borderId="10" xfId="0" applyFont="1" applyBorder="1" applyAlignment="1">
      <alignment horizontal="center" vertical="center"/>
    </xf>
    <xf numFmtId="0" fontId="17" fillId="23" borderId="10" xfId="0" applyFont="1" applyFill="1" applyBorder="1" applyAlignment="1">
      <alignment horizontal="center" vertical="center"/>
    </xf>
    <xf numFmtId="0" fontId="13" fillId="22" borderId="27" xfId="0" applyFont="1" applyFill="1" applyBorder="1" applyAlignment="1">
      <alignment horizontal="left" vertical="center"/>
    </xf>
    <xf numFmtId="0" fontId="13" fillId="22" borderId="28" xfId="0" applyFont="1" applyFill="1" applyBorder="1" applyAlignment="1">
      <alignment horizontal="center" vertical="center"/>
    </xf>
    <xf numFmtId="171" fontId="13" fillId="22" borderId="28" xfId="0" applyNumberFormat="1" applyFont="1" applyFill="1" applyBorder="1" applyAlignment="1">
      <alignment horizontal="center" vertical="center"/>
    </xf>
    <xf numFmtId="176" fontId="13" fillId="22" borderId="83" xfId="14" applyNumberFormat="1" applyFont="1" applyFill="1" applyBorder="1" applyAlignment="1">
      <alignment horizontal="center" vertical="center"/>
    </xf>
    <xf numFmtId="0" fontId="13" fillId="23" borderId="28" xfId="0" applyFont="1" applyFill="1" applyBorder="1" applyAlignment="1">
      <alignment horizontal="center" vertical="center"/>
    </xf>
    <xf numFmtId="176" fontId="13" fillId="22" borderId="29" xfId="0" applyNumberFormat="1" applyFont="1" applyFill="1" applyBorder="1" applyAlignment="1">
      <alignment horizontal="center" vertical="center"/>
    </xf>
    <xf numFmtId="185" fontId="13" fillId="22" borderId="28" xfId="0" applyNumberFormat="1" applyFont="1" applyFill="1" applyBorder="1" applyAlignment="1">
      <alignment horizontal="center" vertical="center"/>
    </xf>
    <xf numFmtId="176" fontId="13" fillId="22" borderId="29" xfId="14" applyNumberFormat="1" applyFont="1" applyFill="1" applyBorder="1" applyAlignment="1">
      <alignment horizontal="center" vertical="center"/>
    </xf>
    <xf numFmtId="9" fontId="11" fillId="0" borderId="0" xfId="21" applyNumberFormat="1" applyFont="1" applyAlignment="1">
      <alignment horizontal="justify" vertical="center" wrapText="1"/>
    </xf>
    <xf numFmtId="0" fontId="95" fillId="0" borderId="0" xfId="0" applyFont="1" applyAlignment="1">
      <alignment wrapText="1"/>
    </xf>
    <xf numFmtId="0" fontId="95" fillId="43" borderId="0" xfId="0" applyFont="1" applyFill="1" applyAlignment="1">
      <alignment wrapText="1"/>
    </xf>
    <xf numFmtId="0" fontId="0" fillId="0" borderId="0" xfId="0" applyAlignment="1">
      <alignment wrapText="1"/>
    </xf>
    <xf numFmtId="0" fontId="89" fillId="24" borderId="1" xfId="0" applyFont="1" applyFill="1" applyBorder="1" applyAlignment="1">
      <alignment horizontal="justify" vertical="center" wrapText="1"/>
    </xf>
    <xf numFmtId="0" fontId="11" fillId="0" borderId="18" xfId="21" applyFont="1" applyBorder="1" applyAlignment="1">
      <alignment horizontal="center" vertical="center" wrapText="1"/>
    </xf>
    <xf numFmtId="0" fontId="12" fillId="20" borderId="1" xfId="21" applyFont="1" applyFill="1" applyBorder="1" applyAlignment="1">
      <alignment horizontal="center" vertical="center" wrapText="1"/>
    </xf>
    <xf numFmtId="0" fontId="12" fillId="0" borderId="10" xfId="21" applyFont="1" applyBorder="1" applyAlignment="1">
      <alignment horizontal="center" vertical="center" wrapText="1"/>
    </xf>
    <xf numFmtId="44" fontId="81" fillId="24" borderId="0" xfId="34" applyFont="1" applyFill="1" applyAlignment="1">
      <alignment vertical="top"/>
    </xf>
    <xf numFmtId="44" fontId="0" fillId="0" borderId="0" xfId="35" applyFont="1"/>
    <xf numFmtId="188" fontId="13" fillId="22" borderId="1" xfId="14" applyNumberFormat="1" applyFont="1" applyFill="1" applyBorder="1" applyAlignment="1">
      <alignment horizontal="center" vertical="center"/>
    </xf>
    <xf numFmtId="176" fontId="13" fillId="22" borderId="1" xfId="14" applyNumberFormat="1" applyFont="1" applyFill="1" applyBorder="1" applyAlignment="1">
      <alignment horizontal="center" vertical="center"/>
    </xf>
    <xf numFmtId="0" fontId="13" fillId="22" borderId="1" xfId="0" applyFont="1" applyFill="1" applyBorder="1" applyAlignment="1">
      <alignment horizontal="left" vertical="center"/>
    </xf>
    <xf numFmtId="171" fontId="13" fillId="22" borderId="1" xfId="0" applyNumberFormat="1" applyFont="1" applyFill="1" applyBorder="1" applyAlignment="1">
      <alignment horizontal="center" vertical="center"/>
    </xf>
    <xf numFmtId="0" fontId="85" fillId="22" borderId="1" xfId="0" applyFont="1" applyFill="1" applyBorder="1" applyAlignment="1">
      <alignment horizontal="center" vertical="center"/>
    </xf>
    <xf numFmtId="42" fontId="13" fillId="22" borderId="1" xfId="0" applyNumberFormat="1" applyFont="1" applyFill="1" applyBorder="1" applyAlignment="1">
      <alignment horizontal="center" vertical="center"/>
    </xf>
    <xf numFmtId="0" fontId="13" fillId="23" borderId="1" xfId="0" applyFont="1" applyFill="1" applyBorder="1" applyAlignment="1">
      <alignment horizontal="center" vertical="center"/>
    </xf>
    <xf numFmtId="176" fontId="13" fillId="22" borderId="1" xfId="0" applyNumberFormat="1" applyFont="1" applyFill="1" applyBorder="1" applyAlignment="1">
      <alignment horizontal="center" vertical="center"/>
    </xf>
    <xf numFmtId="0" fontId="89" fillId="19" borderId="5" xfId="27" applyNumberFormat="1" applyFont="1" applyFill="1" applyBorder="1" applyAlignment="1">
      <alignment horizontal="justify" vertical="center" wrapText="1"/>
    </xf>
    <xf numFmtId="0" fontId="91" fillId="0" borderId="5" xfId="27" applyNumberFormat="1" applyFont="1" applyFill="1" applyBorder="1" applyAlignment="1">
      <alignment horizontal="justify" vertical="center" wrapText="1"/>
    </xf>
    <xf numFmtId="0" fontId="91" fillId="0" borderId="5" xfId="27" applyNumberFormat="1" applyFont="1" applyFill="1" applyBorder="1" applyAlignment="1">
      <alignment vertical="center" wrapText="1"/>
    </xf>
    <xf numFmtId="0" fontId="97" fillId="0" borderId="49" xfId="27" applyNumberFormat="1" applyFont="1" applyFill="1" applyBorder="1" applyAlignment="1">
      <alignment horizontal="justify" vertical="center" wrapText="1"/>
    </xf>
    <xf numFmtId="9" fontId="11" fillId="0" borderId="0" xfId="21" applyNumberFormat="1" applyFont="1" applyAlignment="1">
      <alignment horizontal="justify" vertical="center" wrapText="1"/>
    </xf>
    <xf numFmtId="175" fontId="0" fillId="0" borderId="0" xfId="0" applyNumberFormat="1" applyAlignment="1">
      <alignment horizontal="center" vertical="center"/>
    </xf>
    <xf numFmtId="175" fontId="20" fillId="0" borderId="0" xfId="34" applyNumberFormat="1" applyFont="1" applyBorder="1" applyAlignment="1">
      <alignment horizontal="center" vertical="center"/>
    </xf>
    <xf numFmtId="171" fontId="0" fillId="0" borderId="0" xfId="0" applyNumberFormat="1" applyAlignment="1">
      <alignment horizontal="center" vertical="center"/>
    </xf>
    <xf numFmtId="0" fontId="36" fillId="0" borderId="0" xfId="0" applyFont="1" applyAlignment="1">
      <alignment wrapText="1"/>
    </xf>
    <xf numFmtId="3" fontId="11" fillId="0" borderId="0" xfId="21" applyNumberFormat="1" applyFont="1" applyAlignment="1">
      <alignment horizontal="justify" vertical="center" wrapText="1"/>
    </xf>
    <xf numFmtId="3" fontId="11" fillId="0" borderId="0" xfId="21" applyNumberFormat="1" applyFont="1" applyAlignment="1">
      <alignment horizontal="center" vertical="center" wrapText="1"/>
    </xf>
    <xf numFmtId="0" fontId="11" fillId="0" borderId="43" xfId="21" applyFont="1" applyBorder="1" applyAlignment="1">
      <alignment horizontal="center" vertical="center" wrapText="1"/>
    </xf>
    <xf numFmtId="0" fontId="11" fillId="0" borderId="44" xfId="21" applyFont="1" applyBorder="1" applyAlignment="1">
      <alignment horizontal="center" vertical="center" wrapText="1"/>
    </xf>
    <xf numFmtId="0" fontId="11" fillId="0" borderId="45" xfId="21" applyFont="1" applyBorder="1" applyAlignment="1">
      <alignment horizontal="center" vertical="center" wrapText="1"/>
    </xf>
    <xf numFmtId="0" fontId="12" fillId="0" borderId="42" xfId="21" applyFont="1" applyBorder="1" applyAlignment="1">
      <alignment horizontal="center" vertical="center"/>
    </xf>
    <xf numFmtId="0" fontId="12" fillId="0" borderId="11" xfId="21" applyFont="1" applyBorder="1" applyAlignment="1">
      <alignment horizontal="center" vertical="center"/>
    </xf>
    <xf numFmtId="0" fontId="12" fillId="0" borderId="12" xfId="21" applyFont="1" applyBorder="1" applyAlignment="1">
      <alignment horizontal="center" vertical="center"/>
    </xf>
    <xf numFmtId="0" fontId="12" fillId="0" borderId="46" xfId="0" applyFont="1" applyBorder="1" applyAlignment="1">
      <alignment horizontal="left" vertical="center" wrapText="1"/>
    </xf>
    <xf numFmtId="0" fontId="12" fillId="0" borderId="47" xfId="0" applyFont="1" applyBorder="1" applyAlignment="1">
      <alignment horizontal="left" vertical="center" wrapText="1"/>
    </xf>
    <xf numFmtId="0" fontId="12" fillId="0" borderId="48" xfId="0" applyFont="1" applyBorder="1" applyAlignment="1">
      <alignment horizontal="left" vertical="center" wrapText="1"/>
    </xf>
    <xf numFmtId="0" fontId="12" fillId="0" borderId="13" xfId="21" applyFont="1" applyBorder="1" applyAlignment="1">
      <alignment horizontal="center" vertical="center"/>
    </xf>
    <xf numFmtId="0" fontId="12" fillId="0" borderId="0" xfId="21" applyFont="1" applyAlignment="1">
      <alignment horizontal="center" vertical="center"/>
    </xf>
    <xf numFmtId="0" fontId="12" fillId="0" borderId="14" xfId="21" applyFont="1" applyBorder="1" applyAlignment="1">
      <alignment horizontal="center" vertical="center"/>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12" fillId="0" borderId="9" xfId="0" applyFont="1" applyBorder="1" applyAlignment="1">
      <alignment horizontal="left" vertical="center" wrapText="1"/>
    </xf>
    <xf numFmtId="0" fontId="12" fillId="0" borderId="13" xfId="21" applyFont="1" applyBorder="1" applyAlignment="1">
      <alignment horizontal="center" vertical="center" wrapText="1"/>
    </xf>
    <xf numFmtId="0" fontId="12" fillId="0" borderId="0" xfId="21" applyFont="1" applyAlignment="1">
      <alignment horizontal="center" vertical="center" wrapText="1"/>
    </xf>
    <xf numFmtId="0" fontId="12" fillId="0" borderId="14" xfId="21" applyFont="1" applyBorder="1" applyAlignment="1">
      <alignment horizontal="center" vertical="center" wrapText="1"/>
    </xf>
    <xf numFmtId="0" fontId="12" fillId="0" borderId="39" xfId="21" applyFont="1" applyBorder="1" applyAlignment="1">
      <alignment horizontal="center" vertical="center" wrapText="1"/>
    </xf>
    <xf numFmtId="0" fontId="12" fillId="0" borderId="15" xfId="21" applyFont="1" applyBorder="1" applyAlignment="1">
      <alignment horizontal="center" vertical="center" wrapText="1"/>
    </xf>
    <xf numFmtId="0" fontId="12" fillId="0" borderId="16" xfId="21" applyFont="1" applyBorder="1" applyAlignment="1">
      <alignment horizontal="center" vertical="center" wrapText="1"/>
    </xf>
    <xf numFmtId="0" fontId="34" fillId="0" borderId="49" xfId="0" applyFont="1" applyBorder="1" applyAlignment="1">
      <alignment horizontal="left" vertical="center" wrapText="1"/>
    </xf>
    <xf numFmtId="0" fontId="34" fillId="0" borderId="19" xfId="0" applyFont="1" applyBorder="1" applyAlignment="1">
      <alignment horizontal="left" vertical="center" wrapText="1"/>
    </xf>
    <xf numFmtId="0" fontId="34" fillId="0" borderId="33" xfId="0" applyFont="1" applyBorder="1" applyAlignment="1">
      <alignment horizontal="left" vertical="center" wrapText="1"/>
    </xf>
    <xf numFmtId="0" fontId="12" fillId="20" borderId="42" xfId="21" applyFont="1" applyFill="1" applyBorder="1" applyAlignment="1">
      <alignment horizontal="left" vertical="center" wrapText="1"/>
    </xf>
    <xf numFmtId="0" fontId="12" fillId="20" borderId="12" xfId="21" applyFont="1" applyFill="1" applyBorder="1" applyAlignment="1">
      <alignment horizontal="left" vertical="center" wrapText="1"/>
    </xf>
    <xf numFmtId="0" fontId="12" fillId="20" borderId="13" xfId="21" applyFont="1" applyFill="1" applyBorder="1" applyAlignment="1">
      <alignment horizontal="left" vertical="center" wrapText="1"/>
    </xf>
    <xf numFmtId="0" fontId="12" fillId="20" borderId="14" xfId="21" applyFont="1" applyFill="1" applyBorder="1" applyAlignment="1">
      <alignment horizontal="left" vertical="center" wrapText="1"/>
    </xf>
    <xf numFmtId="0" fontId="12" fillId="20" borderId="39" xfId="21" applyFont="1" applyFill="1" applyBorder="1" applyAlignment="1">
      <alignment horizontal="left" vertical="center" wrapText="1"/>
    </xf>
    <xf numFmtId="0" fontId="12" fillId="20" borderId="16" xfId="21" applyFont="1" applyFill="1" applyBorder="1" applyAlignment="1">
      <alignment horizontal="left" vertical="center" wrapText="1"/>
    </xf>
    <xf numFmtId="0" fontId="12" fillId="0" borderId="42" xfId="21" applyFont="1" applyBorder="1" applyAlignment="1">
      <alignment horizontal="center" vertical="center" wrapText="1"/>
    </xf>
    <xf numFmtId="0" fontId="12" fillId="0" borderId="11" xfId="21" applyFont="1" applyBorder="1" applyAlignment="1">
      <alignment horizontal="center" vertical="center" wrapText="1"/>
    </xf>
    <xf numFmtId="0" fontId="12" fillId="0" borderId="12" xfId="21" applyFont="1" applyBorder="1" applyAlignment="1">
      <alignment horizontal="center" vertical="center" wrapText="1"/>
    </xf>
    <xf numFmtId="0" fontId="38" fillId="0" borderId="43" xfId="0" applyFont="1" applyBorder="1" applyAlignment="1">
      <alignment horizontal="center" vertical="center"/>
    </xf>
    <xf numFmtId="0" fontId="38" fillId="0" borderId="44" xfId="0" applyFont="1" applyBorder="1" applyAlignment="1">
      <alignment horizontal="center" vertical="center"/>
    </xf>
    <xf numFmtId="0" fontId="38" fillId="0" borderId="45" xfId="0" applyFont="1" applyBorder="1" applyAlignment="1">
      <alignment horizontal="center" vertical="center"/>
    </xf>
    <xf numFmtId="0" fontId="12" fillId="20" borderId="11" xfId="21" applyFont="1" applyFill="1" applyBorder="1" applyAlignment="1">
      <alignment horizontal="left" vertical="center" wrapText="1"/>
    </xf>
    <xf numFmtId="0" fontId="12" fillId="20" borderId="0" xfId="21" applyFont="1" applyFill="1" applyAlignment="1">
      <alignment horizontal="left" vertical="center" wrapText="1"/>
    </xf>
    <xf numFmtId="0" fontId="12" fillId="20" borderId="15" xfId="21" applyFont="1" applyFill="1" applyBorder="1" applyAlignment="1">
      <alignment horizontal="left" vertical="center" wrapText="1"/>
    </xf>
    <xf numFmtId="14" fontId="37" fillId="0" borderId="42" xfId="0" applyNumberFormat="1" applyFont="1" applyBorder="1" applyAlignment="1">
      <alignment horizontal="center" vertical="center"/>
    </xf>
    <xf numFmtId="0" fontId="37" fillId="0" borderId="12" xfId="0" applyFont="1" applyBorder="1" applyAlignment="1">
      <alignment horizontal="center" vertical="center"/>
    </xf>
    <xf numFmtId="0" fontId="37" fillId="0" borderId="13" xfId="0" applyFont="1" applyBorder="1" applyAlignment="1">
      <alignment horizontal="center" vertical="center"/>
    </xf>
    <xf numFmtId="0" fontId="37" fillId="0" borderId="14" xfId="0" applyFont="1" applyBorder="1" applyAlignment="1">
      <alignment horizontal="center" vertical="center"/>
    </xf>
    <xf numFmtId="0" fontId="37" fillId="0" borderId="39" xfId="0" applyFont="1" applyBorder="1" applyAlignment="1">
      <alignment horizontal="center" vertical="center"/>
    </xf>
    <xf numFmtId="0" fontId="37" fillId="0" borderId="16" xfId="0" applyFont="1" applyBorder="1" applyAlignment="1">
      <alignment horizontal="center" vertical="center"/>
    </xf>
    <xf numFmtId="0" fontId="31" fillId="0" borderId="50" xfId="0" applyFont="1" applyBorder="1" applyAlignment="1">
      <alignment horizontal="center" vertical="center" wrapText="1"/>
    </xf>
    <xf numFmtId="0" fontId="31" fillId="0" borderId="51" xfId="0" applyFont="1" applyBorder="1" applyAlignment="1">
      <alignment horizontal="center" vertical="center" wrapText="1"/>
    </xf>
    <xf numFmtId="0" fontId="12" fillId="0" borderId="36" xfId="21" applyFont="1" applyBorder="1" applyAlignment="1">
      <alignment horizontal="center" vertical="center" wrapText="1"/>
    </xf>
    <xf numFmtId="0" fontId="12" fillId="0" borderId="37" xfId="21" applyFont="1" applyBorder="1" applyAlignment="1">
      <alignment horizontal="center" vertical="center" wrapText="1"/>
    </xf>
    <xf numFmtId="0" fontId="12" fillId="0" borderId="38" xfId="21" applyFont="1" applyBorder="1" applyAlignment="1">
      <alignment horizontal="center" vertical="center" wrapText="1"/>
    </xf>
    <xf numFmtId="0" fontId="0" fillId="0" borderId="50" xfId="0" applyBorder="1" applyAlignment="1">
      <alignment horizontal="center" vertical="center"/>
    </xf>
    <xf numFmtId="0" fontId="0" fillId="0" borderId="51" xfId="0" applyBorder="1" applyAlignment="1">
      <alignment horizontal="center" vertical="center"/>
    </xf>
    <xf numFmtId="0" fontId="31" fillId="0" borderId="52" xfId="0" applyFont="1" applyBorder="1" applyAlignment="1">
      <alignment horizontal="center" vertical="center" wrapText="1"/>
    </xf>
    <xf numFmtId="0" fontId="31" fillId="0" borderId="26" xfId="0" applyFont="1" applyBorder="1" applyAlignment="1">
      <alignment horizontal="center" vertical="center" wrapText="1"/>
    </xf>
    <xf numFmtId="0" fontId="0" fillId="0" borderId="52" xfId="0" applyBorder="1" applyAlignment="1">
      <alignment horizontal="center" vertical="center"/>
    </xf>
    <xf numFmtId="0" fontId="0" fillId="0" borderId="26" xfId="0" applyBorder="1" applyAlignment="1">
      <alignment horizontal="center" vertical="center"/>
    </xf>
    <xf numFmtId="0" fontId="31" fillId="0" borderId="53" xfId="0" applyFont="1" applyBorder="1" applyAlignment="1">
      <alignment horizontal="center" vertical="center" wrapText="1"/>
    </xf>
    <xf numFmtId="0" fontId="31" fillId="0" borderId="54" xfId="0" applyFont="1" applyBorder="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0" fontId="12" fillId="20" borderId="36" xfId="21" applyFont="1" applyFill="1" applyBorder="1" applyAlignment="1">
      <alignment horizontal="left" vertical="center" wrapText="1"/>
    </xf>
    <xf numFmtId="0" fontId="12" fillId="20" borderId="38" xfId="21" applyFont="1" applyFill="1" applyBorder="1" applyAlignment="1">
      <alignment horizontal="left" vertical="center" wrapText="1"/>
    </xf>
    <xf numFmtId="0" fontId="12" fillId="20" borderId="36" xfId="21" applyFont="1" applyFill="1" applyBorder="1" applyAlignment="1">
      <alignment horizontal="center" vertical="center" wrapText="1"/>
    </xf>
    <xf numFmtId="0" fontId="12" fillId="20" borderId="37" xfId="21" applyFont="1" applyFill="1" applyBorder="1" applyAlignment="1">
      <alignment horizontal="center" vertical="center" wrapText="1"/>
    </xf>
    <xf numFmtId="0" fontId="12" fillId="20" borderId="38" xfId="21" applyFont="1" applyFill="1" applyBorder="1" applyAlignment="1">
      <alignment horizontal="center" vertical="center" wrapText="1"/>
    </xf>
    <xf numFmtId="0" fontId="12" fillId="0" borderId="27" xfId="21" applyFont="1" applyBorder="1" applyAlignment="1">
      <alignment horizontal="center" vertical="center" wrapText="1"/>
    </xf>
    <xf numFmtId="0" fontId="12" fillId="0" borderId="28" xfId="21" applyFont="1" applyBorder="1" applyAlignment="1">
      <alignment horizontal="center" vertical="center" wrapText="1"/>
    </xf>
    <xf numFmtId="0" fontId="12" fillId="0" borderId="29" xfId="21" applyFont="1" applyBorder="1" applyAlignment="1">
      <alignment horizontal="center" vertical="center" wrapText="1"/>
    </xf>
    <xf numFmtId="0" fontId="12" fillId="20" borderId="8" xfId="21" applyFont="1" applyFill="1" applyBorder="1" applyAlignment="1">
      <alignment horizontal="center" vertical="center" wrapText="1"/>
    </xf>
    <xf numFmtId="0" fontId="12" fillId="20" borderId="9" xfId="21" applyFont="1" applyFill="1" applyBorder="1" applyAlignment="1">
      <alignment horizontal="center" vertical="center" wrapText="1"/>
    </xf>
    <xf numFmtId="0" fontId="12" fillId="19" borderId="15" xfId="21" applyFont="1" applyFill="1" applyBorder="1" applyAlignment="1">
      <alignment horizontal="left" vertical="center" wrapText="1"/>
    </xf>
    <xf numFmtId="0" fontId="11" fillId="0" borderId="36" xfId="21" applyFont="1" applyBorder="1" applyAlignment="1">
      <alignment horizontal="left" vertical="center" wrapText="1"/>
    </xf>
    <xf numFmtId="0" fontId="11" fillId="0" borderId="37" xfId="21" applyFont="1" applyBorder="1" applyAlignment="1">
      <alignment horizontal="left" vertical="center" wrapText="1"/>
    </xf>
    <xf numFmtId="0" fontId="11" fillId="0" borderId="38" xfId="21" applyFont="1" applyBorder="1" applyAlignment="1">
      <alignment horizontal="left" vertical="center" wrapText="1"/>
    </xf>
    <xf numFmtId="1" fontId="12" fillId="0" borderId="36" xfId="27" applyNumberFormat="1" applyFont="1" applyFill="1" applyBorder="1" applyAlignment="1" applyProtection="1">
      <alignment horizontal="center" vertical="center" wrapText="1"/>
    </xf>
    <xf numFmtId="1" fontId="12" fillId="0" borderId="38" xfId="27" applyNumberFormat="1" applyFont="1" applyFill="1" applyBorder="1" applyAlignment="1" applyProtection="1">
      <alignment horizontal="center" vertical="center" wrapText="1"/>
    </xf>
    <xf numFmtId="9" fontId="12" fillId="0" borderId="36" xfId="21" applyNumberFormat="1" applyFont="1" applyBorder="1" applyAlignment="1">
      <alignment horizontal="center" vertical="center" wrapText="1"/>
    </xf>
    <xf numFmtId="9" fontId="12" fillId="0" borderId="38" xfId="21" applyNumberFormat="1" applyFont="1" applyBorder="1" applyAlignment="1">
      <alignment horizontal="center" vertical="center" wrapText="1"/>
    </xf>
    <xf numFmtId="0" fontId="12" fillId="20" borderId="13" xfId="21" applyFont="1" applyFill="1" applyBorder="1" applyAlignment="1">
      <alignment horizontal="center" vertical="center" wrapText="1"/>
    </xf>
    <xf numFmtId="0" fontId="12" fillId="20" borderId="0" xfId="21" applyFont="1" applyFill="1" applyAlignment="1">
      <alignment horizontal="center" vertical="center" wrapText="1"/>
    </xf>
    <xf numFmtId="0" fontId="12" fillId="20" borderId="14" xfId="21" applyFont="1" applyFill="1" applyBorder="1" applyAlignment="1">
      <alignment horizontal="center" vertical="center" wrapText="1"/>
    </xf>
    <xf numFmtId="0" fontId="12" fillId="20" borderId="40" xfId="21" applyFont="1" applyFill="1" applyBorder="1" applyAlignment="1">
      <alignment horizontal="center" vertical="center" wrapText="1"/>
    </xf>
    <xf numFmtId="0" fontId="12" fillId="20" borderId="48" xfId="21" applyFont="1" applyFill="1" applyBorder="1" applyAlignment="1">
      <alignment horizontal="center" vertical="center" wrapText="1"/>
    </xf>
    <xf numFmtId="0" fontId="12" fillId="20" borderId="31" xfId="21" applyFont="1" applyFill="1" applyBorder="1" applyAlignment="1">
      <alignment horizontal="center" vertical="center" wrapText="1"/>
    </xf>
    <xf numFmtId="0" fontId="12" fillId="20" borderId="33" xfId="21" applyFont="1" applyFill="1" applyBorder="1" applyAlignment="1">
      <alignment horizontal="center" vertical="center" wrapText="1"/>
    </xf>
    <xf numFmtId="0" fontId="12" fillId="19" borderId="40" xfId="21" applyFont="1" applyFill="1" applyBorder="1" applyAlignment="1">
      <alignment horizontal="center" vertical="center" wrapText="1"/>
    </xf>
    <xf numFmtId="0" fontId="12" fillId="19" borderId="46" xfId="21" applyFont="1" applyFill="1" applyBorder="1" applyAlignment="1">
      <alignment horizontal="center" vertical="center" wrapText="1"/>
    </xf>
    <xf numFmtId="0" fontId="12" fillId="19" borderId="47" xfId="21" applyFont="1" applyFill="1" applyBorder="1" applyAlignment="1">
      <alignment horizontal="center" vertical="center" wrapText="1"/>
    </xf>
    <xf numFmtId="0" fontId="12" fillId="19" borderId="48" xfId="21" applyFont="1" applyFill="1" applyBorder="1" applyAlignment="1">
      <alignment horizontal="center" vertical="center" wrapText="1"/>
    </xf>
    <xf numFmtId="0" fontId="12" fillId="20" borderId="30" xfId="21" applyFont="1" applyFill="1" applyBorder="1" applyAlignment="1">
      <alignment horizontal="center" vertical="center" wrapText="1"/>
    </xf>
    <xf numFmtId="0" fontId="12" fillId="20" borderId="6" xfId="21" applyFont="1" applyFill="1" applyBorder="1" applyAlignment="1">
      <alignment horizontal="center" vertical="center" wrapText="1"/>
    </xf>
    <xf numFmtId="0" fontId="12" fillId="20" borderId="55" xfId="21" applyFont="1" applyFill="1" applyBorder="1" applyAlignment="1">
      <alignment horizontal="center" vertical="center" wrapText="1"/>
    </xf>
    <xf numFmtId="0" fontId="12" fillId="20" borderId="23" xfId="21" applyFont="1" applyFill="1" applyBorder="1" applyAlignment="1">
      <alignment horizontal="center" vertical="center" wrapText="1"/>
    </xf>
    <xf numFmtId="0" fontId="12" fillId="20" borderId="20" xfId="21" applyFont="1" applyFill="1" applyBorder="1" applyAlignment="1">
      <alignment horizontal="center" vertical="center" wrapText="1"/>
    </xf>
    <xf numFmtId="0" fontId="12" fillId="20" borderId="25" xfId="21" applyFont="1" applyFill="1" applyBorder="1" applyAlignment="1">
      <alignment horizontal="center" vertical="center" wrapText="1"/>
    </xf>
    <xf numFmtId="0" fontId="12" fillId="20" borderId="2" xfId="21" applyFont="1" applyFill="1" applyBorder="1" applyAlignment="1">
      <alignment horizontal="center" vertical="center" wrapText="1"/>
    </xf>
    <xf numFmtId="0" fontId="12" fillId="20" borderId="56" xfId="21" applyFont="1" applyFill="1" applyBorder="1" applyAlignment="1">
      <alignment horizontal="center" vertical="center" wrapText="1"/>
    </xf>
    <xf numFmtId="0" fontId="12" fillId="20" borderId="5" xfId="21" applyFont="1" applyFill="1" applyBorder="1" applyAlignment="1">
      <alignment horizontal="center" vertical="center" wrapText="1"/>
    </xf>
    <xf numFmtId="0" fontId="12" fillId="20" borderId="1" xfId="21" applyFont="1" applyFill="1" applyBorder="1" applyAlignment="1">
      <alignment horizontal="center" vertical="center" wrapText="1"/>
    </xf>
    <xf numFmtId="4" fontId="12" fillId="0" borderId="55" xfId="21" applyNumberFormat="1" applyFont="1" applyBorder="1" applyAlignment="1">
      <alignment horizontal="center" vertical="center" wrapText="1"/>
    </xf>
    <xf numFmtId="4" fontId="12" fillId="0" borderId="23" xfId="21" applyNumberFormat="1" applyFont="1" applyBorder="1" applyAlignment="1">
      <alignment horizontal="center" vertical="center" wrapText="1"/>
    </xf>
    <xf numFmtId="0" fontId="32" fillId="0" borderId="1" xfId="21" applyFont="1" applyBorder="1" applyAlignment="1">
      <alignment horizontal="left" vertical="center" wrapText="1"/>
    </xf>
    <xf numFmtId="0" fontId="32" fillId="0" borderId="9" xfId="21" applyFont="1" applyBorder="1" applyAlignment="1">
      <alignment horizontal="left" vertical="center" wrapText="1"/>
    </xf>
    <xf numFmtId="0" fontId="12" fillId="0" borderId="40" xfId="21" applyFont="1" applyBorder="1" applyAlignment="1">
      <alignment horizontal="center" vertical="center" wrapText="1"/>
    </xf>
    <xf numFmtId="0" fontId="12" fillId="0" borderId="47" xfId="21" applyFont="1" applyBorder="1" applyAlignment="1">
      <alignment horizontal="center" vertical="center" wrapText="1"/>
    </xf>
    <xf numFmtId="0" fontId="12" fillId="0" borderId="48" xfId="21" applyFont="1" applyBorder="1" applyAlignment="1">
      <alignment horizontal="center" vertical="center" wrapText="1"/>
    </xf>
    <xf numFmtId="0" fontId="11" fillId="20" borderId="1" xfId="21" applyFont="1" applyFill="1" applyBorder="1" applyAlignment="1">
      <alignment horizontal="center" vertical="center" wrapText="1"/>
    </xf>
    <xf numFmtId="0" fontId="12" fillId="20" borderId="3" xfId="21" applyFont="1" applyFill="1" applyBorder="1" applyAlignment="1">
      <alignment horizontal="center" vertical="center" wrapText="1"/>
    </xf>
    <xf numFmtId="2" fontId="11" fillId="0" borderId="1" xfId="21" applyNumberFormat="1" applyFont="1" applyBorder="1" applyAlignment="1">
      <alignment horizontal="justify" vertical="center" wrapText="1"/>
    </xf>
    <xf numFmtId="9" fontId="12" fillId="0" borderId="1" xfId="27" applyFont="1" applyBorder="1" applyAlignment="1">
      <alignment horizontal="center" vertical="center" wrapText="1"/>
    </xf>
    <xf numFmtId="9" fontId="32" fillId="0" borderId="1" xfId="21" applyNumberFormat="1" applyFont="1" applyBorder="1" applyAlignment="1">
      <alignment horizontal="justify" vertical="center" wrapText="1"/>
    </xf>
    <xf numFmtId="0" fontId="12" fillId="20" borderId="7" xfId="21" applyFont="1" applyFill="1" applyBorder="1" applyAlignment="1">
      <alignment horizontal="center" vertical="center" wrapText="1"/>
    </xf>
    <xf numFmtId="0" fontId="11" fillId="0" borderId="18" xfId="21" applyFont="1" applyBorder="1" applyAlignment="1">
      <alignment horizontal="center" vertical="center" wrapText="1"/>
    </xf>
    <xf numFmtId="0" fontId="11" fillId="0" borderId="79" xfId="21" applyFont="1" applyBorder="1" applyAlignment="1">
      <alignment horizontal="center" vertical="center" wrapText="1"/>
    </xf>
    <xf numFmtId="9" fontId="12" fillId="0" borderId="10" xfId="21" applyNumberFormat="1" applyFont="1" applyBorder="1" applyAlignment="1">
      <alignment horizontal="center" vertical="center" wrapText="1"/>
    </xf>
    <xf numFmtId="0" fontId="12" fillId="0" borderId="35" xfId="21" applyFont="1" applyBorder="1" applyAlignment="1">
      <alignment horizontal="center" vertical="center" wrapText="1"/>
    </xf>
    <xf numFmtId="9" fontId="32" fillId="19" borderId="55" xfId="29" applyFont="1" applyFill="1" applyBorder="1" applyAlignment="1" applyProtection="1">
      <alignment horizontal="justify" vertical="center" wrapText="1"/>
    </xf>
    <xf numFmtId="9" fontId="32" fillId="19" borderId="22" xfId="29" applyFont="1" applyFill="1" applyBorder="1" applyAlignment="1" applyProtection="1">
      <alignment horizontal="justify" vertical="center" wrapText="1"/>
    </xf>
    <xf numFmtId="9" fontId="32" fillId="19" borderId="23" xfId="29" applyFont="1" applyFill="1" applyBorder="1" applyAlignment="1" applyProtection="1">
      <alignment horizontal="justify" vertical="center" wrapText="1"/>
    </xf>
    <xf numFmtId="9" fontId="32" fillId="19" borderId="64" xfId="29" applyFont="1" applyFill="1" applyBorder="1" applyAlignment="1" applyProtection="1">
      <alignment horizontal="justify" vertical="center" wrapText="1"/>
    </xf>
    <xf numFmtId="9" fontId="32" fillId="19" borderId="0" xfId="29" applyFont="1" applyFill="1" applyBorder="1" applyAlignment="1" applyProtection="1">
      <alignment horizontal="justify" vertical="center" wrapText="1"/>
    </xf>
    <xf numFmtId="9" fontId="32" fillId="19" borderId="24" xfId="29" applyFont="1" applyFill="1" applyBorder="1" applyAlignment="1" applyProtection="1">
      <alignment horizontal="justify" vertical="center" wrapText="1"/>
    </xf>
    <xf numFmtId="9" fontId="32" fillId="0" borderId="55" xfId="29" applyFont="1" applyFill="1" applyBorder="1" applyAlignment="1" applyProtection="1">
      <alignment horizontal="justify" vertical="center" wrapText="1"/>
    </xf>
    <xf numFmtId="9" fontId="32" fillId="0" borderId="22" xfId="29" applyFont="1" applyFill="1" applyBorder="1" applyAlignment="1" applyProtection="1">
      <alignment horizontal="justify" vertical="center" wrapText="1"/>
    </xf>
    <xf numFmtId="9" fontId="32" fillId="0" borderId="64" xfId="29" applyFont="1" applyFill="1" applyBorder="1" applyAlignment="1" applyProtection="1">
      <alignment horizontal="justify" vertical="center" wrapText="1"/>
    </xf>
    <xf numFmtId="9" fontId="32" fillId="0" borderId="0" xfId="29" applyFont="1" applyFill="1" applyBorder="1" applyAlignment="1" applyProtection="1">
      <alignment horizontal="justify" vertical="center" wrapText="1"/>
    </xf>
    <xf numFmtId="9" fontId="32" fillId="0" borderId="1" xfId="21" applyNumberFormat="1" applyFont="1" applyBorder="1" applyAlignment="1" applyProtection="1">
      <alignment horizontal="justify" vertical="center" wrapText="1"/>
      <protection locked="0"/>
    </xf>
    <xf numFmtId="9" fontId="32" fillId="0" borderId="1" xfId="21" applyNumberFormat="1" applyFont="1" applyFill="1" applyBorder="1" applyAlignment="1">
      <alignment horizontal="justify" vertical="center" wrapText="1"/>
    </xf>
    <xf numFmtId="2" fontId="11" fillId="0" borderId="32" xfId="21" applyNumberFormat="1" applyFont="1" applyBorder="1" applyAlignment="1">
      <alignment horizontal="justify" vertical="center" wrapText="1"/>
    </xf>
    <xf numFmtId="2" fontId="11" fillId="0" borderId="31" xfId="21" applyNumberFormat="1" applyFont="1" applyBorder="1" applyAlignment="1">
      <alignment horizontal="justify" vertical="center" wrapText="1"/>
    </xf>
    <xf numFmtId="9" fontId="12" fillId="0" borderId="35" xfId="27" applyFont="1" applyBorder="1" applyAlignment="1">
      <alignment horizontal="center" vertical="center" wrapText="1"/>
    </xf>
    <xf numFmtId="9" fontId="12" fillId="0" borderId="58" xfId="27" applyFont="1" applyBorder="1" applyAlignment="1">
      <alignment horizontal="center" vertical="center" wrapText="1"/>
    </xf>
    <xf numFmtId="9" fontId="32" fillId="0" borderId="55" xfId="21" applyNumberFormat="1" applyFont="1" applyBorder="1" applyAlignment="1">
      <alignment horizontal="justify" vertical="center" wrapText="1"/>
    </xf>
    <xf numFmtId="9" fontId="32" fillId="0" borderId="22" xfId="21" applyNumberFormat="1" applyFont="1" applyBorder="1" applyAlignment="1">
      <alignment horizontal="justify" vertical="center" wrapText="1"/>
    </xf>
    <xf numFmtId="9" fontId="32" fillId="0" borderId="61" xfId="21" applyNumberFormat="1" applyFont="1" applyBorder="1" applyAlignment="1">
      <alignment horizontal="justify" vertical="center" wrapText="1"/>
    </xf>
    <xf numFmtId="9" fontId="32" fillId="0" borderId="59" xfId="21" applyNumberFormat="1" applyFont="1" applyBorder="1" applyAlignment="1">
      <alignment horizontal="justify" vertical="center" wrapText="1"/>
    </xf>
    <xf numFmtId="9" fontId="32" fillId="0" borderId="15" xfId="21" applyNumberFormat="1" applyFont="1" applyBorder="1" applyAlignment="1">
      <alignment horizontal="justify" vertical="center" wrapText="1"/>
    </xf>
    <xf numFmtId="9" fontId="32" fillId="0" borderId="16" xfId="21" applyNumberFormat="1" applyFont="1" applyBorder="1" applyAlignment="1">
      <alignment horizontal="justify" vertical="center" wrapText="1"/>
    </xf>
    <xf numFmtId="0" fontId="12" fillId="20" borderId="62" xfId="21" applyFont="1" applyFill="1" applyBorder="1" applyAlignment="1">
      <alignment horizontal="center" vertical="center" wrapText="1"/>
    </xf>
    <xf numFmtId="0" fontId="12" fillId="20" borderId="4" xfId="21" applyFont="1" applyFill="1" applyBorder="1" applyAlignment="1">
      <alignment horizontal="center" vertical="center" wrapText="1"/>
    </xf>
    <xf numFmtId="0" fontId="12" fillId="20" borderId="47" xfId="21" applyFont="1" applyFill="1" applyBorder="1" applyAlignment="1">
      <alignment horizontal="center" vertical="center" wrapText="1"/>
    </xf>
    <xf numFmtId="0" fontId="12" fillId="20" borderId="41" xfId="21" applyFont="1" applyFill="1" applyBorder="1" applyAlignment="1">
      <alignment horizontal="center" vertical="center" wrapText="1"/>
    </xf>
    <xf numFmtId="0" fontId="12" fillId="20" borderId="63" xfId="21" applyFont="1" applyFill="1" applyBorder="1" applyAlignment="1">
      <alignment horizontal="center" vertical="center" wrapText="1"/>
    </xf>
    <xf numFmtId="0" fontId="12" fillId="20" borderId="51" xfId="21" applyFont="1" applyFill="1" applyBorder="1" applyAlignment="1">
      <alignment horizontal="center" vertical="center" wrapText="1"/>
    </xf>
    <xf numFmtId="0" fontId="12" fillId="20" borderId="26" xfId="21" applyFont="1" applyFill="1" applyBorder="1" applyAlignment="1">
      <alignment horizontal="center" vertical="center" wrapText="1"/>
    </xf>
    <xf numFmtId="0" fontId="11" fillId="0" borderId="18" xfId="21" applyFont="1" applyBorder="1" applyAlignment="1">
      <alignment horizontal="justify" vertical="center" wrapText="1"/>
    </xf>
    <xf numFmtId="0" fontId="11" fillId="0" borderId="57" xfId="21" applyFont="1" applyBorder="1" applyAlignment="1">
      <alignment horizontal="justify" vertical="center" wrapText="1"/>
    </xf>
    <xf numFmtId="0" fontId="12" fillId="0" borderId="58" xfId="21" applyFont="1" applyBorder="1" applyAlignment="1">
      <alignment horizontal="center" vertical="center" wrapText="1"/>
    </xf>
    <xf numFmtId="9" fontId="32" fillId="0" borderId="23" xfId="29" applyFont="1" applyFill="1" applyBorder="1" applyAlignment="1" applyProtection="1">
      <alignment horizontal="justify" vertical="center" wrapText="1"/>
    </xf>
    <xf numFmtId="9" fontId="32" fillId="0" borderId="59" xfId="29" applyFont="1" applyFill="1" applyBorder="1" applyAlignment="1" applyProtection="1">
      <alignment horizontal="justify" vertical="center" wrapText="1"/>
    </xf>
    <xf numFmtId="9" fontId="32" fillId="0" borderId="15" xfId="29" applyFont="1" applyFill="1" applyBorder="1" applyAlignment="1" applyProtection="1">
      <alignment horizontal="justify" vertical="center" wrapText="1"/>
    </xf>
    <xf numFmtId="9" fontId="32" fillId="0" borderId="60" xfId="29" applyFont="1" applyFill="1" applyBorder="1" applyAlignment="1" applyProtection="1">
      <alignment horizontal="justify" vertical="center" wrapText="1"/>
    </xf>
    <xf numFmtId="9" fontId="33" fillId="0" borderId="55" xfId="29" applyFont="1" applyFill="1" applyBorder="1" applyAlignment="1" applyProtection="1">
      <alignment horizontal="center" vertical="center" wrapText="1"/>
    </xf>
    <xf numFmtId="9" fontId="33" fillId="0" borderId="22" xfId="29" applyFont="1" applyFill="1" applyBorder="1" applyAlignment="1" applyProtection="1">
      <alignment horizontal="center" vertical="center" wrapText="1"/>
    </xf>
    <xf numFmtId="9" fontId="33" fillId="0" borderId="23" xfId="29" applyFont="1" applyFill="1" applyBorder="1" applyAlignment="1" applyProtection="1">
      <alignment horizontal="center" vertical="center" wrapText="1"/>
    </xf>
    <xf numFmtId="9" fontId="33" fillId="0" borderId="59" xfId="29" applyFont="1" applyFill="1" applyBorder="1" applyAlignment="1" applyProtection="1">
      <alignment horizontal="center" vertical="center" wrapText="1"/>
    </xf>
    <xf numFmtId="9" fontId="33" fillId="0" borderId="15" xfId="29" applyFont="1" applyFill="1" applyBorder="1" applyAlignment="1" applyProtection="1">
      <alignment horizontal="center" vertical="center" wrapText="1"/>
    </xf>
    <xf numFmtId="9" fontId="33" fillId="0" borderId="60" xfId="29" applyFont="1" applyFill="1" applyBorder="1" applyAlignment="1" applyProtection="1">
      <alignment horizontal="center" vertical="center" wrapText="1"/>
    </xf>
    <xf numFmtId="9" fontId="33" fillId="0" borderId="61" xfId="29" applyFont="1" applyFill="1" applyBorder="1" applyAlignment="1" applyProtection="1">
      <alignment horizontal="center" vertical="center" wrapText="1"/>
    </xf>
    <xf numFmtId="9" fontId="33" fillId="0" borderId="16" xfId="29" applyFont="1" applyFill="1" applyBorder="1" applyAlignment="1" applyProtection="1">
      <alignment horizontal="center" vertical="center" wrapText="1"/>
    </xf>
    <xf numFmtId="3" fontId="12" fillId="0" borderId="55" xfId="21" applyNumberFormat="1" applyFont="1" applyBorder="1" applyAlignment="1">
      <alignment horizontal="center" vertical="center" wrapText="1"/>
    </xf>
    <xf numFmtId="3" fontId="12" fillId="0" borderId="23" xfId="21" applyNumberFormat="1" applyFont="1" applyBorder="1" applyAlignment="1">
      <alignment horizontal="center" vertical="center" wrapText="1"/>
    </xf>
    <xf numFmtId="0" fontId="11" fillId="0" borderId="1" xfId="21" applyFont="1" applyBorder="1" applyAlignment="1">
      <alignment horizontal="left" vertical="center" wrapText="1"/>
    </xf>
    <xf numFmtId="0" fontId="11" fillId="0" borderId="9" xfId="21" applyFont="1" applyBorder="1" applyAlignment="1">
      <alignment horizontal="left" vertical="center" wrapText="1"/>
    </xf>
    <xf numFmtId="0" fontId="12" fillId="20" borderId="18" xfId="21" applyFont="1" applyFill="1" applyBorder="1" applyAlignment="1">
      <alignment horizontal="center" vertical="center" wrapText="1"/>
    </xf>
    <xf numFmtId="0" fontId="12" fillId="20" borderId="32" xfId="21" applyFont="1" applyFill="1" applyBorder="1" applyAlignment="1">
      <alignment horizontal="center" vertical="center" wrapText="1"/>
    </xf>
    <xf numFmtId="0" fontId="12" fillId="20" borderId="11" xfId="21" applyFont="1" applyFill="1" applyBorder="1" applyAlignment="1">
      <alignment horizontal="center" vertical="center" wrapText="1"/>
    </xf>
    <xf numFmtId="0" fontId="12" fillId="20" borderId="12" xfId="21" applyFont="1" applyFill="1" applyBorder="1" applyAlignment="1">
      <alignment horizontal="center" vertical="center" wrapText="1"/>
    </xf>
    <xf numFmtId="0" fontId="11" fillId="0" borderId="36" xfId="21" applyFont="1" applyBorder="1" applyAlignment="1">
      <alignment horizontal="center" vertical="center" wrapText="1"/>
    </xf>
    <xf numFmtId="0" fontId="11" fillId="0" borderId="37" xfId="21" applyFont="1" applyBorder="1" applyAlignment="1">
      <alignment horizontal="center" vertical="center" wrapText="1"/>
    </xf>
    <xf numFmtId="0" fontId="11" fillId="0" borderId="38" xfId="21" applyFont="1" applyBorder="1" applyAlignment="1">
      <alignment horizontal="center" vertical="center" wrapText="1"/>
    </xf>
    <xf numFmtId="3" fontId="12" fillId="0" borderId="36" xfId="27" applyNumberFormat="1" applyFont="1" applyFill="1" applyBorder="1" applyAlignment="1" applyProtection="1">
      <alignment horizontal="center" vertical="center" wrapText="1"/>
    </xf>
    <xf numFmtId="3" fontId="12" fillId="0" borderId="38" xfId="27" applyNumberFormat="1" applyFont="1" applyFill="1" applyBorder="1" applyAlignment="1" applyProtection="1">
      <alignment horizontal="center" vertical="center" wrapText="1"/>
    </xf>
    <xf numFmtId="0" fontId="39" fillId="0" borderId="49" xfId="0" applyFont="1" applyBorder="1" applyAlignment="1">
      <alignment horizontal="left" vertical="center" wrapText="1"/>
    </xf>
    <xf numFmtId="0" fontId="39" fillId="0" borderId="19" xfId="0" applyFont="1" applyBorder="1" applyAlignment="1">
      <alignment horizontal="left" vertical="center" wrapText="1"/>
    </xf>
    <xf numFmtId="0" fontId="39" fillId="0" borderId="33" xfId="0" applyFont="1" applyBorder="1" applyAlignment="1">
      <alignment horizontal="left" vertical="center" wrapText="1"/>
    </xf>
    <xf numFmtId="0" fontId="19" fillId="0" borderId="46" xfId="0" applyFont="1" applyBorder="1" applyAlignment="1">
      <alignment horizontal="left" vertical="center" wrapText="1"/>
    </xf>
    <xf numFmtId="0" fontId="19" fillId="0" borderId="47" xfId="0" applyFont="1" applyBorder="1" applyAlignment="1">
      <alignment horizontal="left" vertical="center" wrapText="1"/>
    </xf>
    <xf numFmtId="0" fontId="19" fillId="0" borderId="48" xfId="0" applyFont="1" applyBorder="1" applyAlignment="1">
      <alignment horizontal="left" vertical="center" wrapText="1"/>
    </xf>
    <xf numFmtId="0" fontId="19" fillId="0" borderId="5" xfId="0" applyFont="1" applyBorder="1" applyAlignment="1">
      <alignment horizontal="left"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9" fontId="45" fillId="0" borderId="77" xfId="0" applyNumberFormat="1" applyFont="1" applyBorder="1" applyAlignment="1">
      <alignment horizontal="center" vertical="center" wrapText="1"/>
    </xf>
    <xf numFmtId="0" fontId="44" fillId="0" borderId="82" xfId="0" applyFont="1" applyBorder="1" applyAlignment="1"/>
    <xf numFmtId="2" fontId="11" fillId="0" borderId="40" xfId="21" applyNumberFormat="1" applyFont="1" applyBorder="1" applyAlignment="1">
      <alignment horizontal="justify" vertical="center" wrapText="1"/>
    </xf>
    <xf numFmtId="2" fontId="11" fillId="0" borderId="8" xfId="21" applyNumberFormat="1" applyFont="1" applyBorder="1" applyAlignment="1">
      <alignment horizontal="justify" vertical="center" wrapText="1"/>
    </xf>
    <xf numFmtId="9" fontId="12" fillId="0" borderId="62" xfId="21" applyNumberFormat="1" applyFont="1" applyBorder="1" applyAlignment="1">
      <alignment horizontal="center" vertical="center" wrapText="1"/>
    </xf>
    <xf numFmtId="9" fontId="12" fillId="0" borderId="4" xfId="21" applyNumberFormat="1" applyFont="1" applyBorder="1" applyAlignment="1">
      <alignment horizontal="center" vertical="center" wrapText="1"/>
    </xf>
    <xf numFmtId="9" fontId="36" fillId="0" borderId="1" xfId="21" applyNumberFormat="1" applyFont="1" applyBorder="1" applyAlignment="1">
      <alignment horizontal="justify" vertical="center" wrapText="1"/>
    </xf>
    <xf numFmtId="9" fontId="36" fillId="0" borderId="9" xfId="21" applyNumberFormat="1" applyFont="1" applyBorder="1" applyAlignment="1">
      <alignment horizontal="justify" vertical="center" wrapText="1"/>
    </xf>
    <xf numFmtId="9" fontId="36" fillId="0" borderId="1" xfId="21" applyNumberFormat="1" applyFont="1" applyBorder="1" applyAlignment="1">
      <alignment horizontal="justify" vertical="top" wrapText="1"/>
    </xf>
    <xf numFmtId="9" fontId="36" fillId="0" borderId="9" xfId="21" applyNumberFormat="1" applyFont="1" applyBorder="1" applyAlignment="1">
      <alignment horizontal="justify" vertical="top" wrapText="1"/>
    </xf>
    <xf numFmtId="9" fontId="36" fillId="0" borderId="1" xfId="21" applyNumberFormat="1" applyFont="1" applyBorder="1" applyAlignment="1">
      <alignment horizontal="left" vertical="center" wrapText="1"/>
    </xf>
    <xf numFmtId="9" fontId="36" fillId="0" borderId="9" xfId="21" applyNumberFormat="1" applyFont="1" applyBorder="1" applyAlignment="1">
      <alignment horizontal="left" vertical="center" wrapText="1"/>
    </xf>
    <xf numFmtId="0" fontId="43" fillId="28" borderId="80" xfId="0" applyFont="1" applyFill="1" applyBorder="1" applyAlignment="1">
      <alignment horizontal="center" vertical="center" wrapText="1"/>
    </xf>
    <xf numFmtId="0" fontId="44" fillId="0" borderId="81" xfId="0" applyFont="1" applyBorder="1" applyAlignment="1"/>
    <xf numFmtId="0" fontId="44" fillId="0" borderId="78" xfId="0" applyFont="1" applyBorder="1" applyAlignment="1"/>
    <xf numFmtId="9" fontId="96" fillId="0" borderId="55" xfId="29" applyFont="1" applyFill="1" applyBorder="1" applyAlignment="1" applyProtection="1">
      <alignment horizontal="left" vertical="center" wrapText="1"/>
    </xf>
    <xf numFmtId="9" fontId="36" fillId="0" borderId="22" xfId="29" applyFont="1" applyFill="1" applyBorder="1" applyAlignment="1" applyProtection="1">
      <alignment horizontal="left" vertical="center" wrapText="1"/>
    </xf>
    <xf numFmtId="9" fontId="36" fillId="0" borderId="23" xfId="29" applyFont="1" applyFill="1" applyBorder="1" applyAlignment="1" applyProtection="1">
      <alignment horizontal="left" vertical="center" wrapText="1"/>
    </xf>
    <xf numFmtId="9" fontId="36" fillId="0" borderId="59" xfId="29" applyFont="1" applyFill="1" applyBorder="1" applyAlignment="1" applyProtection="1">
      <alignment horizontal="left" vertical="center" wrapText="1"/>
    </xf>
    <xf numFmtId="9" fontId="36" fillId="0" borderId="15" xfId="29" applyFont="1" applyFill="1" applyBorder="1" applyAlignment="1" applyProtection="1">
      <alignment horizontal="left" vertical="center" wrapText="1"/>
    </xf>
    <xf numFmtId="9" fontId="36" fillId="0" borderId="60" xfId="29" applyFont="1" applyFill="1" applyBorder="1" applyAlignment="1" applyProtection="1">
      <alignment horizontal="left" vertical="center" wrapText="1"/>
    </xf>
    <xf numFmtId="9" fontId="36" fillId="0" borderId="55" xfId="29" applyFont="1" applyFill="1" applyBorder="1" applyAlignment="1" applyProtection="1">
      <alignment horizontal="justify" vertical="center" wrapText="1"/>
    </xf>
    <xf numFmtId="9" fontId="36" fillId="0" borderId="22" xfId="29" applyFont="1" applyFill="1" applyBorder="1" applyAlignment="1" applyProtection="1">
      <alignment horizontal="justify" vertical="center" wrapText="1"/>
    </xf>
    <xf numFmtId="9" fontId="36" fillId="0" borderId="23" xfId="29" applyFont="1" applyFill="1" applyBorder="1" applyAlignment="1" applyProtection="1">
      <alignment horizontal="justify" vertical="center" wrapText="1"/>
    </xf>
    <xf numFmtId="9" fontId="36" fillId="0" borderId="59" xfId="29" applyFont="1" applyFill="1" applyBorder="1" applyAlignment="1" applyProtection="1">
      <alignment horizontal="justify" vertical="center" wrapText="1"/>
    </xf>
    <xf numFmtId="9" fontId="36" fillId="0" borderId="15" xfId="29" applyFont="1" applyFill="1" applyBorder="1" applyAlignment="1" applyProtection="1">
      <alignment horizontal="justify" vertical="center" wrapText="1"/>
    </xf>
    <xf numFmtId="9" fontId="36" fillId="0" borderId="60" xfId="29" applyFont="1" applyFill="1" applyBorder="1" applyAlignment="1" applyProtection="1">
      <alignment horizontal="justify" vertical="center" wrapText="1"/>
    </xf>
    <xf numFmtId="9" fontId="11" fillId="0" borderId="22" xfId="29" applyFont="1" applyFill="1" applyBorder="1" applyAlignment="1" applyProtection="1">
      <alignment horizontal="justify" vertical="center" wrapText="1"/>
    </xf>
    <xf numFmtId="9" fontId="11" fillId="0" borderId="61" xfId="29" applyFont="1" applyFill="1" applyBorder="1" applyAlignment="1" applyProtection="1">
      <alignment horizontal="justify" vertical="center" wrapText="1"/>
    </xf>
    <xf numFmtId="9" fontId="11" fillId="0" borderId="59" xfId="29" applyFont="1" applyFill="1" applyBorder="1" applyAlignment="1" applyProtection="1">
      <alignment horizontal="justify" vertical="center" wrapText="1"/>
    </xf>
    <xf numFmtId="9" fontId="11" fillId="0" borderId="15" xfId="29" applyFont="1" applyFill="1" applyBorder="1" applyAlignment="1" applyProtection="1">
      <alignment horizontal="justify" vertical="center" wrapText="1"/>
    </xf>
    <xf numFmtId="9" fontId="11" fillId="0" borderId="16" xfId="29" applyFont="1" applyFill="1" applyBorder="1" applyAlignment="1" applyProtection="1">
      <alignment horizontal="justify" vertical="center" wrapText="1"/>
    </xf>
    <xf numFmtId="0" fontId="12" fillId="20" borderId="35" xfId="21" applyFont="1" applyFill="1" applyBorder="1" applyAlignment="1">
      <alignment horizontal="center" vertical="center" wrapText="1"/>
    </xf>
    <xf numFmtId="0" fontId="12" fillId="20" borderId="22" xfId="21" applyFont="1" applyFill="1" applyBorder="1" applyAlignment="1">
      <alignment horizontal="center" vertical="center" wrapText="1"/>
    </xf>
    <xf numFmtId="0" fontId="12" fillId="20" borderId="61" xfId="21" applyFont="1" applyFill="1" applyBorder="1" applyAlignment="1">
      <alignment horizontal="center" vertical="center" wrapText="1"/>
    </xf>
    <xf numFmtId="0" fontId="12" fillId="20" borderId="42" xfId="21" applyFont="1" applyFill="1" applyBorder="1" applyAlignment="1">
      <alignment horizontal="center" vertical="center" wrapText="1"/>
    </xf>
    <xf numFmtId="184" fontId="12" fillId="0" borderId="36" xfId="27" applyNumberFormat="1" applyFont="1" applyFill="1" applyBorder="1" applyAlignment="1" applyProtection="1">
      <alignment horizontal="center" vertical="center" wrapText="1"/>
    </xf>
    <xf numFmtId="184" fontId="12" fillId="0" borderId="38" xfId="27" applyNumberFormat="1" applyFont="1" applyFill="1" applyBorder="1" applyAlignment="1" applyProtection="1">
      <alignment horizontal="center" vertical="center" wrapText="1"/>
    </xf>
    <xf numFmtId="9" fontId="11" fillId="0" borderId="0" xfId="21" applyNumberFormat="1" applyFont="1" applyAlignment="1">
      <alignment horizontal="justify" vertical="center" wrapText="1"/>
    </xf>
    <xf numFmtId="0" fontId="43" fillId="28" borderId="77" xfId="0" applyFont="1" applyFill="1" applyBorder="1" applyAlignment="1">
      <alignment horizontal="center" vertical="center" wrapText="1"/>
    </xf>
    <xf numFmtId="9" fontId="12" fillId="0" borderId="58" xfId="21" applyNumberFormat="1" applyFont="1" applyBorder="1" applyAlignment="1">
      <alignment horizontal="center" vertical="center" wrapText="1"/>
    </xf>
    <xf numFmtId="9" fontId="36" fillId="0" borderId="1" xfId="21" applyNumberFormat="1" applyFont="1" applyBorder="1" applyAlignment="1">
      <alignment horizontal="left" vertical="top" wrapText="1"/>
    </xf>
    <xf numFmtId="9" fontId="36" fillId="0" borderId="9" xfId="21" applyNumberFormat="1" applyFont="1" applyBorder="1" applyAlignment="1">
      <alignment horizontal="left" vertical="top" wrapText="1"/>
    </xf>
    <xf numFmtId="9" fontId="36" fillId="0" borderId="19" xfId="21" applyNumberFormat="1" applyFont="1" applyBorder="1" applyAlignment="1">
      <alignment horizontal="left" vertical="top" wrapText="1"/>
    </xf>
    <xf numFmtId="9" fontId="36" fillId="0" borderId="33" xfId="21" applyNumberFormat="1" applyFont="1" applyBorder="1" applyAlignment="1">
      <alignment horizontal="left" vertical="top" wrapText="1"/>
    </xf>
    <xf numFmtId="9" fontId="11" fillId="0" borderId="24" xfId="21" applyNumberFormat="1" applyFont="1" applyBorder="1" applyAlignment="1">
      <alignment horizontal="center" vertical="center" wrapText="1"/>
    </xf>
    <xf numFmtId="9" fontId="11" fillId="0" borderId="0" xfId="21" applyNumberFormat="1" applyFont="1" applyAlignment="1">
      <alignment horizontal="center" vertical="center" wrapText="1"/>
    </xf>
    <xf numFmtId="9" fontId="12" fillId="0" borderId="10" xfId="27" applyFont="1" applyBorder="1" applyAlignment="1">
      <alignment horizontal="center" vertical="center" wrapText="1"/>
    </xf>
    <xf numFmtId="9" fontId="12" fillId="0" borderId="4" xfId="27" applyFont="1" applyBorder="1" applyAlignment="1">
      <alignment horizontal="center" vertical="center" wrapText="1"/>
    </xf>
    <xf numFmtId="9" fontId="36" fillId="0" borderId="55" xfId="21" applyNumberFormat="1" applyFont="1" applyBorder="1" applyAlignment="1">
      <alignment horizontal="justify" vertical="center" wrapText="1"/>
    </xf>
    <xf numFmtId="9" fontId="36" fillId="0" borderId="22" xfId="21" applyNumberFormat="1" applyFont="1" applyBorder="1" applyAlignment="1">
      <alignment horizontal="justify" vertical="center" wrapText="1"/>
    </xf>
    <xf numFmtId="9" fontId="36" fillId="0" borderId="61" xfId="21" applyNumberFormat="1" applyFont="1" applyBorder="1" applyAlignment="1">
      <alignment horizontal="justify" vertical="center" wrapText="1"/>
    </xf>
    <xf numFmtId="9" fontId="36" fillId="0" borderId="64" xfId="21" applyNumberFormat="1" applyFont="1" applyBorder="1" applyAlignment="1">
      <alignment horizontal="justify" vertical="center" wrapText="1"/>
    </xf>
    <xf numFmtId="9" fontId="36" fillId="0" borderId="0" xfId="21" applyNumberFormat="1" applyFont="1" applyAlignment="1">
      <alignment horizontal="justify" vertical="center" wrapText="1"/>
    </xf>
    <xf numFmtId="9" fontId="36" fillId="0" borderId="14" xfId="21" applyNumberFormat="1" applyFont="1" applyBorder="1" applyAlignment="1">
      <alignment horizontal="justify" vertical="center" wrapText="1"/>
    </xf>
    <xf numFmtId="9" fontId="36" fillId="0" borderId="59" xfId="21" applyNumberFormat="1" applyFont="1" applyBorder="1" applyAlignment="1">
      <alignment horizontal="justify" vertical="center" wrapText="1"/>
    </xf>
    <xf numFmtId="9" fontId="36" fillId="0" borderId="15" xfId="21" applyNumberFormat="1" applyFont="1" applyBorder="1" applyAlignment="1">
      <alignment horizontal="justify" vertical="center" wrapText="1"/>
    </xf>
    <xf numFmtId="9" fontId="36" fillId="0" borderId="16" xfId="21" applyNumberFormat="1" applyFont="1" applyBorder="1" applyAlignment="1">
      <alignment horizontal="justify" vertical="center" wrapText="1"/>
    </xf>
    <xf numFmtId="9" fontId="36" fillId="0" borderId="55" xfId="29" applyFont="1" applyFill="1" applyBorder="1" applyAlignment="1" applyProtection="1">
      <alignment horizontal="left" vertical="center" wrapText="1"/>
    </xf>
    <xf numFmtId="9" fontId="36" fillId="0" borderId="61" xfId="29" applyFont="1" applyFill="1" applyBorder="1" applyAlignment="1" applyProtection="1">
      <alignment horizontal="justify" vertical="center" wrapText="1"/>
    </xf>
    <xf numFmtId="9" fontId="36" fillId="0" borderId="16" xfId="29" applyFont="1" applyFill="1" applyBorder="1" applyAlignment="1" applyProtection="1">
      <alignment horizontal="justify" vertical="center" wrapText="1"/>
    </xf>
    <xf numFmtId="0" fontId="12" fillId="20" borderId="21" xfId="21" applyFont="1" applyFill="1" applyBorder="1" applyAlignment="1">
      <alignment horizontal="center" vertical="center" wrapText="1"/>
    </xf>
    <xf numFmtId="9" fontId="36" fillId="0" borderId="55" xfId="21" applyNumberFormat="1" applyFont="1" applyBorder="1" applyAlignment="1">
      <alignment horizontal="left" vertical="center" wrapText="1"/>
    </xf>
    <xf numFmtId="9" fontId="36" fillId="0" borderId="22" xfId="21" applyNumberFormat="1" applyFont="1" applyBorder="1" applyAlignment="1">
      <alignment horizontal="left" vertical="center" wrapText="1"/>
    </xf>
    <xf numFmtId="9" fontId="36" fillId="0" borderId="61" xfId="21" applyNumberFormat="1" applyFont="1" applyBorder="1" applyAlignment="1">
      <alignment horizontal="left" vertical="center" wrapText="1"/>
    </xf>
    <xf numFmtId="9" fontId="36" fillId="0" borderId="64" xfId="21" applyNumberFormat="1" applyFont="1" applyBorder="1" applyAlignment="1">
      <alignment horizontal="left" vertical="center" wrapText="1"/>
    </xf>
    <xf numFmtId="9" fontId="36" fillId="0" borderId="0" xfId="21" applyNumberFormat="1" applyFont="1" applyAlignment="1">
      <alignment horizontal="left" vertical="center" wrapText="1"/>
    </xf>
    <xf numFmtId="9" fontId="36" fillId="0" borderId="14" xfId="21" applyNumberFormat="1" applyFont="1" applyBorder="1" applyAlignment="1">
      <alignment horizontal="left" vertical="center" wrapText="1"/>
    </xf>
    <xf numFmtId="0" fontId="12" fillId="0" borderId="10" xfId="21" applyFont="1" applyBorder="1" applyAlignment="1">
      <alignment horizontal="center" vertical="center" wrapText="1"/>
    </xf>
    <xf numFmtId="0" fontId="12" fillId="19" borderId="20" xfId="21" applyFont="1" applyFill="1" applyBorder="1" applyAlignment="1">
      <alignment horizontal="center" vertical="center" wrapText="1"/>
    </xf>
    <xf numFmtId="0" fontId="12" fillId="19" borderId="3" xfId="21" applyFont="1" applyFill="1" applyBorder="1" applyAlignment="1">
      <alignment horizontal="center" vertical="center" wrapText="1"/>
    </xf>
    <xf numFmtId="0" fontId="12" fillId="19" borderId="7" xfId="21" applyFont="1" applyFill="1" applyBorder="1" applyAlignment="1">
      <alignment horizontal="center" vertical="center" wrapText="1"/>
    </xf>
    <xf numFmtId="0" fontId="37" fillId="0" borderId="42" xfId="0" applyFont="1" applyBorder="1" applyAlignment="1">
      <alignment horizontal="center" vertical="center"/>
    </xf>
    <xf numFmtId="0" fontId="12" fillId="20" borderId="39" xfId="21" applyFont="1" applyFill="1" applyBorder="1" applyAlignment="1">
      <alignment horizontal="center" vertical="center" wrapText="1"/>
    </xf>
    <xf numFmtId="0" fontId="12" fillId="20" borderId="16" xfId="21" applyFont="1" applyFill="1" applyBorder="1" applyAlignment="1">
      <alignment horizontal="center" vertical="center" wrapText="1"/>
    </xf>
    <xf numFmtId="0" fontId="15" fillId="0" borderId="36" xfId="21" applyFont="1" applyBorder="1" applyAlignment="1">
      <alignment horizontal="center" vertical="center" wrapText="1"/>
    </xf>
    <xf numFmtId="0" fontId="15" fillId="0" borderId="37" xfId="21" applyFont="1" applyBorder="1" applyAlignment="1">
      <alignment horizontal="center" vertical="center" wrapText="1"/>
    </xf>
    <xf numFmtId="0" fontId="15" fillId="0" borderId="38" xfId="21" applyFont="1" applyBorder="1" applyAlignment="1">
      <alignment horizontal="center" vertical="center" wrapText="1"/>
    </xf>
    <xf numFmtId="171" fontId="12" fillId="19" borderId="53" xfId="16" applyNumberFormat="1" applyFont="1" applyFill="1" applyBorder="1" applyAlignment="1" applyProtection="1">
      <alignment horizontal="center" vertical="center" wrapText="1"/>
    </xf>
    <xf numFmtId="171" fontId="12" fillId="19" borderId="65" xfId="16" applyNumberFormat="1" applyFont="1" applyFill="1" applyBorder="1" applyAlignment="1" applyProtection="1">
      <alignment horizontal="center" vertical="center" wrapText="1"/>
    </xf>
    <xf numFmtId="171" fontId="12" fillId="19" borderId="49" xfId="16" applyNumberFormat="1" applyFont="1" applyFill="1" applyBorder="1" applyAlignment="1" applyProtection="1">
      <alignment horizontal="center" vertical="center" wrapText="1"/>
    </xf>
    <xf numFmtId="0" fontId="12" fillId="19" borderId="52" xfId="21" applyFont="1" applyFill="1" applyBorder="1" applyAlignment="1">
      <alignment horizontal="center" vertical="center" wrapText="1"/>
    </xf>
    <xf numFmtId="0" fontId="12" fillId="19" borderId="56" xfId="21" applyFont="1" applyFill="1" applyBorder="1" applyAlignment="1">
      <alignment horizontal="center" vertical="center" wrapText="1"/>
    </xf>
    <xf numFmtId="0" fontId="12" fillId="19" borderId="5" xfId="21" applyFont="1" applyFill="1" applyBorder="1" applyAlignment="1">
      <alignment horizontal="center" vertical="center" wrapText="1"/>
    </xf>
    <xf numFmtId="171" fontId="12" fillId="0" borderId="2" xfId="16" applyNumberFormat="1" applyFont="1" applyFill="1" applyBorder="1" applyAlignment="1" applyProtection="1">
      <alignment horizontal="center" vertical="center" wrapText="1"/>
    </xf>
    <xf numFmtId="171" fontId="12" fillId="0" borderId="26" xfId="16" applyNumberFormat="1" applyFont="1" applyFill="1" applyBorder="1" applyAlignment="1" applyProtection="1">
      <alignment horizontal="center" vertical="center" wrapText="1"/>
    </xf>
    <xf numFmtId="171" fontId="12" fillId="19" borderId="21" xfId="16" applyNumberFormat="1" applyFont="1" applyFill="1" applyBorder="1" applyAlignment="1" applyProtection="1">
      <alignment horizontal="center" vertical="center" wrapText="1"/>
    </xf>
    <xf numFmtId="0" fontId="12" fillId="0" borderId="2" xfId="21" applyFont="1" applyBorder="1" applyAlignment="1">
      <alignment horizontal="center" vertical="center" wrapText="1"/>
    </xf>
    <xf numFmtId="0" fontId="12" fillId="0" borderId="56" xfId="21" applyFont="1" applyBorder="1" applyAlignment="1">
      <alignment horizontal="center" vertical="center" wrapText="1"/>
    </xf>
    <xf numFmtId="0" fontId="12" fillId="0" borderId="5" xfId="21" applyFont="1" applyBorder="1" applyAlignment="1">
      <alignment horizontal="center" vertical="center" wrapText="1"/>
    </xf>
    <xf numFmtId="9" fontId="33" fillId="0" borderId="55" xfId="21" applyNumberFormat="1" applyFont="1" applyBorder="1" applyAlignment="1">
      <alignment horizontal="center" vertical="center" wrapText="1"/>
    </xf>
    <xf numFmtId="9" fontId="33" fillId="0" borderId="22" xfId="21" applyNumberFormat="1" applyFont="1" applyBorder="1" applyAlignment="1">
      <alignment horizontal="center" vertical="center" wrapText="1"/>
    </xf>
    <xf numFmtId="9" fontId="33" fillId="0" borderId="61" xfId="21" applyNumberFormat="1" applyFont="1" applyBorder="1" applyAlignment="1">
      <alignment horizontal="center" vertical="center" wrapText="1"/>
    </xf>
    <xf numFmtId="9" fontId="33" fillId="0" borderId="64" xfId="21" applyNumberFormat="1" applyFont="1" applyBorder="1" applyAlignment="1">
      <alignment horizontal="center" vertical="center" wrapText="1"/>
    </xf>
    <xf numFmtId="9" fontId="33" fillId="0" borderId="0" xfId="21" applyNumberFormat="1" applyFont="1" applyAlignment="1">
      <alignment horizontal="center" vertical="center" wrapText="1"/>
    </xf>
    <xf numFmtId="9" fontId="33" fillId="0" borderId="14" xfId="21" applyNumberFormat="1" applyFont="1" applyBorder="1" applyAlignment="1">
      <alignment horizontal="center" vertical="center" wrapText="1"/>
    </xf>
    <xf numFmtId="0" fontId="12" fillId="19" borderId="0" xfId="21" applyFont="1" applyFill="1" applyAlignment="1">
      <alignment horizontal="center" vertical="center" wrapText="1"/>
    </xf>
    <xf numFmtId="0" fontId="12" fillId="19" borderId="6" xfId="21" applyFont="1" applyFill="1" applyBorder="1" applyAlignment="1">
      <alignment horizontal="center" vertical="center" wrapText="1"/>
    </xf>
    <xf numFmtId="0" fontId="12" fillId="19" borderId="25" xfId="21" applyFont="1" applyFill="1" applyBorder="1" applyAlignment="1">
      <alignment horizontal="center" vertical="center" wrapText="1"/>
    </xf>
    <xf numFmtId="2" fontId="11" fillId="0" borderId="18" xfId="21" applyNumberFormat="1" applyFont="1" applyBorder="1" applyAlignment="1">
      <alignment vertical="center" wrapText="1"/>
    </xf>
    <xf numFmtId="0" fontId="0" fillId="0" borderId="57" xfId="0" applyBorder="1" applyAlignment="1">
      <alignment vertical="center" wrapText="1"/>
    </xf>
    <xf numFmtId="0" fontId="12" fillId="2" borderId="13" xfId="21" applyFont="1" applyFill="1" applyBorder="1" applyAlignment="1">
      <alignment horizontal="center" vertical="center" wrapText="1"/>
    </xf>
    <xf numFmtId="0" fontId="12" fillId="20" borderId="27" xfId="21" applyFont="1" applyFill="1" applyBorder="1" applyAlignment="1">
      <alignment horizontal="center" vertical="center" wrapText="1"/>
    </xf>
    <xf numFmtId="0" fontId="12" fillId="20" borderId="28" xfId="21" applyFont="1" applyFill="1" applyBorder="1" applyAlignment="1">
      <alignment horizontal="center" vertical="center" wrapText="1"/>
    </xf>
    <xf numFmtId="0" fontId="12" fillId="20" borderId="29" xfId="21" applyFont="1" applyFill="1" applyBorder="1" applyAlignment="1">
      <alignment horizontal="center" vertical="center" wrapText="1"/>
    </xf>
    <xf numFmtId="171" fontId="12" fillId="19" borderId="2" xfId="16" applyNumberFormat="1" applyFont="1" applyFill="1" applyBorder="1" applyAlignment="1" applyProtection="1">
      <alignment horizontal="center" vertical="center"/>
    </xf>
    <xf numFmtId="171" fontId="12" fillId="19" borderId="5" xfId="16" applyNumberFormat="1" applyFont="1" applyFill="1" applyBorder="1" applyAlignment="1" applyProtection="1">
      <alignment horizontal="center" vertical="center"/>
    </xf>
    <xf numFmtId="9" fontId="33" fillId="0" borderId="55" xfId="21" applyNumberFormat="1" applyFont="1" applyBorder="1" applyAlignment="1">
      <alignment horizontal="left" vertical="center" wrapText="1"/>
    </xf>
    <xf numFmtId="9" fontId="33" fillId="0" borderId="22" xfId="21" applyNumberFormat="1" applyFont="1" applyBorder="1" applyAlignment="1">
      <alignment horizontal="left" vertical="center" wrapText="1"/>
    </xf>
    <xf numFmtId="9" fontId="33" fillId="0" borderId="61" xfId="21" applyNumberFormat="1" applyFont="1" applyBorder="1" applyAlignment="1">
      <alignment horizontal="left" vertical="center" wrapText="1"/>
    </xf>
    <xf numFmtId="9" fontId="33" fillId="0" borderId="64" xfId="21" applyNumberFormat="1" applyFont="1" applyBorder="1" applyAlignment="1">
      <alignment horizontal="left" vertical="center" wrapText="1"/>
    </xf>
    <xf numFmtId="9" fontId="33" fillId="0" borderId="0" xfId="21" applyNumberFormat="1" applyFont="1" applyAlignment="1">
      <alignment horizontal="left" vertical="center" wrapText="1"/>
    </xf>
    <xf numFmtId="9" fontId="33" fillId="0" borderId="14" xfId="21" applyNumberFormat="1" applyFont="1" applyBorder="1" applyAlignment="1">
      <alignment horizontal="left" vertical="center" wrapText="1"/>
    </xf>
    <xf numFmtId="0" fontId="37" fillId="0" borderId="43" xfId="0" applyFont="1" applyBorder="1" applyAlignment="1">
      <alignment horizontal="center" vertical="center"/>
    </xf>
    <xf numFmtId="0" fontId="37" fillId="0" borderId="45" xfId="0" applyFont="1" applyBorder="1" applyAlignment="1">
      <alignment horizontal="center" vertical="center"/>
    </xf>
    <xf numFmtId="2" fontId="11" fillId="0" borderId="10" xfId="21" applyNumberFormat="1" applyFont="1" applyBorder="1" applyAlignment="1">
      <alignment horizontal="center" vertical="center" wrapText="1"/>
    </xf>
    <xf numFmtId="2" fontId="11" fillId="0" borderId="58" xfId="21" applyNumberFormat="1" applyFont="1" applyBorder="1" applyAlignment="1">
      <alignment horizontal="center" vertical="center" wrapText="1"/>
    </xf>
    <xf numFmtId="9" fontId="33" fillId="0" borderId="59" xfId="21" applyNumberFormat="1" applyFont="1" applyBorder="1" applyAlignment="1">
      <alignment horizontal="center" vertical="center" wrapText="1"/>
    </xf>
    <xf numFmtId="9" fontId="33" fillId="0" borderId="15" xfId="21" applyNumberFormat="1" applyFont="1" applyBorder="1" applyAlignment="1">
      <alignment horizontal="center" vertical="center" wrapText="1"/>
    </xf>
    <xf numFmtId="9" fontId="33" fillId="0" borderId="16" xfId="21" applyNumberFormat="1" applyFont="1" applyBorder="1" applyAlignment="1">
      <alignment horizontal="center" vertical="center" wrapText="1"/>
    </xf>
    <xf numFmtId="0" fontId="12" fillId="24" borderId="5" xfId="0" applyFont="1" applyFill="1" applyBorder="1" applyAlignment="1">
      <alignment horizontal="left" vertical="center" wrapText="1"/>
    </xf>
    <xf numFmtId="0" fontId="12" fillId="24" borderId="1" xfId="0" applyFont="1" applyFill="1" applyBorder="1" applyAlignment="1">
      <alignment horizontal="left" vertical="center" wrapText="1"/>
    </xf>
    <xf numFmtId="0" fontId="12" fillId="24" borderId="9" xfId="0" applyFont="1" applyFill="1" applyBorder="1" applyAlignment="1">
      <alignment horizontal="left" vertical="center" wrapText="1"/>
    </xf>
    <xf numFmtId="0" fontId="12" fillId="20" borderId="15" xfId="21" applyFont="1" applyFill="1" applyBorder="1" applyAlignment="1">
      <alignment horizontal="center" vertical="center" wrapText="1"/>
    </xf>
    <xf numFmtId="0" fontId="12" fillId="19" borderId="2" xfId="21" applyFont="1" applyFill="1" applyBorder="1" applyAlignment="1">
      <alignment horizontal="center" vertical="center" wrapText="1"/>
    </xf>
    <xf numFmtId="0" fontId="12" fillId="0" borderId="26" xfId="21" applyFont="1" applyBorder="1" applyAlignment="1">
      <alignment horizontal="center" vertical="center" wrapText="1"/>
    </xf>
    <xf numFmtId="171" fontId="12" fillId="19" borderId="2" xfId="16" applyNumberFormat="1" applyFont="1" applyFill="1" applyBorder="1" applyAlignment="1" applyProtection="1">
      <alignment horizontal="center" vertical="center" wrapText="1"/>
    </xf>
    <xf numFmtId="171" fontId="12" fillId="19" borderId="5" xfId="16" applyNumberFormat="1" applyFont="1" applyFill="1" applyBorder="1" applyAlignment="1" applyProtection="1">
      <alignment horizontal="center" vertical="center" wrapText="1"/>
    </xf>
    <xf numFmtId="0" fontId="12" fillId="0" borderId="18" xfId="21" applyFont="1" applyBorder="1" applyAlignment="1">
      <alignment horizontal="center" vertical="center" wrapText="1"/>
    </xf>
    <xf numFmtId="0" fontId="12" fillId="0" borderId="57" xfId="21" applyFont="1" applyBorder="1" applyAlignment="1">
      <alignment horizontal="center" vertical="center" wrapText="1"/>
    </xf>
    <xf numFmtId="0" fontId="33" fillId="0" borderId="1" xfId="21" applyFont="1" applyBorder="1" applyAlignment="1">
      <alignment horizontal="left" vertical="center" wrapText="1"/>
    </xf>
    <xf numFmtId="0" fontId="33" fillId="0" borderId="9" xfId="21" applyFont="1" applyBorder="1" applyAlignment="1">
      <alignment horizontal="left" vertical="center" wrapText="1"/>
    </xf>
    <xf numFmtId="2" fontId="11" fillId="0" borderId="18" xfId="21" applyNumberFormat="1" applyFont="1" applyBorder="1" applyAlignment="1">
      <alignment horizontal="center" vertical="center" wrapText="1"/>
    </xf>
    <xf numFmtId="2" fontId="11" fillId="0" borderId="32" xfId="21" applyNumberFormat="1" applyFont="1" applyBorder="1" applyAlignment="1">
      <alignment horizontal="center" vertical="center" wrapText="1"/>
    </xf>
    <xf numFmtId="2" fontId="11" fillId="0" borderId="35" xfId="21" applyNumberFormat="1" applyFont="1" applyBorder="1" applyAlignment="1">
      <alignment horizontal="center" vertical="center" wrapText="1"/>
    </xf>
    <xf numFmtId="2" fontId="11" fillId="0" borderId="4" xfId="21" applyNumberFormat="1" applyFont="1" applyBorder="1" applyAlignment="1">
      <alignment horizontal="center" vertical="center" wrapText="1"/>
    </xf>
    <xf numFmtId="2" fontId="11" fillId="0" borderId="32" xfId="21" applyNumberFormat="1" applyFont="1" applyBorder="1" applyAlignment="1">
      <alignment vertical="center" wrapText="1"/>
    </xf>
    <xf numFmtId="2" fontId="11" fillId="0" borderId="8" xfId="21" applyNumberFormat="1" applyFont="1" applyBorder="1" applyAlignment="1">
      <alignment vertical="center" wrapText="1"/>
    </xf>
    <xf numFmtId="0" fontId="32" fillId="0" borderId="0" xfId="0" applyFont="1" applyAlignment="1">
      <alignment horizontal="right" vertical="center"/>
    </xf>
    <xf numFmtId="0" fontId="34" fillId="0" borderId="0" xfId="0" applyFont="1" applyAlignment="1">
      <alignment horizontal="right" vertical="center"/>
    </xf>
    <xf numFmtId="0" fontId="12" fillId="0" borderId="2" xfId="0" applyFont="1" applyBorder="1" applyAlignment="1">
      <alignment horizontal="left" vertical="center" wrapText="1"/>
    </xf>
    <xf numFmtId="0" fontId="12" fillId="0" borderId="56" xfId="0" applyFont="1" applyBorder="1" applyAlignment="1">
      <alignment horizontal="left" vertical="center" wrapText="1"/>
    </xf>
    <xf numFmtId="0" fontId="34" fillId="0" borderId="1" xfId="0" applyFont="1" applyBorder="1" applyAlignment="1">
      <alignment horizontal="center" vertical="center"/>
    </xf>
    <xf numFmtId="0" fontId="12" fillId="0" borderId="1" xfId="0" applyFont="1" applyBorder="1" applyAlignment="1">
      <alignment vertical="center" wrapText="1"/>
    </xf>
    <xf numFmtId="0" fontId="34" fillId="0" borderId="55" xfId="0" applyFont="1" applyBorder="1" applyAlignment="1">
      <alignment vertical="center" wrapText="1"/>
    </xf>
    <xf numFmtId="0" fontId="34" fillId="0" borderId="22" xfId="0" applyFont="1" applyBorder="1" applyAlignment="1">
      <alignment vertical="center" wrapText="1"/>
    </xf>
    <xf numFmtId="0" fontId="34" fillId="0" borderId="23" xfId="0" applyFont="1" applyBorder="1" applyAlignment="1">
      <alignment vertical="center" wrapText="1"/>
    </xf>
    <xf numFmtId="0" fontId="13" fillId="19" borderId="4" xfId="0" applyFont="1" applyFill="1" applyBorder="1" applyAlignment="1">
      <alignment horizontal="center" vertical="center"/>
    </xf>
    <xf numFmtId="0" fontId="13" fillId="19" borderId="1" xfId="0" applyFont="1" applyFill="1" applyBorder="1" applyAlignment="1">
      <alignment horizontal="center" vertical="center"/>
    </xf>
    <xf numFmtId="0" fontId="12" fillId="9" borderId="1" xfId="0" applyFont="1" applyFill="1" applyBorder="1" applyAlignment="1">
      <alignment horizontal="left" vertical="center"/>
    </xf>
    <xf numFmtId="0" fontId="12" fillId="9" borderId="2"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2" fillId="9" borderId="56" xfId="0" applyFont="1" applyFill="1" applyBorder="1" applyAlignment="1">
      <alignment horizontal="center" vertical="center" wrapText="1"/>
    </xf>
    <xf numFmtId="0" fontId="12" fillId="9" borderId="2" xfId="0" applyFont="1" applyFill="1" applyBorder="1" applyAlignment="1">
      <alignment horizontal="left" vertical="center" wrapText="1"/>
    </xf>
    <xf numFmtId="0" fontId="12" fillId="9" borderId="56" xfId="0" applyFont="1" applyFill="1" applyBorder="1" applyAlignment="1">
      <alignment horizontal="left" vertical="center" wrapText="1"/>
    </xf>
    <xf numFmtId="0" fontId="12" fillId="9" borderId="5" xfId="0" applyFont="1" applyFill="1" applyBorder="1" applyAlignment="1">
      <alignment horizontal="left" vertical="center" wrapText="1"/>
    </xf>
    <xf numFmtId="0" fontId="12" fillId="9" borderId="94" xfId="0" applyFont="1" applyFill="1" applyBorder="1" applyAlignment="1">
      <alignment horizontal="center" vertical="center" wrapText="1"/>
    </xf>
    <xf numFmtId="0" fontId="12" fillId="9" borderId="32" xfId="0" applyFont="1" applyFill="1" applyBorder="1" applyAlignment="1">
      <alignment horizontal="center" vertical="center" wrapText="1"/>
    </xf>
    <xf numFmtId="0" fontId="12" fillId="9" borderId="41" xfId="0" applyFont="1" applyFill="1" applyBorder="1" applyAlignment="1">
      <alignment horizontal="center" vertical="center" wrapText="1"/>
    </xf>
    <xf numFmtId="0" fontId="12" fillId="9" borderId="46" xfId="0" applyFont="1" applyFill="1" applyBorder="1" applyAlignment="1">
      <alignment horizontal="center" vertical="center" wrapText="1"/>
    </xf>
    <xf numFmtId="0" fontId="12" fillId="9" borderId="63" xfId="0" applyFont="1" applyFill="1" applyBorder="1" applyAlignment="1">
      <alignment horizontal="center" vertical="center" wrapText="1"/>
    </xf>
    <xf numFmtId="0" fontId="12" fillId="9" borderId="51" xfId="0" applyFont="1" applyFill="1" applyBorder="1" applyAlignment="1">
      <alignment horizontal="center" vertical="center" wrapText="1"/>
    </xf>
    <xf numFmtId="0" fontId="34" fillId="0" borderId="52" xfId="0" applyFont="1" applyBorder="1" applyAlignment="1">
      <alignment horizontal="center" vertical="center"/>
    </xf>
    <xf numFmtId="0" fontId="34" fillId="0" borderId="56" xfId="0" applyFont="1" applyBorder="1" applyAlignment="1">
      <alignment horizontal="center" vertical="center"/>
    </xf>
    <xf numFmtId="0" fontId="34" fillId="0" borderId="5" xfId="0" applyFont="1" applyBorder="1" applyAlignment="1">
      <alignment horizontal="center" vertical="center"/>
    </xf>
    <xf numFmtId="0" fontId="34" fillId="0" borderId="30" xfId="0" applyFont="1" applyBorder="1" applyAlignment="1">
      <alignment horizontal="center" vertical="center"/>
    </xf>
    <xf numFmtId="0" fontId="34" fillId="0" borderId="22" xfId="0" applyFont="1" applyBorder="1" applyAlignment="1">
      <alignment horizontal="center" vertical="center"/>
    </xf>
    <xf numFmtId="0" fontId="34" fillId="0" borderId="23" xfId="0" applyFont="1" applyBorder="1" applyAlignment="1">
      <alignment horizontal="center" vertical="center"/>
    </xf>
    <xf numFmtId="0" fontId="34" fillId="0" borderId="6" xfId="0" applyFont="1" applyBorder="1" applyAlignment="1">
      <alignment horizontal="center" vertical="center"/>
    </xf>
    <xf numFmtId="0" fontId="34" fillId="0" borderId="3" xfId="0" applyFont="1" applyBorder="1" applyAlignment="1">
      <alignment horizontal="center" vertical="center"/>
    </xf>
    <xf numFmtId="0" fontId="34" fillId="0" borderId="25" xfId="0" applyFont="1" applyBorder="1" applyAlignment="1">
      <alignment horizontal="center" vertical="center"/>
    </xf>
    <xf numFmtId="0" fontId="34" fillId="9" borderId="50" xfId="0" applyFont="1" applyFill="1" applyBorder="1" applyAlignment="1">
      <alignment horizontal="center" vertical="center" wrapText="1"/>
    </xf>
    <xf numFmtId="0" fontId="34" fillId="9" borderId="51" xfId="0" applyFont="1" applyFill="1" applyBorder="1" applyAlignment="1">
      <alignment horizontal="center" vertical="center" wrapText="1"/>
    </xf>
    <xf numFmtId="0" fontId="34" fillId="0" borderId="1" xfId="0" applyFont="1" applyBorder="1" applyAlignment="1">
      <alignment horizontal="left" vertical="center" wrapText="1"/>
    </xf>
    <xf numFmtId="0" fontId="34" fillId="0" borderId="9" xfId="0" applyFont="1" applyBorder="1" applyAlignment="1">
      <alignment horizontal="left" vertical="center" wrapText="1"/>
    </xf>
    <xf numFmtId="0" fontId="34" fillId="0" borderId="50" xfId="0" applyFont="1" applyBorder="1" applyAlignment="1">
      <alignment horizontal="center" vertical="center"/>
    </xf>
    <xf numFmtId="0" fontId="34" fillId="0" borderId="63" xfId="0" applyFont="1" applyBorder="1" applyAlignment="1">
      <alignment horizontal="center" vertical="center"/>
    </xf>
    <xf numFmtId="0" fontId="34" fillId="0" borderId="46" xfId="0" applyFont="1" applyBorder="1" applyAlignment="1">
      <alignment horizontal="center" vertical="center"/>
    </xf>
    <xf numFmtId="0" fontId="34" fillId="9" borderId="83" xfId="0" applyFont="1" applyFill="1" applyBorder="1" applyAlignment="1">
      <alignment horizontal="center" vertical="center" wrapText="1"/>
    </xf>
    <xf numFmtId="0" fontId="34" fillId="9" borderId="84" xfId="0" applyFont="1" applyFill="1" applyBorder="1" applyAlignment="1">
      <alignment horizontal="center" vertical="center" wrapText="1"/>
    </xf>
    <xf numFmtId="0" fontId="34" fillId="9" borderId="34" xfId="0" applyFont="1" applyFill="1" applyBorder="1" applyAlignment="1">
      <alignment horizontal="center" vertical="center" wrapText="1"/>
    </xf>
    <xf numFmtId="0" fontId="34" fillId="0" borderId="1" xfId="0" applyFont="1" applyBorder="1" applyAlignment="1">
      <alignment horizontal="center" vertical="center" wrapText="1"/>
    </xf>
    <xf numFmtId="0" fontId="34" fillId="9" borderId="10" xfId="0" applyFont="1" applyFill="1" applyBorder="1" applyAlignment="1">
      <alignment horizontal="center" vertical="center" wrapText="1"/>
    </xf>
    <xf numFmtId="0" fontId="34" fillId="9" borderId="35" xfId="0" applyFont="1" applyFill="1" applyBorder="1" applyAlignment="1">
      <alignment horizontal="center" vertical="center" wrapText="1"/>
    </xf>
    <xf numFmtId="0" fontId="34" fillId="9" borderId="24" xfId="0" applyFont="1" applyFill="1" applyBorder="1" applyAlignment="1">
      <alignment horizontal="center" vertical="center" wrapText="1"/>
    </xf>
    <xf numFmtId="0" fontId="34" fillId="9" borderId="25" xfId="0" applyFont="1" applyFill="1" applyBorder="1" applyAlignment="1">
      <alignment horizontal="center" vertical="center" wrapText="1"/>
    </xf>
    <xf numFmtId="0" fontId="34" fillId="9" borderId="55" xfId="0" applyFont="1" applyFill="1" applyBorder="1" applyAlignment="1">
      <alignment horizontal="center" vertical="center"/>
    </xf>
    <xf numFmtId="0" fontId="34" fillId="9" borderId="22" xfId="0" applyFont="1" applyFill="1" applyBorder="1" applyAlignment="1">
      <alignment horizontal="center" vertical="center"/>
    </xf>
    <xf numFmtId="0" fontId="34" fillId="9" borderId="23" xfId="0" applyFont="1" applyFill="1" applyBorder="1" applyAlignment="1">
      <alignment horizontal="center" vertical="center"/>
    </xf>
    <xf numFmtId="0" fontId="34" fillId="9" borderId="64" xfId="0" applyFont="1" applyFill="1" applyBorder="1" applyAlignment="1">
      <alignment horizontal="center" vertical="center"/>
    </xf>
    <xf numFmtId="0" fontId="34" fillId="9" borderId="0" xfId="0" applyFont="1" applyFill="1" applyAlignment="1">
      <alignment horizontal="center" vertical="center"/>
    </xf>
    <xf numFmtId="0" fontId="34" fillId="9" borderId="24" xfId="0" applyFont="1" applyFill="1" applyBorder="1" applyAlignment="1">
      <alignment horizontal="center" vertical="center"/>
    </xf>
    <xf numFmtId="0" fontId="34" fillId="9" borderId="20" xfId="0" applyFont="1" applyFill="1" applyBorder="1" applyAlignment="1">
      <alignment horizontal="center" vertical="center"/>
    </xf>
    <xf numFmtId="0" fontId="34" fillId="9" borderId="3" xfId="0" applyFont="1" applyFill="1" applyBorder="1" applyAlignment="1">
      <alignment horizontal="center" vertical="center"/>
    </xf>
    <xf numFmtId="0" fontId="32" fillId="0" borderId="20" xfId="0" applyFont="1" applyBorder="1" applyAlignment="1">
      <alignment horizontal="left" vertical="center"/>
    </xf>
    <xf numFmtId="0" fontId="32" fillId="0" borderId="3" xfId="0" applyFont="1" applyBorder="1" applyAlignment="1">
      <alignment horizontal="left" vertical="center"/>
    </xf>
    <xf numFmtId="0" fontId="32" fillId="0" borderId="56" xfId="0" applyFont="1" applyBorder="1" applyAlignment="1">
      <alignment horizontal="left" vertical="center"/>
    </xf>
    <xf numFmtId="0" fontId="32" fillId="0" borderId="5" xfId="0" applyFont="1" applyBorder="1" applyAlignment="1">
      <alignment horizontal="left" vertical="center"/>
    </xf>
    <xf numFmtId="0" fontId="34" fillId="9" borderId="2" xfId="0" applyFont="1" applyFill="1" applyBorder="1" applyAlignment="1">
      <alignment horizontal="center" vertical="center" wrapText="1"/>
    </xf>
    <xf numFmtId="0" fontId="34" fillId="9" borderId="5" xfId="0" applyFont="1" applyFill="1" applyBorder="1" applyAlignment="1">
      <alignment horizontal="center" vertical="center" wrapText="1"/>
    </xf>
    <xf numFmtId="3" fontId="12" fillId="19" borderId="21" xfId="21" applyNumberFormat="1" applyFont="1" applyFill="1" applyBorder="1" applyAlignment="1">
      <alignment horizontal="left" vertical="center" wrapText="1"/>
    </xf>
    <xf numFmtId="3" fontId="12" fillId="19" borderId="65" xfId="21" applyNumberFormat="1" applyFont="1" applyFill="1" applyBorder="1" applyAlignment="1">
      <alignment horizontal="left" vertical="center" wrapText="1"/>
    </xf>
    <xf numFmtId="3" fontId="12" fillId="19" borderId="49" xfId="21" applyNumberFormat="1" applyFont="1" applyFill="1" applyBorder="1" applyAlignment="1">
      <alignment horizontal="left" vertical="center" wrapText="1"/>
    </xf>
    <xf numFmtId="3" fontId="34" fillId="9" borderId="50" xfId="0" applyNumberFormat="1" applyFont="1" applyFill="1" applyBorder="1" applyAlignment="1">
      <alignment horizontal="center" vertical="center"/>
    </xf>
    <xf numFmtId="3" fontId="34" fillId="9" borderId="63" xfId="0" applyNumberFormat="1" applyFont="1" applyFill="1" applyBorder="1" applyAlignment="1">
      <alignment horizontal="center" vertical="center"/>
    </xf>
    <xf numFmtId="3" fontId="34" fillId="9" borderId="51" xfId="0" applyNumberFormat="1" applyFont="1" applyFill="1" applyBorder="1" applyAlignment="1">
      <alignment horizontal="center" vertical="center"/>
    </xf>
    <xf numFmtId="0" fontId="12" fillId="19" borderId="2" xfId="21" applyFont="1" applyFill="1" applyBorder="1" applyAlignment="1">
      <alignment horizontal="left" vertical="center" wrapText="1"/>
    </xf>
    <xf numFmtId="0" fontId="12" fillId="19" borderId="56" xfId="21" applyFont="1" applyFill="1" applyBorder="1" applyAlignment="1">
      <alignment horizontal="left" vertical="center" wrapText="1"/>
    </xf>
    <xf numFmtId="0" fontId="12" fillId="19" borderId="5" xfId="21" applyFont="1" applyFill="1" applyBorder="1" applyAlignment="1">
      <alignment horizontal="left" vertical="center" wrapText="1"/>
    </xf>
    <xf numFmtId="0" fontId="34" fillId="9" borderId="4" xfId="0" applyFont="1" applyFill="1" applyBorder="1" applyAlignment="1">
      <alignment horizontal="center" vertical="center" wrapText="1"/>
    </xf>
    <xf numFmtId="3" fontId="34" fillId="9" borderId="40" xfId="0" applyNumberFormat="1" applyFont="1" applyFill="1" applyBorder="1" applyAlignment="1">
      <alignment horizontal="center" vertical="center"/>
    </xf>
    <xf numFmtId="3" fontId="34" fillId="9" borderId="47" xfId="0" applyNumberFormat="1" applyFont="1" applyFill="1" applyBorder="1" applyAlignment="1">
      <alignment horizontal="center" vertical="center"/>
    </xf>
    <xf numFmtId="3" fontId="34" fillId="9" borderId="48" xfId="0" applyNumberFormat="1" applyFont="1" applyFill="1" applyBorder="1" applyAlignment="1">
      <alignment horizontal="center" vertical="center"/>
    </xf>
    <xf numFmtId="3" fontId="12" fillId="19" borderId="2" xfId="21" applyNumberFormat="1" applyFont="1" applyFill="1" applyBorder="1" applyAlignment="1">
      <alignment horizontal="left" vertical="center" wrapText="1"/>
    </xf>
    <xf numFmtId="3" fontId="12" fillId="19" borderId="56" xfId="21" applyNumberFormat="1" applyFont="1" applyFill="1" applyBorder="1" applyAlignment="1">
      <alignment horizontal="left" vertical="center" wrapText="1"/>
    </xf>
    <xf numFmtId="3" fontId="12" fillId="19" borderId="5" xfId="21" applyNumberFormat="1" applyFont="1" applyFill="1" applyBorder="1" applyAlignment="1">
      <alignment horizontal="left" vertical="center" wrapText="1"/>
    </xf>
    <xf numFmtId="0" fontId="12" fillId="23" borderId="55" xfId="21" applyFont="1" applyFill="1" applyBorder="1" applyAlignment="1">
      <alignment horizontal="center" vertical="center" wrapText="1"/>
    </xf>
    <xf numFmtId="0" fontId="12" fillId="23" borderId="22" xfId="21" applyFont="1" applyFill="1" applyBorder="1" applyAlignment="1">
      <alignment horizontal="center" vertical="center" wrapText="1"/>
    </xf>
    <xf numFmtId="0" fontId="12" fillId="23" borderId="23" xfId="21" applyFont="1" applyFill="1" applyBorder="1" applyAlignment="1">
      <alignment horizontal="center" vertical="center" wrapText="1"/>
    </xf>
    <xf numFmtId="0" fontId="12" fillId="23" borderId="64" xfId="21" applyFont="1" applyFill="1" applyBorder="1" applyAlignment="1">
      <alignment horizontal="center" vertical="center" wrapText="1"/>
    </xf>
    <xf numFmtId="0" fontId="12" fillId="23" borderId="0" xfId="21" applyFont="1" applyFill="1" applyAlignment="1">
      <alignment horizontal="center" vertical="center" wrapText="1"/>
    </xf>
    <xf numFmtId="0" fontId="12" fillId="23" borderId="24" xfId="21" applyFont="1" applyFill="1" applyBorder="1" applyAlignment="1">
      <alignment horizontal="center" vertical="center" wrapText="1"/>
    </xf>
    <xf numFmtId="0" fontId="12" fillId="23" borderId="59" xfId="21" applyFont="1" applyFill="1" applyBorder="1" applyAlignment="1">
      <alignment horizontal="center" vertical="center" wrapText="1"/>
    </xf>
    <xf numFmtId="0" fontId="12" fillId="23" borderId="15" xfId="21" applyFont="1" applyFill="1" applyBorder="1" applyAlignment="1">
      <alignment horizontal="center" vertical="center" wrapText="1"/>
    </xf>
    <xf numFmtId="0" fontId="12" fillId="23" borderId="60" xfId="21" applyFont="1" applyFill="1" applyBorder="1" applyAlignment="1">
      <alignment horizontal="center" vertical="center" wrapText="1"/>
    </xf>
    <xf numFmtId="0" fontId="12" fillId="19" borderId="21" xfId="21" applyFont="1" applyFill="1" applyBorder="1" applyAlignment="1">
      <alignment horizontal="left" vertical="center" wrapText="1"/>
    </xf>
    <xf numFmtId="0" fontId="12" fillId="19" borderId="65" xfId="21" applyFont="1" applyFill="1" applyBorder="1" applyAlignment="1">
      <alignment horizontal="left" vertical="center" wrapText="1"/>
    </xf>
    <xf numFmtId="0" fontId="12" fillId="19" borderId="49" xfId="21" applyFont="1" applyFill="1" applyBorder="1" applyAlignment="1">
      <alignment horizontal="left" vertical="center" wrapText="1"/>
    </xf>
    <xf numFmtId="0" fontId="32" fillId="0" borderId="50" xfId="0" applyFont="1" applyBorder="1" applyAlignment="1">
      <alignment horizontal="left" vertical="center"/>
    </xf>
    <xf numFmtId="0" fontId="32" fillId="0" borderId="63" xfId="0" applyFont="1" applyBorder="1" applyAlignment="1">
      <alignment horizontal="left" vertical="center"/>
    </xf>
    <xf numFmtId="0" fontId="32" fillId="0" borderId="51" xfId="0" applyFont="1" applyBorder="1" applyAlignment="1">
      <alignment horizontal="left" vertical="center"/>
    </xf>
    <xf numFmtId="0" fontId="12" fillId="19" borderId="54" xfId="21" applyFont="1" applyFill="1" applyBorder="1" applyAlignment="1">
      <alignment horizontal="left" vertical="center" wrapText="1"/>
    </xf>
    <xf numFmtId="0" fontId="34" fillId="9" borderId="52" xfId="0" applyFont="1" applyFill="1" applyBorder="1" applyAlignment="1">
      <alignment horizontal="left" vertical="center"/>
    </xf>
    <xf numFmtId="0" fontId="34" fillId="9" borderId="56" xfId="0" applyFont="1" applyFill="1" applyBorder="1" applyAlignment="1">
      <alignment horizontal="left" vertical="center"/>
    </xf>
    <xf numFmtId="0" fontId="34" fillId="9" borderId="5" xfId="0" applyFont="1" applyFill="1" applyBorder="1" applyAlignment="1">
      <alignment horizontal="left" vertical="center"/>
    </xf>
    <xf numFmtId="0" fontId="32" fillId="0" borderId="2" xfId="0" applyFont="1" applyBorder="1" applyAlignment="1">
      <alignment horizontal="left" vertical="center" wrapText="1"/>
    </xf>
    <xf numFmtId="0" fontId="32" fillId="0" borderId="22" xfId="0" applyFont="1" applyBorder="1" applyAlignment="1">
      <alignment horizontal="left" vertical="center"/>
    </xf>
    <xf numFmtId="0" fontId="32" fillId="0" borderId="23" xfId="0" applyFont="1" applyBorder="1" applyAlignment="1">
      <alignment horizontal="left" vertical="center"/>
    </xf>
    <xf numFmtId="3" fontId="12" fillId="23" borderId="55" xfId="21" applyNumberFormat="1" applyFont="1" applyFill="1" applyBorder="1" applyAlignment="1">
      <alignment horizontal="center" vertical="center" wrapText="1"/>
    </xf>
    <xf numFmtId="3" fontId="12" fillId="23" borderId="22" xfId="21" applyNumberFormat="1" applyFont="1" applyFill="1" applyBorder="1" applyAlignment="1">
      <alignment horizontal="center" vertical="center" wrapText="1"/>
    </xf>
    <xf numFmtId="3" fontId="12" fillId="23" borderId="23" xfId="21" applyNumberFormat="1" applyFont="1" applyFill="1" applyBorder="1" applyAlignment="1">
      <alignment horizontal="center" vertical="center" wrapText="1"/>
    </xf>
    <xf numFmtId="3" fontId="12" fillId="23" borderId="64" xfId="21" applyNumberFormat="1" applyFont="1" applyFill="1" applyBorder="1" applyAlignment="1">
      <alignment horizontal="center" vertical="center" wrapText="1"/>
    </xf>
    <xf numFmtId="3" fontId="12" fillId="23" borderId="0" xfId="21" applyNumberFormat="1" applyFont="1" applyFill="1" applyAlignment="1">
      <alignment horizontal="center" vertical="center" wrapText="1"/>
    </xf>
    <xf numFmtId="3" fontId="12" fillId="23" borderId="24" xfId="21" applyNumberFormat="1" applyFont="1" applyFill="1" applyBorder="1" applyAlignment="1">
      <alignment horizontal="center" vertical="center" wrapText="1"/>
    </xf>
    <xf numFmtId="3" fontId="12" fillId="23" borderId="59" xfId="21" applyNumberFormat="1" applyFont="1" applyFill="1" applyBorder="1" applyAlignment="1">
      <alignment horizontal="center" vertical="center" wrapText="1"/>
    </xf>
    <xf numFmtId="3" fontId="12" fillId="23" borderId="15" xfId="21" applyNumberFormat="1" applyFont="1" applyFill="1" applyBorder="1" applyAlignment="1">
      <alignment horizontal="center" vertical="center" wrapText="1"/>
    </xf>
    <xf numFmtId="3" fontId="12" fillId="23" borderId="60" xfId="21" applyNumberFormat="1" applyFont="1" applyFill="1" applyBorder="1" applyAlignment="1">
      <alignment horizontal="center" vertical="center" wrapText="1"/>
    </xf>
    <xf numFmtId="0" fontId="34" fillId="23" borderId="30" xfId="21" applyFont="1" applyFill="1" applyBorder="1" applyAlignment="1">
      <alignment horizontal="center" vertical="center" wrapText="1"/>
    </xf>
    <xf numFmtId="0" fontId="34" fillId="23" borderId="22" xfId="21" applyFont="1" applyFill="1" applyBorder="1" applyAlignment="1">
      <alignment horizontal="center" vertical="center" wrapText="1"/>
    </xf>
    <xf numFmtId="0" fontId="34" fillId="23" borderId="23" xfId="21" applyFont="1" applyFill="1" applyBorder="1" applyAlignment="1">
      <alignment horizontal="center" vertical="center" wrapText="1"/>
    </xf>
    <xf numFmtId="0" fontId="34" fillId="23" borderId="13" xfId="21" applyFont="1" applyFill="1" applyBorder="1" applyAlignment="1">
      <alignment horizontal="center" vertical="center" wrapText="1"/>
    </xf>
    <xf numFmtId="0" fontId="34" fillId="23" borderId="0" xfId="21" applyFont="1" applyFill="1" applyAlignment="1">
      <alignment horizontal="center" vertical="center" wrapText="1"/>
    </xf>
    <xf numFmtId="0" fontId="34" fillId="23" borderId="24" xfId="21" applyFont="1" applyFill="1" applyBorder="1" applyAlignment="1">
      <alignment horizontal="center" vertical="center" wrapText="1"/>
    </xf>
    <xf numFmtId="0" fontId="34" fillId="23" borderId="39" xfId="21" applyFont="1" applyFill="1" applyBorder="1" applyAlignment="1">
      <alignment horizontal="center" vertical="center" wrapText="1"/>
    </xf>
    <xf numFmtId="0" fontId="34" fillId="23" borderId="15" xfId="21" applyFont="1" applyFill="1" applyBorder="1" applyAlignment="1">
      <alignment horizontal="center" vertical="center" wrapText="1"/>
    </xf>
    <xf numFmtId="0" fontId="34" fillId="23" borderId="60" xfId="21" applyFont="1" applyFill="1" applyBorder="1" applyAlignment="1">
      <alignment horizontal="center" vertical="center" wrapText="1"/>
    </xf>
    <xf numFmtId="0" fontId="34" fillId="9" borderId="55" xfId="0" applyFont="1" applyFill="1" applyBorder="1" applyAlignment="1">
      <alignment horizontal="center" vertical="center" wrapText="1"/>
    </xf>
    <xf numFmtId="0" fontId="34" fillId="9" borderId="20" xfId="0" applyFont="1" applyFill="1" applyBorder="1" applyAlignment="1">
      <alignment horizontal="center" vertical="center" wrapText="1"/>
    </xf>
    <xf numFmtId="0" fontId="34" fillId="9" borderId="56" xfId="0" applyFont="1" applyFill="1" applyBorder="1" applyAlignment="1">
      <alignment horizontal="center" vertical="center" wrapText="1"/>
    </xf>
    <xf numFmtId="0" fontId="34" fillId="9" borderId="52" xfId="0" applyFont="1" applyFill="1" applyBorder="1" applyAlignment="1">
      <alignment horizontal="center" vertical="center" wrapText="1"/>
    </xf>
    <xf numFmtId="0" fontId="12" fillId="19" borderId="26" xfId="21" applyFont="1" applyFill="1" applyBorder="1" applyAlignment="1">
      <alignment horizontal="left" vertical="center" wrapText="1"/>
    </xf>
    <xf numFmtId="0" fontId="34" fillId="9" borderId="6" xfId="0" applyFont="1" applyFill="1" applyBorder="1" applyAlignment="1">
      <alignment horizontal="left" vertical="center"/>
    </xf>
    <xf numFmtId="0" fontId="34" fillId="9" borderId="3" xfId="0" applyFont="1" applyFill="1" applyBorder="1" applyAlignment="1">
      <alignment horizontal="left" vertical="center"/>
    </xf>
    <xf numFmtId="0" fontId="34" fillId="9" borderId="25" xfId="0" applyFont="1" applyFill="1" applyBorder="1" applyAlignment="1">
      <alignment horizontal="left" vertical="center"/>
    </xf>
    <xf numFmtId="0" fontId="34" fillId="9" borderId="52" xfId="0" applyFont="1" applyFill="1" applyBorder="1" applyAlignment="1">
      <alignment horizontal="center" vertical="center"/>
    </xf>
    <xf numFmtId="0" fontId="34" fillId="9" borderId="56" xfId="0" applyFont="1" applyFill="1" applyBorder="1" applyAlignment="1">
      <alignment horizontal="center" vertical="center"/>
    </xf>
    <xf numFmtId="0" fontId="34" fillId="9" borderId="5" xfId="0" applyFont="1" applyFill="1" applyBorder="1" applyAlignment="1">
      <alignment horizontal="center" vertical="center"/>
    </xf>
    <xf numFmtId="0" fontId="34" fillId="9" borderId="8" xfId="0" applyFont="1" applyFill="1" applyBorder="1" applyAlignment="1">
      <alignment horizontal="center" vertical="center"/>
    </xf>
    <xf numFmtId="0" fontId="34" fillId="9" borderId="1" xfId="0" applyFont="1" applyFill="1" applyBorder="1" applyAlignment="1">
      <alignment horizontal="center" vertical="center"/>
    </xf>
    <xf numFmtId="14" fontId="40" fillId="0" borderId="1" xfId="0" applyNumberFormat="1" applyFont="1" applyBorder="1" applyAlignment="1">
      <alignment horizontal="center" vertical="center"/>
    </xf>
    <xf numFmtId="0" fontId="40" fillId="0" borderId="1" xfId="0" applyFont="1" applyBorder="1" applyAlignment="1">
      <alignment horizontal="center" vertical="center"/>
    </xf>
    <xf numFmtId="0" fontId="31" fillId="26" borderId="36" xfId="0" applyFont="1" applyFill="1" applyBorder="1" applyAlignment="1">
      <alignment horizontal="center" vertical="center"/>
    </xf>
    <xf numFmtId="0" fontId="31" fillId="26" borderId="37" xfId="0" applyFont="1" applyFill="1" applyBorder="1" applyAlignment="1">
      <alignment horizontal="center" vertical="center"/>
    </xf>
    <xf numFmtId="0" fontId="31" fillId="26" borderId="38" xfId="0" applyFont="1" applyFill="1" applyBorder="1" applyAlignment="1">
      <alignment horizontal="center" vertical="center"/>
    </xf>
    <xf numFmtId="0" fontId="31" fillId="26" borderId="8" xfId="0" applyFont="1" applyFill="1" applyBorder="1" applyAlignment="1">
      <alignment horizontal="left" vertical="center"/>
    </xf>
    <xf numFmtId="0" fontId="31" fillId="26" borderId="1" xfId="0" applyFont="1" applyFill="1" applyBorder="1" applyAlignment="1">
      <alignment horizontal="left" vertical="center"/>
    </xf>
    <xf numFmtId="0" fontId="31" fillId="26" borderId="31" xfId="0" applyFont="1" applyFill="1" applyBorder="1" applyAlignment="1">
      <alignment horizontal="left" vertical="center"/>
    </xf>
    <xf numFmtId="0" fontId="31" fillId="26" borderId="19" xfId="0" applyFont="1" applyFill="1" applyBorder="1" applyAlignment="1">
      <alignment horizontal="left" vertical="center"/>
    </xf>
    <xf numFmtId="44" fontId="31" fillId="0" borderId="0" xfId="34" applyFont="1" applyAlignment="1">
      <alignment horizontal="center"/>
    </xf>
    <xf numFmtId="44" fontId="31" fillId="0" borderId="0" xfId="34" applyFont="1" applyAlignment="1">
      <alignment horizontal="center" vertical="center"/>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34" fillId="21" borderId="2" xfId="0" applyFont="1" applyFill="1" applyBorder="1" applyAlignment="1">
      <alignment horizontal="center" vertical="center"/>
    </xf>
    <xf numFmtId="0" fontId="34" fillId="21" borderId="5" xfId="0" applyFont="1" applyFill="1" applyBorder="1" applyAlignment="1">
      <alignment horizontal="center" vertical="center"/>
    </xf>
    <xf numFmtId="0" fontId="34" fillId="0" borderId="2" xfId="0" applyFont="1" applyBorder="1" applyAlignment="1">
      <alignment horizontal="left" vertical="center" wrapText="1"/>
    </xf>
    <xf numFmtId="0" fontId="34" fillId="0" borderId="5" xfId="0" applyFont="1" applyBorder="1" applyAlignment="1">
      <alignment horizontal="left" vertical="center" wrapText="1"/>
    </xf>
    <xf numFmtId="0" fontId="32" fillId="0" borderId="10" xfId="0" applyFont="1" applyBorder="1" applyAlignment="1">
      <alignment horizontal="left" vertical="center" wrapText="1"/>
    </xf>
    <xf numFmtId="0" fontId="32" fillId="0" borderId="35" xfId="0" applyFont="1" applyBorder="1" applyAlignment="1">
      <alignment horizontal="left" vertical="center" wrapText="1"/>
    </xf>
    <xf numFmtId="0" fontId="32" fillId="0" borderId="4" xfId="0" applyFont="1" applyBorder="1" applyAlignment="1">
      <alignment horizontal="left" vertical="center" wrapText="1"/>
    </xf>
    <xf numFmtId="41" fontId="32" fillId="0" borderId="55" xfId="12" applyFont="1" applyFill="1" applyBorder="1" applyAlignment="1">
      <alignment horizontal="left" vertical="center"/>
    </xf>
    <xf numFmtId="41" fontId="32" fillId="0" borderId="64" xfId="12" applyFont="1" applyFill="1" applyBorder="1" applyAlignment="1">
      <alignment horizontal="left" vertical="center"/>
    </xf>
    <xf numFmtId="41" fontId="32" fillId="0" borderId="20" xfId="12" applyFont="1" applyFill="1" applyBorder="1" applyAlignment="1">
      <alignment horizontal="left" vertical="center"/>
    </xf>
    <xf numFmtId="0" fontId="0" fillId="13" borderId="1" xfId="0" applyFill="1" applyBorder="1" applyAlignment="1">
      <alignment horizontal="center"/>
    </xf>
    <xf numFmtId="0" fontId="0" fillId="0" borderId="24"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42"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8" borderId="24" xfId="0" applyFill="1" applyBorder="1" applyAlignment="1">
      <alignment horizontal="center"/>
    </xf>
    <xf numFmtId="9" fontId="32" fillId="19" borderId="1" xfId="21" applyNumberFormat="1" applyFont="1" applyFill="1" applyBorder="1" applyAlignment="1">
      <alignment horizontal="justify" vertical="center" wrapText="1"/>
    </xf>
    <xf numFmtId="3" fontId="89" fillId="0" borderId="1" xfId="0" applyNumberFormat="1" applyFont="1" applyFill="1" applyBorder="1" applyAlignment="1">
      <alignment horizontal="center" vertical="center"/>
    </xf>
    <xf numFmtId="4" fontId="89" fillId="0" borderId="1" xfId="0" applyNumberFormat="1" applyFont="1" applyFill="1" applyBorder="1" applyAlignment="1">
      <alignment horizontal="center" vertical="center"/>
    </xf>
    <xf numFmtId="172" fontId="20" fillId="0" borderId="40" xfId="10" applyNumberFormat="1" applyFont="1" applyBorder="1" applyAlignment="1">
      <alignment vertical="center"/>
    </xf>
    <xf numFmtId="172" fontId="20" fillId="0" borderId="47" xfId="10" applyNumberFormat="1" applyFont="1" applyBorder="1" applyAlignment="1">
      <alignment vertical="center"/>
    </xf>
    <xf numFmtId="172" fontId="20" fillId="0" borderId="48" xfId="10" applyNumberFormat="1" applyFont="1" applyBorder="1" applyAlignment="1">
      <alignment vertical="center"/>
    </xf>
    <xf numFmtId="5" fontId="20" fillId="0" borderId="40" xfId="10" applyNumberFormat="1" applyFont="1" applyBorder="1" applyAlignment="1">
      <alignment vertical="center"/>
    </xf>
    <xf numFmtId="171" fontId="20" fillId="0" borderId="47" xfId="10" applyNumberFormat="1" applyFont="1" applyBorder="1" applyAlignment="1">
      <alignment vertical="center"/>
    </xf>
    <xf numFmtId="9" fontId="20" fillId="0" borderId="48" xfId="27" applyFont="1" applyBorder="1" applyAlignment="1">
      <alignment vertical="center"/>
    </xf>
    <xf numFmtId="0" fontId="89" fillId="0" borderId="1" xfId="0" applyFont="1" applyFill="1" applyBorder="1" applyAlignment="1">
      <alignment horizontal="justify" vertical="center" wrapText="1"/>
    </xf>
    <xf numFmtId="9" fontId="89" fillId="0" borderId="8" xfId="27" applyFont="1" applyBorder="1" applyAlignment="1">
      <alignment horizontal="center" vertical="center"/>
    </xf>
  </cellXfs>
  <cellStyles count="36">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Currency" xfId="34" xr:uid="{C1E79A70-DD45-4429-938C-87D5017683A7}"/>
    <cellStyle name="Encabezado 1 2" xfId="5" xr:uid="{00000000-0005-0000-0000-000008000000}"/>
    <cellStyle name="Encabezado 2" xfId="6" xr:uid="{00000000-0005-0000-0000-000009000000}"/>
    <cellStyle name="Énfasis1" xfId="33" builtinId="29"/>
    <cellStyle name="Énfasis6 2" xfId="7" xr:uid="{00000000-0005-0000-0000-00000A000000}"/>
    <cellStyle name="Fecha" xfId="8" xr:uid="{00000000-0005-0000-0000-00000B000000}"/>
    <cellStyle name="HeaderStyle" xfId="9" xr:uid="{00000000-0005-0000-0000-00000C000000}"/>
    <cellStyle name="Millares" xfId="10" builtinId="3"/>
    <cellStyle name="Millares [0]" xfId="11" builtinId="6"/>
    <cellStyle name="Millares [0] 2" xfId="12" xr:uid="{00000000-0005-0000-0000-00000D000000}"/>
    <cellStyle name="Millares 2" xfId="13" xr:uid="{00000000-0005-0000-0000-00000E000000}"/>
    <cellStyle name="Moneda" xfId="35" builtinId="4"/>
    <cellStyle name="Moneda [0]" xfId="14" builtinId="7"/>
    <cellStyle name="Moneda 130" xfId="15" xr:uid="{00000000-0005-0000-0000-00000F000000}"/>
    <cellStyle name="Moneda 2" xfId="16" xr:uid="{00000000-0005-0000-0000-000010000000}"/>
    <cellStyle name="Moneda 2 2" xfId="17" xr:uid="{00000000-0005-0000-0000-000011000000}"/>
    <cellStyle name="Moneda 23" xfId="18" xr:uid="{00000000-0005-0000-0000-000012000000}"/>
    <cellStyle name="Moneda 3" xfId="19" xr:uid="{00000000-0005-0000-0000-000013000000}"/>
    <cellStyle name="Neutral 2" xfId="20" xr:uid="{00000000-0005-0000-0000-000014000000}"/>
    <cellStyle name="Normal" xfId="0" builtinId="0"/>
    <cellStyle name="Normal 2" xfId="21" xr:uid="{00000000-0005-0000-0000-000016000000}"/>
    <cellStyle name="Normal 2 2" xfId="22" xr:uid="{00000000-0005-0000-0000-000017000000}"/>
    <cellStyle name="Normal 2 3" xfId="23" xr:uid="{00000000-0005-0000-0000-000018000000}"/>
    <cellStyle name="Normal 3" xfId="24" xr:uid="{00000000-0005-0000-0000-000019000000}"/>
    <cellStyle name="Normal 3 2" xfId="25" xr:uid="{00000000-0005-0000-0000-00001A000000}"/>
    <cellStyle name="Normal 6 2" xfId="26" xr:uid="{00000000-0005-0000-0000-00001B000000}"/>
    <cellStyle name="Porcentaje" xfId="27" builtinId="5"/>
    <cellStyle name="Porcentaje 2" xfId="28" xr:uid="{00000000-0005-0000-0000-00001D000000}"/>
    <cellStyle name="Porcentual 2" xfId="29" xr:uid="{00000000-0005-0000-0000-00001E000000}"/>
    <cellStyle name="Texto de inicio" xfId="30" xr:uid="{00000000-0005-0000-0000-00001F000000}"/>
    <cellStyle name="Texto de la columna A" xfId="31" xr:uid="{00000000-0005-0000-0000-000020000000}"/>
    <cellStyle name="Título 4" xfId="32" xr:uid="{00000000-0005-0000-0000-000021000000}"/>
  </cellStyles>
  <dxfs count="1">
    <dxf>
      <font>
        <color rgb="FF9C0006"/>
      </font>
      <fill>
        <patternFill>
          <bgColor rgb="FFFFC7CE"/>
        </patternFill>
      </fill>
    </dxf>
  </dxfs>
  <tableStyles count="0" defaultTableStyle="TableStyleMedium9"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585106</xdr:colOff>
      <xdr:row>0</xdr:row>
      <xdr:rowOff>140153</xdr:rowOff>
    </xdr:from>
    <xdr:to>
      <xdr:col>0</xdr:col>
      <xdr:colOff>1905000</xdr:colOff>
      <xdr:row>3</xdr:row>
      <xdr:rowOff>234303</xdr:rowOff>
    </xdr:to>
    <xdr:pic>
      <xdr:nvPicPr>
        <xdr:cNvPr id="2" name="Picture 47">
          <a:extLst>
            <a:ext uri="{FF2B5EF4-FFF2-40B4-BE49-F238E27FC236}">
              <a16:creationId xmlns:a16="http://schemas.microsoft.com/office/drawing/2014/main" id="{805626A6-E013-470F-A91F-279D845D40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5106" y="140153"/>
          <a:ext cx="1319894" cy="1196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2143125</xdr:colOff>
      <xdr:row>3</xdr:row>
      <xdr:rowOff>226569</xdr:rowOff>
    </xdr:to>
    <xdr:pic>
      <xdr:nvPicPr>
        <xdr:cNvPr id="82955" name="Picture 47">
          <a:extLst>
            <a:ext uri="{FF2B5EF4-FFF2-40B4-BE49-F238E27FC236}">
              <a16:creationId xmlns:a16="http://schemas.microsoft.com/office/drawing/2014/main" id="{A09F614F-9A4B-479B-A0B5-FE3DA7E777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476375" cy="13632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571500</xdr:colOff>
      <xdr:row>0</xdr:row>
      <xdr:rowOff>99332</xdr:rowOff>
    </xdr:from>
    <xdr:to>
      <xdr:col>0</xdr:col>
      <xdr:colOff>2027464</xdr:colOff>
      <xdr:row>3</xdr:row>
      <xdr:rowOff>222460</xdr:rowOff>
    </xdr:to>
    <xdr:pic>
      <xdr:nvPicPr>
        <xdr:cNvPr id="83979" name="Picture 47">
          <a:extLst>
            <a:ext uri="{FF2B5EF4-FFF2-40B4-BE49-F238E27FC236}">
              <a16:creationId xmlns:a16="http://schemas.microsoft.com/office/drawing/2014/main" id="{F5567784-B0BA-4509-88B6-001240FAB1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99332"/>
          <a:ext cx="1455964" cy="12253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539750</xdr:colOff>
      <xdr:row>0</xdr:row>
      <xdr:rowOff>69850</xdr:rowOff>
    </xdr:from>
    <xdr:to>
      <xdr:col>0</xdr:col>
      <xdr:colOff>1968499</xdr:colOff>
      <xdr:row>3</xdr:row>
      <xdr:rowOff>198646</xdr:rowOff>
    </xdr:to>
    <xdr:pic>
      <xdr:nvPicPr>
        <xdr:cNvPr id="82090" name="Picture 47">
          <a:extLst>
            <a:ext uri="{FF2B5EF4-FFF2-40B4-BE49-F238E27FC236}">
              <a16:creationId xmlns:a16="http://schemas.microsoft.com/office/drawing/2014/main" id="{6E461376-1A6B-464A-8665-E21F053A47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750" y="69850"/>
          <a:ext cx="1428749" cy="1240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0626" name="Picture 47">
          <a:extLst>
            <a:ext uri="{FF2B5EF4-FFF2-40B4-BE49-F238E27FC236}">
              <a16:creationId xmlns:a16="http://schemas.microsoft.com/office/drawing/2014/main" id="{D89C69B5-1E01-468D-92B1-227E2DAC9A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476250</xdr:colOff>
      <xdr:row>27</xdr:row>
      <xdr:rowOff>628650</xdr:rowOff>
    </xdr:from>
    <xdr:to>
      <xdr:col>8</xdr:col>
      <xdr:colOff>1047750</xdr:colOff>
      <xdr:row>27</xdr:row>
      <xdr:rowOff>838200</xdr:rowOff>
    </xdr:to>
    <xdr:pic>
      <xdr:nvPicPr>
        <xdr:cNvPr id="2" name="Imagen 1">
          <a:extLst>
            <a:ext uri="{FF2B5EF4-FFF2-40B4-BE49-F238E27FC236}">
              <a16:creationId xmlns:a16="http://schemas.microsoft.com/office/drawing/2014/main" id="{3F5B4E75-A1B0-38EB-E6F4-EAAD090BEA0A}"/>
            </a:ext>
          </a:extLst>
        </xdr:cNvPr>
        <xdr:cNvPicPr>
          <a:picLocks noChangeAspect="1"/>
        </xdr:cNvPicPr>
      </xdr:nvPicPr>
      <xdr:blipFill>
        <a:blip xmlns:r="http://schemas.openxmlformats.org/officeDocument/2006/relationships" r:embed="rId1"/>
        <a:stretch>
          <a:fillRect/>
        </a:stretch>
      </xdr:blipFill>
      <xdr:spPr>
        <a:xfrm>
          <a:off x="6953250" y="43253025"/>
          <a:ext cx="571500" cy="209550"/>
        </a:xfrm>
        <a:prstGeom prst="rect">
          <a:avLst/>
        </a:prstGeom>
      </xdr:spPr>
    </xdr:pic>
    <xdr:clientData/>
  </xdr:twoCellAnchor>
  <xdr:twoCellAnchor editAs="oneCell">
    <xdr:from>
      <xdr:col>4</xdr:col>
      <xdr:colOff>108857</xdr:colOff>
      <xdr:row>27</xdr:row>
      <xdr:rowOff>190501</xdr:rowOff>
    </xdr:from>
    <xdr:to>
      <xdr:col>5</xdr:col>
      <xdr:colOff>490426</xdr:colOff>
      <xdr:row>27</xdr:row>
      <xdr:rowOff>857251</xdr:rowOff>
    </xdr:to>
    <xdr:pic>
      <xdr:nvPicPr>
        <xdr:cNvPr id="4" name="Imagen 3">
          <a:extLst>
            <a:ext uri="{FF2B5EF4-FFF2-40B4-BE49-F238E27FC236}">
              <a16:creationId xmlns:a16="http://schemas.microsoft.com/office/drawing/2014/main" id="{E3692365-D441-4256-90DE-184C494325C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170464" y="42835287"/>
          <a:ext cx="939462" cy="666750"/>
        </a:xfrm>
        <a:prstGeom prst="rect">
          <a:avLst/>
        </a:prstGeom>
      </xdr:spPr>
    </xdr:pic>
    <xdr:clientData/>
  </xdr:twoCellAnchor>
  <xdr:twoCellAnchor editAs="oneCell">
    <xdr:from>
      <xdr:col>16</xdr:col>
      <xdr:colOff>326571</xdr:colOff>
      <xdr:row>27</xdr:row>
      <xdr:rowOff>408215</xdr:rowOff>
    </xdr:from>
    <xdr:to>
      <xdr:col>19</xdr:col>
      <xdr:colOff>272142</xdr:colOff>
      <xdr:row>27</xdr:row>
      <xdr:rowOff>881922</xdr:rowOff>
    </xdr:to>
    <xdr:pic>
      <xdr:nvPicPr>
        <xdr:cNvPr id="5" name="Imagen 4">
          <a:extLst>
            <a:ext uri="{FF2B5EF4-FFF2-40B4-BE49-F238E27FC236}">
              <a16:creationId xmlns:a16="http://schemas.microsoft.com/office/drawing/2014/main" id="{579853E4-6A5E-4768-84C4-2E252DE84FF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947321" y="43053001"/>
          <a:ext cx="1333500" cy="47370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28575</xdr:colOff>
      <xdr:row>7</xdr:row>
      <xdr:rowOff>19050</xdr:rowOff>
    </xdr:from>
    <xdr:to>
      <xdr:col>13</xdr:col>
      <xdr:colOff>278833</xdr:colOff>
      <xdr:row>19</xdr:row>
      <xdr:rowOff>171450</xdr:rowOff>
    </xdr:to>
    <xdr:pic>
      <xdr:nvPicPr>
        <xdr:cNvPr id="2" name="Imagen 1">
          <a:extLst>
            <a:ext uri="{FF2B5EF4-FFF2-40B4-BE49-F238E27FC236}">
              <a16:creationId xmlns:a16="http://schemas.microsoft.com/office/drawing/2014/main" id="{4C4E59FE-478C-4F37-9638-4ED7080A1664}"/>
            </a:ext>
          </a:extLst>
        </xdr:cNvPr>
        <xdr:cNvPicPr>
          <a:picLocks noChangeAspect="1"/>
        </xdr:cNvPicPr>
      </xdr:nvPicPr>
      <xdr:blipFill rotWithShape="1">
        <a:blip xmlns:r="http://schemas.openxmlformats.org/officeDocument/2006/relationships" r:embed="rId1"/>
        <a:srcRect l="3373" t="19554" r="6318" b="38753"/>
        <a:stretch/>
      </xdr:blipFill>
      <xdr:spPr>
        <a:xfrm>
          <a:off x="876300" y="1524000"/>
          <a:ext cx="9394258" cy="2438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uest/Documents/Nana/SPI/2022%20SCPI/2022%20Instrumentos.Planeaci&#243;n/01.%20Enero.2022/01.%207673%20Seg.ene.2022%2007-feb-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eg%207673%20meta%201%20y%20territorializacion%20abri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4.%207673%20Seg.abr.2022%2004-may-2022%20ARP.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Guest/Downloads/7673%20Seg.ene.2022%2007-feb-2022%20enviado%20Diana%20Parra.ajus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 1"/>
      <sheetName val="Meta 2"/>
      <sheetName val="Meta 3"/>
      <sheetName val="Meta 4"/>
      <sheetName val="Meta 1..n"/>
      <sheetName val="Indicadores PA"/>
      <sheetName val="Territorialización PA"/>
      <sheetName val="Prog.Pptal"/>
      <sheetName val="Vigencia"/>
      <sheetName val="Reserva"/>
      <sheetName val="Instructivo"/>
      <sheetName val="Generalidades"/>
      <sheetName val="Hoja2"/>
      <sheetName val="Hoja13"/>
      <sheetName val="Hoja1"/>
    </sheetNames>
    <sheetDataSet>
      <sheetData sheetId="0" refreshError="1"/>
      <sheetData sheetId="1" refreshError="1">
        <row r="24">
          <cell r="D24">
            <v>0</v>
          </cell>
        </row>
      </sheetData>
      <sheetData sheetId="2" refreshError="1">
        <row r="24">
          <cell r="D24">
            <v>4533333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 1"/>
      <sheetName val="Meta 2"/>
      <sheetName val="Meta 3"/>
      <sheetName val="Meta 4"/>
      <sheetName val="Meta 1..n"/>
      <sheetName val="Indicadores PA"/>
      <sheetName val="Territorialización PA"/>
      <sheetName val="Prog.Pptal"/>
      <sheetName val="Vigencia"/>
      <sheetName val="Reserva"/>
      <sheetName val="Avance PDD"/>
      <sheetName val="Instructivo"/>
      <sheetName val="Generalidades"/>
      <sheetName val="Hoja2"/>
      <sheetName val="Hoja13"/>
      <sheetName val="Hoja1"/>
    </sheetNames>
    <sheetDataSet>
      <sheetData sheetId="0">
        <row r="22">
          <cell r="Q22">
            <v>1390832000</v>
          </cell>
          <cell r="R22">
            <v>0</v>
          </cell>
          <cell r="S22">
            <v>5539000</v>
          </cell>
          <cell r="T22">
            <v>57865000</v>
          </cell>
          <cell r="U22">
            <v>462556907.29999995</v>
          </cell>
          <cell r="V22">
            <v>131550627.86000001</v>
          </cell>
          <cell r="W22">
            <v>342977252</v>
          </cell>
          <cell r="X22">
            <v>0</v>
          </cell>
          <cell r="Y22">
            <v>10550000</v>
          </cell>
          <cell r="Z22">
            <v>0</v>
          </cell>
          <cell r="AA22">
            <v>0</v>
          </cell>
          <cell r="AB22">
            <v>0</v>
          </cell>
        </row>
        <row r="23">
          <cell r="Q23">
            <v>1342336167</v>
          </cell>
          <cell r="R23">
            <v>0</v>
          </cell>
          <cell r="S23">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 1"/>
      <sheetName val="Meta 2"/>
      <sheetName val="Meta 3"/>
      <sheetName val="Meta 4"/>
      <sheetName val="Meta 1..n"/>
      <sheetName val="Indicadores PA"/>
      <sheetName val="Territorialización PA"/>
      <sheetName val="Prog.Pptal"/>
      <sheetName val="Vigencia"/>
      <sheetName val="Reserva"/>
      <sheetName val="Avance PDD"/>
      <sheetName val="Instructivo"/>
      <sheetName val="Generalidades"/>
      <sheetName val="Hoja2"/>
      <sheetName val="Hoja13"/>
      <sheetName val="Hoja1"/>
    </sheetNames>
    <sheetDataSet>
      <sheetData sheetId="0" refreshError="1"/>
      <sheetData sheetId="1" refreshError="1"/>
      <sheetData sheetId="2">
        <row r="35">
          <cell r="D35">
            <v>0</v>
          </cell>
          <cell r="E35">
            <v>1.0480000000000003E-2</v>
          </cell>
          <cell r="F35">
            <v>1.9440000000000006E-2</v>
          </cell>
          <cell r="G35">
            <v>1.7280000000000007E-2</v>
          </cell>
        </row>
      </sheetData>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 1"/>
      <sheetName val="Meta 2"/>
      <sheetName val="Meta 3"/>
      <sheetName val="Meta 1..n"/>
      <sheetName val="Meta 4"/>
      <sheetName val="Indicadores PA "/>
      <sheetName val="Territorialización PA"/>
      <sheetName val="Prog.Pptal"/>
      <sheetName val="Vigencia"/>
      <sheetName val="Reserva"/>
      <sheetName val="Avance PDD"/>
      <sheetName val="Instructivo"/>
      <sheetName val="Generalidades"/>
      <sheetName val="Hoja2"/>
      <sheetName val="Hoja13"/>
      <sheetName val="Hoja1"/>
    </sheetNames>
    <sheetDataSet>
      <sheetData sheetId="0">
        <row r="35">
          <cell r="D35"/>
          <cell r="J35"/>
          <cell r="K35"/>
          <cell r="L35"/>
          <cell r="M35"/>
          <cell r="N35"/>
          <cell r="O35"/>
        </row>
      </sheetData>
      <sheetData sheetId="1">
        <row r="35">
          <cell r="D35">
            <v>0</v>
          </cell>
        </row>
      </sheetData>
      <sheetData sheetId="2">
        <row r="35">
          <cell r="D35">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persons/person.xml><?xml version="1.0" encoding="utf-8"?>
<personList xmlns="http://schemas.microsoft.com/office/spreadsheetml/2018/threadedcomments" xmlns:x="http://schemas.openxmlformats.org/spreadsheetml/2006/main">
  <person displayName="Ángela Adriana Ávila Ospina" id="{114774B9-990D-4578-8FE7-0DC23A1405F0}" userId="S::aavila@sdmujer.gov.co::03cd9c64-9e5b-41df-abaf-4a4394e5e840"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O24" dT="2022-05-04T21:26:15.31" personId="{114774B9-990D-4578-8FE7-0DC23A1405F0}" id="{15F6D739-AFC6-4720-8C41-E8BE9D98CD43}">
    <text>En mayo se restan $4,167,765 asociados a la liberación del contrato 163-2020 con ETB.
En abril se restan $4.759.996, asociados a la liberación del contrato con PANAMERICANA.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9D9D3-10DE-4423-9D0A-BAAFFB298A60}">
  <sheetPr>
    <tabColor theme="7" tint="0.39997558519241921"/>
    <pageSetUpPr fitToPage="1"/>
  </sheetPr>
  <dimension ref="A1:AR51"/>
  <sheetViews>
    <sheetView showGridLines="0" view="pageBreakPreview" topLeftCell="A17" zoomScale="60" zoomScaleNormal="75" workbookViewId="0">
      <selection activeCell="O30" sqref="O30"/>
    </sheetView>
  </sheetViews>
  <sheetFormatPr baseColWidth="10" defaultColWidth="10.85546875" defaultRowHeight="15"/>
  <cols>
    <col min="1" max="1" width="38.5703125" style="50" customWidth="1"/>
    <col min="2" max="2" width="11.42578125" style="50" customWidth="1"/>
    <col min="3" max="3" width="17.85546875" style="50" customWidth="1"/>
    <col min="4" max="4" width="14.140625" style="50" bestFit="1" customWidth="1"/>
    <col min="5" max="6" width="14.7109375" style="50" bestFit="1" customWidth="1"/>
    <col min="7" max="7" width="13.85546875" style="50" bestFit="1" customWidth="1"/>
    <col min="8" max="14" width="9.7109375" style="50" customWidth="1"/>
    <col min="15" max="15" width="14.7109375" style="50" bestFit="1" customWidth="1"/>
    <col min="16" max="16" width="15.7109375" style="50" customWidth="1"/>
    <col min="17" max="17" width="16.28515625" style="50" bestFit="1" customWidth="1"/>
    <col min="18" max="18" width="14" style="50" bestFit="1" customWidth="1"/>
    <col min="19" max="20" width="15" style="50" bestFit="1" customWidth="1"/>
    <col min="21" max="21" width="15.140625" style="50" bestFit="1" customWidth="1"/>
    <col min="22" max="22" width="14.7109375" style="50" bestFit="1" customWidth="1"/>
    <col min="23" max="23" width="15.140625" style="50" bestFit="1" customWidth="1"/>
    <col min="24" max="25" width="14.140625" style="50" bestFit="1" customWidth="1"/>
    <col min="26" max="26" width="14.7109375" style="50" bestFit="1" customWidth="1"/>
    <col min="27" max="27" width="13.7109375" style="50" bestFit="1" customWidth="1"/>
    <col min="28" max="28" width="15.140625" style="50" bestFit="1" customWidth="1"/>
    <col min="29" max="29" width="16.28515625" style="50" bestFit="1" customWidth="1"/>
    <col min="30" max="30" width="10.140625" style="50" bestFit="1" customWidth="1"/>
    <col min="31" max="31" width="10" style="50" bestFit="1" customWidth="1"/>
    <col min="32" max="32" width="10" style="50" customWidth="1"/>
    <col min="33" max="36" width="15.7109375" style="582" customWidth="1"/>
    <col min="37" max="37" width="15.7109375" style="555" customWidth="1"/>
    <col min="38" max="38" width="18.42578125" style="555" bestFit="1" customWidth="1"/>
    <col min="39" max="39" width="4.7109375" style="555" customWidth="1"/>
    <col min="40" max="40" width="23" style="555" bestFit="1" customWidth="1"/>
    <col min="41" max="41" width="10.85546875" style="555"/>
    <col min="42" max="42" width="18.42578125" style="50" bestFit="1" customWidth="1"/>
    <col min="43" max="43" width="16.140625" style="50" customWidth="1"/>
    <col min="44" max="257" width="10.85546875" style="50"/>
    <col min="258" max="258" width="42" style="50" customWidth="1"/>
    <col min="259" max="259" width="21.7109375" style="50" customWidth="1"/>
    <col min="260" max="271" width="20.7109375" style="50" customWidth="1"/>
    <col min="272" max="272" width="16.140625" style="50" customWidth="1"/>
    <col min="273" max="284" width="18.140625" style="50" customWidth="1"/>
    <col min="285" max="285" width="22.7109375" style="50" customWidth="1"/>
    <col min="286" max="286" width="19" style="50" customWidth="1"/>
    <col min="287" max="287" width="19.42578125" style="50" customWidth="1"/>
    <col min="288" max="288" width="6.28515625" style="50" bestFit="1" customWidth="1"/>
    <col min="289" max="289" width="22.85546875" style="50" customWidth="1"/>
    <col min="290" max="290" width="18.42578125" style="50" bestFit="1" customWidth="1"/>
    <col min="291" max="291" width="8.42578125" style="50" customWidth="1"/>
    <col min="292" max="292" width="18.42578125" style="50" bestFit="1" customWidth="1"/>
    <col min="293" max="293" width="5.7109375" style="50" customWidth="1"/>
    <col min="294" max="294" width="18.42578125" style="50" bestFit="1" customWidth="1"/>
    <col min="295" max="295" width="4.7109375" style="50" customWidth="1"/>
    <col min="296" max="296" width="23" style="50" bestFit="1" customWidth="1"/>
    <col min="297" max="297" width="10.85546875" style="50"/>
    <col min="298" max="298" width="18.42578125" style="50" bestFit="1" customWidth="1"/>
    <col min="299" max="299" width="16.140625" style="50" customWidth="1"/>
    <col min="300" max="513" width="10.85546875" style="50"/>
    <col min="514" max="514" width="42" style="50" customWidth="1"/>
    <col min="515" max="515" width="21.7109375" style="50" customWidth="1"/>
    <col min="516" max="527" width="20.7109375" style="50" customWidth="1"/>
    <col min="528" max="528" width="16.140625" style="50" customWidth="1"/>
    <col min="529" max="540" width="18.140625" style="50" customWidth="1"/>
    <col min="541" max="541" width="22.7109375" style="50" customWidth="1"/>
    <col min="542" max="542" width="19" style="50" customWidth="1"/>
    <col min="543" max="543" width="19.42578125" style="50" customWidth="1"/>
    <col min="544" max="544" width="6.28515625" style="50" bestFit="1" customWidth="1"/>
    <col min="545" max="545" width="22.85546875" style="50" customWidth="1"/>
    <col min="546" max="546" width="18.42578125" style="50" bestFit="1" customWidth="1"/>
    <col min="547" max="547" width="8.42578125" style="50" customWidth="1"/>
    <col min="548" max="548" width="18.42578125" style="50" bestFit="1" customWidth="1"/>
    <col min="549" max="549" width="5.7109375" style="50" customWidth="1"/>
    <col min="550" max="550" width="18.42578125" style="50" bestFit="1" customWidth="1"/>
    <col min="551" max="551" width="4.7109375" style="50" customWidth="1"/>
    <col min="552" max="552" width="23" style="50" bestFit="1" customWidth="1"/>
    <col min="553" max="553" width="10.85546875" style="50"/>
    <col min="554" max="554" width="18.42578125" style="50" bestFit="1" customWidth="1"/>
    <col min="555" max="555" width="16.140625" style="50" customWidth="1"/>
    <col min="556" max="769" width="10.85546875" style="50"/>
    <col min="770" max="770" width="42" style="50" customWidth="1"/>
    <col min="771" max="771" width="21.7109375" style="50" customWidth="1"/>
    <col min="772" max="783" width="20.7109375" style="50" customWidth="1"/>
    <col min="784" max="784" width="16.140625" style="50" customWidth="1"/>
    <col min="785" max="796" width="18.140625" style="50" customWidth="1"/>
    <col min="797" max="797" width="22.7109375" style="50" customWidth="1"/>
    <col min="798" max="798" width="19" style="50" customWidth="1"/>
    <col min="799" max="799" width="19.42578125" style="50" customWidth="1"/>
    <col min="800" max="800" width="6.28515625" style="50" bestFit="1" customWidth="1"/>
    <col min="801" max="801" width="22.85546875" style="50" customWidth="1"/>
    <col min="802" max="802" width="18.42578125" style="50" bestFit="1" customWidth="1"/>
    <col min="803" max="803" width="8.42578125" style="50" customWidth="1"/>
    <col min="804" max="804" width="18.42578125" style="50" bestFit="1" customWidth="1"/>
    <col min="805" max="805" width="5.7109375" style="50" customWidth="1"/>
    <col min="806" max="806" width="18.42578125" style="50" bestFit="1" customWidth="1"/>
    <col min="807" max="807" width="4.7109375" style="50" customWidth="1"/>
    <col min="808" max="808" width="23" style="50" bestFit="1" customWidth="1"/>
    <col min="809" max="809" width="10.85546875" style="50"/>
    <col min="810" max="810" width="18.42578125" style="50" bestFit="1" customWidth="1"/>
    <col min="811" max="811" width="16.140625" style="50" customWidth="1"/>
    <col min="812" max="1025" width="10.85546875" style="50"/>
    <col min="1026" max="1026" width="42" style="50" customWidth="1"/>
    <col min="1027" max="1027" width="21.7109375" style="50" customWidth="1"/>
    <col min="1028" max="1039" width="20.7109375" style="50" customWidth="1"/>
    <col min="1040" max="1040" width="16.140625" style="50" customWidth="1"/>
    <col min="1041" max="1052" width="18.140625" style="50" customWidth="1"/>
    <col min="1053" max="1053" width="22.7109375" style="50" customWidth="1"/>
    <col min="1054" max="1054" width="19" style="50" customWidth="1"/>
    <col min="1055" max="1055" width="19.42578125" style="50" customWidth="1"/>
    <col min="1056" max="1056" width="6.28515625" style="50" bestFit="1" customWidth="1"/>
    <col min="1057" max="1057" width="22.85546875" style="50" customWidth="1"/>
    <col min="1058" max="1058" width="18.42578125" style="50" bestFit="1" customWidth="1"/>
    <col min="1059" max="1059" width="8.42578125" style="50" customWidth="1"/>
    <col min="1060" max="1060" width="18.42578125" style="50" bestFit="1" customWidth="1"/>
    <col min="1061" max="1061" width="5.7109375" style="50" customWidth="1"/>
    <col min="1062" max="1062" width="18.42578125" style="50" bestFit="1" customWidth="1"/>
    <col min="1063" max="1063" width="4.7109375" style="50" customWidth="1"/>
    <col min="1064" max="1064" width="23" style="50" bestFit="1" customWidth="1"/>
    <col min="1065" max="1065" width="10.85546875" style="50"/>
    <col min="1066" max="1066" width="18.42578125" style="50" bestFit="1" customWidth="1"/>
    <col min="1067" max="1067" width="16.140625" style="50" customWidth="1"/>
    <col min="1068" max="1281" width="10.85546875" style="50"/>
    <col min="1282" max="1282" width="42" style="50" customWidth="1"/>
    <col min="1283" max="1283" width="21.7109375" style="50" customWidth="1"/>
    <col min="1284" max="1295" width="20.7109375" style="50" customWidth="1"/>
    <col min="1296" max="1296" width="16.140625" style="50" customWidth="1"/>
    <col min="1297" max="1308" width="18.140625" style="50" customWidth="1"/>
    <col min="1309" max="1309" width="22.7109375" style="50" customWidth="1"/>
    <col min="1310" max="1310" width="19" style="50" customWidth="1"/>
    <col min="1311" max="1311" width="19.42578125" style="50" customWidth="1"/>
    <col min="1312" max="1312" width="6.28515625" style="50" bestFit="1" customWidth="1"/>
    <col min="1313" max="1313" width="22.85546875" style="50" customWidth="1"/>
    <col min="1314" max="1314" width="18.42578125" style="50" bestFit="1" customWidth="1"/>
    <col min="1315" max="1315" width="8.42578125" style="50" customWidth="1"/>
    <col min="1316" max="1316" width="18.42578125" style="50" bestFit="1" customWidth="1"/>
    <col min="1317" max="1317" width="5.7109375" style="50" customWidth="1"/>
    <col min="1318" max="1318" width="18.42578125" style="50" bestFit="1" customWidth="1"/>
    <col min="1319" max="1319" width="4.7109375" style="50" customWidth="1"/>
    <col min="1320" max="1320" width="23" style="50" bestFit="1" customWidth="1"/>
    <col min="1321" max="1321" width="10.85546875" style="50"/>
    <col min="1322" max="1322" width="18.42578125" style="50" bestFit="1" customWidth="1"/>
    <col min="1323" max="1323" width="16.140625" style="50" customWidth="1"/>
    <col min="1324" max="1537" width="10.85546875" style="50"/>
    <col min="1538" max="1538" width="42" style="50" customWidth="1"/>
    <col min="1539" max="1539" width="21.7109375" style="50" customWidth="1"/>
    <col min="1540" max="1551" width="20.7109375" style="50" customWidth="1"/>
    <col min="1552" max="1552" width="16.140625" style="50" customWidth="1"/>
    <col min="1553" max="1564" width="18.140625" style="50" customWidth="1"/>
    <col min="1565" max="1565" width="22.7109375" style="50" customWidth="1"/>
    <col min="1566" max="1566" width="19" style="50" customWidth="1"/>
    <col min="1567" max="1567" width="19.42578125" style="50" customWidth="1"/>
    <col min="1568" max="1568" width="6.28515625" style="50" bestFit="1" customWidth="1"/>
    <col min="1569" max="1569" width="22.85546875" style="50" customWidth="1"/>
    <col min="1570" max="1570" width="18.42578125" style="50" bestFit="1" customWidth="1"/>
    <col min="1571" max="1571" width="8.42578125" style="50" customWidth="1"/>
    <col min="1572" max="1572" width="18.42578125" style="50" bestFit="1" customWidth="1"/>
    <col min="1573" max="1573" width="5.7109375" style="50" customWidth="1"/>
    <col min="1574" max="1574" width="18.42578125" style="50" bestFit="1" customWidth="1"/>
    <col min="1575" max="1575" width="4.7109375" style="50" customWidth="1"/>
    <col min="1576" max="1576" width="23" style="50" bestFit="1" customWidth="1"/>
    <col min="1577" max="1577" width="10.85546875" style="50"/>
    <col min="1578" max="1578" width="18.42578125" style="50" bestFit="1" customWidth="1"/>
    <col min="1579" max="1579" width="16.140625" style="50" customWidth="1"/>
    <col min="1580" max="1793" width="10.85546875" style="50"/>
    <col min="1794" max="1794" width="42" style="50" customWidth="1"/>
    <col min="1795" max="1795" width="21.7109375" style="50" customWidth="1"/>
    <col min="1796" max="1807" width="20.7109375" style="50" customWidth="1"/>
    <col min="1808" max="1808" width="16.140625" style="50" customWidth="1"/>
    <col min="1809" max="1820" width="18.140625" style="50" customWidth="1"/>
    <col min="1821" max="1821" width="22.7109375" style="50" customWidth="1"/>
    <col min="1822" max="1822" width="19" style="50" customWidth="1"/>
    <col min="1823" max="1823" width="19.42578125" style="50" customWidth="1"/>
    <col min="1824" max="1824" width="6.28515625" style="50" bestFit="1" customWidth="1"/>
    <col min="1825" max="1825" width="22.85546875" style="50" customWidth="1"/>
    <col min="1826" max="1826" width="18.42578125" style="50" bestFit="1" customWidth="1"/>
    <col min="1827" max="1827" width="8.42578125" style="50" customWidth="1"/>
    <col min="1828" max="1828" width="18.42578125" style="50" bestFit="1" customWidth="1"/>
    <col min="1829" max="1829" width="5.7109375" style="50" customWidth="1"/>
    <col min="1830" max="1830" width="18.42578125" style="50" bestFit="1" customWidth="1"/>
    <col min="1831" max="1831" width="4.7109375" style="50" customWidth="1"/>
    <col min="1832" max="1832" width="23" style="50" bestFit="1" customWidth="1"/>
    <col min="1833" max="1833" width="10.85546875" style="50"/>
    <col min="1834" max="1834" width="18.42578125" style="50" bestFit="1" customWidth="1"/>
    <col min="1835" max="1835" width="16.140625" style="50" customWidth="1"/>
    <col min="1836" max="2049" width="10.85546875" style="50"/>
    <col min="2050" max="2050" width="42" style="50" customWidth="1"/>
    <col min="2051" max="2051" width="21.7109375" style="50" customWidth="1"/>
    <col min="2052" max="2063" width="20.7109375" style="50" customWidth="1"/>
    <col min="2064" max="2064" width="16.140625" style="50" customWidth="1"/>
    <col min="2065" max="2076" width="18.140625" style="50" customWidth="1"/>
    <col min="2077" max="2077" width="22.7109375" style="50" customWidth="1"/>
    <col min="2078" max="2078" width="19" style="50" customWidth="1"/>
    <col min="2079" max="2079" width="19.42578125" style="50" customWidth="1"/>
    <col min="2080" max="2080" width="6.28515625" style="50" bestFit="1" customWidth="1"/>
    <col min="2081" max="2081" width="22.85546875" style="50" customWidth="1"/>
    <col min="2082" max="2082" width="18.42578125" style="50" bestFit="1" customWidth="1"/>
    <col min="2083" max="2083" width="8.42578125" style="50" customWidth="1"/>
    <col min="2084" max="2084" width="18.42578125" style="50" bestFit="1" customWidth="1"/>
    <col min="2085" max="2085" width="5.7109375" style="50" customWidth="1"/>
    <col min="2086" max="2086" width="18.42578125" style="50" bestFit="1" customWidth="1"/>
    <col min="2087" max="2087" width="4.7109375" style="50" customWidth="1"/>
    <col min="2088" max="2088" width="23" style="50" bestFit="1" customWidth="1"/>
    <col min="2089" max="2089" width="10.85546875" style="50"/>
    <col min="2090" max="2090" width="18.42578125" style="50" bestFit="1" customWidth="1"/>
    <col min="2091" max="2091" width="16.140625" style="50" customWidth="1"/>
    <col min="2092" max="2305" width="10.85546875" style="50"/>
    <col min="2306" max="2306" width="42" style="50" customWidth="1"/>
    <col min="2307" max="2307" width="21.7109375" style="50" customWidth="1"/>
    <col min="2308" max="2319" width="20.7109375" style="50" customWidth="1"/>
    <col min="2320" max="2320" width="16.140625" style="50" customWidth="1"/>
    <col min="2321" max="2332" width="18.140625" style="50" customWidth="1"/>
    <col min="2333" max="2333" width="22.7109375" style="50" customWidth="1"/>
    <col min="2334" max="2334" width="19" style="50" customWidth="1"/>
    <col min="2335" max="2335" width="19.42578125" style="50" customWidth="1"/>
    <col min="2336" max="2336" width="6.28515625" style="50" bestFit="1" customWidth="1"/>
    <col min="2337" max="2337" width="22.85546875" style="50" customWidth="1"/>
    <col min="2338" max="2338" width="18.42578125" style="50" bestFit="1" customWidth="1"/>
    <col min="2339" max="2339" width="8.42578125" style="50" customWidth="1"/>
    <col min="2340" max="2340" width="18.42578125" style="50" bestFit="1" customWidth="1"/>
    <col min="2341" max="2341" width="5.7109375" style="50" customWidth="1"/>
    <col min="2342" max="2342" width="18.42578125" style="50" bestFit="1" customWidth="1"/>
    <col min="2343" max="2343" width="4.7109375" style="50" customWidth="1"/>
    <col min="2344" max="2344" width="23" style="50" bestFit="1" customWidth="1"/>
    <col min="2345" max="2345" width="10.85546875" style="50"/>
    <col min="2346" max="2346" width="18.42578125" style="50" bestFit="1" customWidth="1"/>
    <col min="2347" max="2347" width="16.140625" style="50" customWidth="1"/>
    <col min="2348" max="2561" width="10.85546875" style="50"/>
    <col min="2562" max="2562" width="42" style="50" customWidth="1"/>
    <col min="2563" max="2563" width="21.7109375" style="50" customWidth="1"/>
    <col min="2564" max="2575" width="20.7109375" style="50" customWidth="1"/>
    <col min="2576" max="2576" width="16.140625" style="50" customWidth="1"/>
    <col min="2577" max="2588" width="18.140625" style="50" customWidth="1"/>
    <col min="2589" max="2589" width="22.7109375" style="50" customWidth="1"/>
    <col min="2590" max="2590" width="19" style="50" customWidth="1"/>
    <col min="2591" max="2591" width="19.42578125" style="50" customWidth="1"/>
    <col min="2592" max="2592" width="6.28515625" style="50" bestFit="1" customWidth="1"/>
    <col min="2593" max="2593" width="22.85546875" style="50" customWidth="1"/>
    <col min="2594" max="2594" width="18.42578125" style="50" bestFit="1" customWidth="1"/>
    <col min="2595" max="2595" width="8.42578125" style="50" customWidth="1"/>
    <col min="2596" max="2596" width="18.42578125" style="50" bestFit="1" customWidth="1"/>
    <col min="2597" max="2597" width="5.7109375" style="50" customWidth="1"/>
    <col min="2598" max="2598" width="18.42578125" style="50" bestFit="1" customWidth="1"/>
    <col min="2599" max="2599" width="4.7109375" style="50" customWidth="1"/>
    <col min="2600" max="2600" width="23" style="50" bestFit="1" customWidth="1"/>
    <col min="2601" max="2601" width="10.85546875" style="50"/>
    <col min="2602" max="2602" width="18.42578125" style="50" bestFit="1" customWidth="1"/>
    <col min="2603" max="2603" width="16.140625" style="50" customWidth="1"/>
    <col min="2604" max="2817" width="10.85546875" style="50"/>
    <col min="2818" max="2818" width="42" style="50" customWidth="1"/>
    <col min="2819" max="2819" width="21.7109375" style="50" customWidth="1"/>
    <col min="2820" max="2831" width="20.7109375" style="50" customWidth="1"/>
    <col min="2832" max="2832" width="16.140625" style="50" customWidth="1"/>
    <col min="2833" max="2844" width="18.140625" style="50" customWidth="1"/>
    <col min="2845" max="2845" width="22.7109375" style="50" customWidth="1"/>
    <col min="2846" max="2846" width="19" style="50" customWidth="1"/>
    <col min="2847" max="2847" width="19.42578125" style="50" customWidth="1"/>
    <col min="2848" max="2848" width="6.28515625" style="50" bestFit="1" customWidth="1"/>
    <col min="2849" max="2849" width="22.85546875" style="50" customWidth="1"/>
    <col min="2850" max="2850" width="18.42578125" style="50" bestFit="1" customWidth="1"/>
    <col min="2851" max="2851" width="8.42578125" style="50" customWidth="1"/>
    <col min="2852" max="2852" width="18.42578125" style="50" bestFit="1" customWidth="1"/>
    <col min="2853" max="2853" width="5.7109375" style="50" customWidth="1"/>
    <col min="2854" max="2854" width="18.42578125" style="50" bestFit="1" customWidth="1"/>
    <col min="2855" max="2855" width="4.7109375" style="50" customWidth="1"/>
    <col min="2856" max="2856" width="23" style="50" bestFit="1" customWidth="1"/>
    <col min="2857" max="2857" width="10.85546875" style="50"/>
    <col min="2858" max="2858" width="18.42578125" style="50" bestFit="1" customWidth="1"/>
    <col min="2859" max="2859" width="16.140625" style="50" customWidth="1"/>
    <col min="2860" max="3073" width="10.85546875" style="50"/>
    <col min="3074" max="3074" width="42" style="50" customWidth="1"/>
    <col min="3075" max="3075" width="21.7109375" style="50" customWidth="1"/>
    <col min="3076" max="3087" width="20.7109375" style="50" customWidth="1"/>
    <col min="3088" max="3088" width="16.140625" style="50" customWidth="1"/>
    <col min="3089" max="3100" width="18.140625" style="50" customWidth="1"/>
    <col min="3101" max="3101" width="22.7109375" style="50" customWidth="1"/>
    <col min="3102" max="3102" width="19" style="50" customWidth="1"/>
    <col min="3103" max="3103" width="19.42578125" style="50" customWidth="1"/>
    <col min="3104" max="3104" width="6.28515625" style="50" bestFit="1" customWidth="1"/>
    <col min="3105" max="3105" width="22.85546875" style="50" customWidth="1"/>
    <col min="3106" max="3106" width="18.42578125" style="50" bestFit="1" customWidth="1"/>
    <col min="3107" max="3107" width="8.42578125" style="50" customWidth="1"/>
    <col min="3108" max="3108" width="18.42578125" style="50" bestFit="1" customWidth="1"/>
    <col min="3109" max="3109" width="5.7109375" style="50" customWidth="1"/>
    <col min="3110" max="3110" width="18.42578125" style="50" bestFit="1" customWidth="1"/>
    <col min="3111" max="3111" width="4.7109375" style="50" customWidth="1"/>
    <col min="3112" max="3112" width="23" style="50" bestFit="1" customWidth="1"/>
    <col min="3113" max="3113" width="10.85546875" style="50"/>
    <col min="3114" max="3114" width="18.42578125" style="50" bestFit="1" customWidth="1"/>
    <col min="3115" max="3115" width="16.140625" style="50" customWidth="1"/>
    <col min="3116" max="3329" width="10.85546875" style="50"/>
    <col min="3330" max="3330" width="42" style="50" customWidth="1"/>
    <col min="3331" max="3331" width="21.7109375" style="50" customWidth="1"/>
    <col min="3332" max="3343" width="20.7109375" style="50" customWidth="1"/>
    <col min="3344" max="3344" width="16.140625" style="50" customWidth="1"/>
    <col min="3345" max="3356" width="18.140625" style="50" customWidth="1"/>
    <col min="3357" max="3357" width="22.7109375" style="50" customWidth="1"/>
    <col min="3358" max="3358" width="19" style="50" customWidth="1"/>
    <col min="3359" max="3359" width="19.42578125" style="50" customWidth="1"/>
    <col min="3360" max="3360" width="6.28515625" style="50" bestFit="1" customWidth="1"/>
    <col min="3361" max="3361" width="22.85546875" style="50" customWidth="1"/>
    <col min="3362" max="3362" width="18.42578125" style="50" bestFit="1" customWidth="1"/>
    <col min="3363" max="3363" width="8.42578125" style="50" customWidth="1"/>
    <col min="3364" max="3364" width="18.42578125" style="50" bestFit="1" customWidth="1"/>
    <col min="3365" max="3365" width="5.7109375" style="50" customWidth="1"/>
    <col min="3366" max="3366" width="18.42578125" style="50" bestFit="1" customWidth="1"/>
    <col min="3367" max="3367" width="4.7109375" style="50" customWidth="1"/>
    <col min="3368" max="3368" width="23" style="50" bestFit="1" customWidth="1"/>
    <col min="3369" max="3369" width="10.85546875" style="50"/>
    <col min="3370" max="3370" width="18.42578125" style="50" bestFit="1" customWidth="1"/>
    <col min="3371" max="3371" width="16.140625" style="50" customWidth="1"/>
    <col min="3372" max="3585" width="10.85546875" style="50"/>
    <col min="3586" max="3586" width="42" style="50" customWidth="1"/>
    <col min="3587" max="3587" width="21.7109375" style="50" customWidth="1"/>
    <col min="3588" max="3599" width="20.7109375" style="50" customWidth="1"/>
    <col min="3600" max="3600" width="16.140625" style="50" customWidth="1"/>
    <col min="3601" max="3612" width="18.140625" style="50" customWidth="1"/>
    <col min="3613" max="3613" width="22.7109375" style="50" customWidth="1"/>
    <col min="3614" max="3614" width="19" style="50" customWidth="1"/>
    <col min="3615" max="3615" width="19.42578125" style="50" customWidth="1"/>
    <col min="3616" max="3616" width="6.28515625" style="50" bestFit="1" customWidth="1"/>
    <col min="3617" max="3617" width="22.85546875" style="50" customWidth="1"/>
    <col min="3618" max="3618" width="18.42578125" style="50" bestFit="1" customWidth="1"/>
    <col min="3619" max="3619" width="8.42578125" style="50" customWidth="1"/>
    <col min="3620" max="3620" width="18.42578125" style="50" bestFit="1" customWidth="1"/>
    <col min="3621" max="3621" width="5.7109375" style="50" customWidth="1"/>
    <col min="3622" max="3622" width="18.42578125" style="50" bestFit="1" customWidth="1"/>
    <col min="3623" max="3623" width="4.7109375" style="50" customWidth="1"/>
    <col min="3624" max="3624" width="23" style="50" bestFit="1" customWidth="1"/>
    <col min="3625" max="3625" width="10.85546875" style="50"/>
    <col min="3626" max="3626" width="18.42578125" style="50" bestFit="1" customWidth="1"/>
    <col min="3627" max="3627" width="16.140625" style="50" customWidth="1"/>
    <col min="3628" max="3841" width="10.85546875" style="50"/>
    <col min="3842" max="3842" width="42" style="50" customWidth="1"/>
    <col min="3843" max="3843" width="21.7109375" style="50" customWidth="1"/>
    <col min="3844" max="3855" width="20.7109375" style="50" customWidth="1"/>
    <col min="3856" max="3856" width="16.140625" style="50" customWidth="1"/>
    <col min="3857" max="3868" width="18.140625" style="50" customWidth="1"/>
    <col min="3869" max="3869" width="22.7109375" style="50" customWidth="1"/>
    <col min="3870" max="3870" width="19" style="50" customWidth="1"/>
    <col min="3871" max="3871" width="19.42578125" style="50" customWidth="1"/>
    <col min="3872" max="3872" width="6.28515625" style="50" bestFit="1" customWidth="1"/>
    <col min="3873" max="3873" width="22.85546875" style="50" customWidth="1"/>
    <col min="3874" max="3874" width="18.42578125" style="50" bestFit="1" customWidth="1"/>
    <col min="3875" max="3875" width="8.42578125" style="50" customWidth="1"/>
    <col min="3876" max="3876" width="18.42578125" style="50" bestFit="1" customWidth="1"/>
    <col min="3877" max="3877" width="5.7109375" style="50" customWidth="1"/>
    <col min="3878" max="3878" width="18.42578125" style="50" bestFit="1" customWidth="1"/>
    <col min="3879" max="3879" width="4.7109375" style="50" customWidth="1"/>
    <col min="3880" max="3880" width="23" style="50" bestFit="1" customWidth="1"/>
    <col min="3881" max="3881" width="10.85546875" style="50"/>
    <col min="3882" max="3882" width="18.42578125" style="50" bestFit="1" customWidth="1"/>
    <col min="3883" max="3883" width="16.140625" style="50" customWidth="1"/>
    <col min="3884" max="4097" width="10.85546875" style="50"/>
    <col min="4098" max="4098" width="42" style="50" customWidth="1"/>
    <col min="4099" max="4099" width="21.7109375" style="50" customWidth="1"/>
    <col min="4100" max="4111" width="20.7109375" style="50" customWidth="1"/>
    <col min="4112" max="4112" width="16.140625" style="50" customWidth="1"/>
    <col min="4113" max="4124" width="18.140625" style="50" customWidth="1"/>
    <col min="4125" max="4125" width="22.7109375" style="50" customWidth="1"/>
    <col min="4126" max="4126" width="19" style="50" customWidth="1"/>
    <col min="4127" max="4127" width="19.42578125" style="50" customWidth="1"/>
    <col min="4128" max="4128" width="6.28515625" style="50" bestFit="1" customWidth="1"/>
    <col min="4129" max="4129" width="22.85546875" style="50" customWidth="1"/>
    <col min="4130" max="4130" width="18.42578125" style="50" bestFit="1" customWidth="1"/>
    <col min="4131" max="4131" width="8.42578125" style="50" customWidth="1"/>
    <col min="4132" max="4132" width="18.42578125" style="50" bestFit="1" customWidth="1"/>
    <col min="4133" max="4133" width="5.7109375" style="50" customWidth="1"/>
    <col min="4134" max="4134" width="18.42578125" style="50" bestFit="1" customWidth="1"/>
    <col min="4135" max="4135" width="4.7109375" style="50" customWidth="1"/>
    <col min="4136" max="4136" width="23" style="50" bestFit="1" customWidth="1"/>
    <col min="4137" max="4137" width="10.85546875" style="50"/>
    <col min="4138" max="4138" width="18.42578125" style="50" bestFit="1" customWidth="1"/>
    <col min="4139" max="4139" width="16.140625" style="50" customWidth="1"/>
    <col min="4140" max="4353" width="10.85546875" style="50"/>
    <col min="4354" max="4354" width="42" style="50" customWidth="1"/>
    <col min="4355" max="4355" width="21.7109375" style="50" customWidth="1"/>
    <col min="4356" max="4367" width="20.7109375" style="50" customWidth="1"/>
    <col min="4368" max="4368" width="16.140625" style="50" customWidth="1"/>
    <col min="4369" max="4380" width="18.140625" style="50" customWidth="1"/>
    <col min="4381" max="4381" width="22.7109375" style="50" customWidth="1"/>
    <col min="4382" max="4382" width="19" style="50" customWidth="1"/>
    <col min="4383" max="4383" width="19.42578125" style="50" customWidth="1"/>
    <col min="4384" max="4384" width="6.28515625" style="50" bestFit="1" customWidth="1"/>
    <col min="4385" max="4385" width="22.85546875" style="50" customWidth="1"/>
    <col min="4386" max="4386" width="18.42578125" style="50" bestFit="1" customWidth="1"/>
    <col min="4387" max="4387" width="8.42578125" style="50" customWidth="1"/>
    <col min="4388" max="4388" width="18.42578125" style="50" bestFit="1" customWidth="1"/>
    <col min="4389" max="4389" width="5.7109375" style="50" customWidth="1"/>
    <col min="4390" max="4390" width="18.42578125" style="50" bestFit="1" customWidth="1"/>
    <col min="4391" max="4391" width="4.7109375" style="50" customWidth="1"/>
    <col min="4392" max="4392" width="23" style="50" bestFit="1" customWidth="1"/>
    <col min="4393" max="4393" width="10.85546875" style="50"/>
    <col min="4394" max="4394" width="18.42578125" style="50" bestFit="1" customWidth="1"/>
    <col min="4395" max="4395" width="16.140625" style="50" customWidth="1"/>
    <col min="4396" max="4609" width="10.85546875" style="50"/>
    <col min="4610" max="4610" width="42" style="50" customWidth="1"/>
    <col min="4611" max="4611" width="21.7109375" style="50" customWidth="1"/>
    <col min="4612" max="4623" width="20.7109375" style="50" customWidth="1"/>
    <col min="4624" max="4624" width="16.140625" style="50" customWidth="1"/>
    <col min="4625" max="4636" width="18.140625" style="50" customWidth="1"/>
    <col min="4637" max="4637" width="22.7109375" style="50" customWidth="1"/>
    <col min="4638" max="4638" width="19" style="50" customWidth="1"/>
    <col min="4639" max="4639" width="19.42578125" style="50" customWidth="1"/>
    <col min="4640" max="4640" width="6.28515625" style="50" bestFit="1" customWidth="1"/>
    <col min="4641" max="4641" width="22.85546875" style="50" customWidth="1"/>
    <col min="4642" max="4642" width="18.42578125" style="50" bestFit="1" customWidth="1"/>
    <col min="4643" max="4643" width="8.42578125" style="50" customWidth="1"/>
    <col min="4644" max="4644" width="18.42578125" style="50" bestFit="1" customWidth="1"/>
    <col min="4645" max="4645" width="5.7109375" style="50" customWidth="1"/>
    <col min="4646" max="4646" width="18.42578125" style="50" bestFit="1" customWidth="1"/>
    <col min="4647" max="4647" width="4.7109375" style="50" customWidth="1"/>
    <col min="4648" max="4648" width="23" style="50" bestFit="1" customWidth="1"/>
    <col min="4649" max="4649" width="10.85546875" style="50"/>
    <col min="4650" max="4650" width="18.42578125" style="50" bestFit="1" customWidth="1"/>
    <col min="4651" max="4651" width="16.140625" style="50" customWidth="1"/>
    <col min="4652" max="4865" width="10.85546875" style="50"/>
    <col min="4866" max="4866" width="42" style="50" customWidth="1"/>
    <col min="4867" max="4867" width="21.7109375" style="50" customWidth="1"/>
    <col min="4868" max="4879" width="20.7109375" style="50" customWidth="1"/>
    <col min="4880" max="4880" width="16.140625" style="50" customWidth="1"/>
    <col min="4881" max="4892" width="18.140625" style="50" customWidth="1"/>
    <col min="4893" max="4893" width="22.7109375" style="50" customWidth="1"/>
    <col min="4894" max="4894" width="19" style="50" customWidth="1"/>
    <col min="4895" max="4895" width="19.42578125" style="50" customWidth="1"/>
    <col min="4896" max="4896" width="6.28515625" style="50" bestFit="1" customWidth="1"/>
    <col min="4897" max="4897" width="22.85546875" style="50" customWidth="1"/>
    <col min="4898" max="4898" width="18.42578125" style="50" bestFit="1" customWidth="1"/>
    <col min="4899" max="4899" width="8.42578125" style="50" customWidth="1"/>
    <col min="4900" max="4900" width="18.42578125" style="50" bestFit="1" customWidth="1"/>
    <col min="4901" max="4901" width="5.7109375" style="50" customWidth="1"/>
    <col min="4902" max="4902" width="18.42578125" style="50" bestFit="1" customWidth="1"/>
    <col min="4903" max="4903" width="4.7109375" style="50" customWidth="1"/>
    <col min="4904" max="4904" width="23" style="50" bestFit="1" customWidth="1"/>
    <col min="4905" max="4905" width="10.85546875" style="50"/>
    <col min="4906" max="4906" width="18.42578125" style="50" bestFit="1" customWidth="1"/>
    <col min="4907" max="4907" width="16.140625" style="50" customWidth="1"/>
    <col min="4908" max="5121" width="10.85546875" style="50"/>
    <col min="5122" max="5122" width="42" style="50" customWidth="1"/>
    <col min="5123" max="5123" width="21.7109375" style="50" customWidth="1"/>
    <col min="5124" max="5135" width="20.7109375" style="50" customWidth="1"/>
    <col min="5136" max="5136" width="16.140625" style="50" customWidth="1"/>
    <col min="5137" max="5148" width="18.140625" style="50" customWidth="1"/>
    <col min="5149" max="5149" width="22.7109375" style="50" customWidth="1"/>
    <col min="5150" max="5150" width="19" style="50" customWidth="1"/>
    <col min="5151" max="5151" width="19.42578125" style="50" customWidth="1"/>
    <col min="5152" max="5152" width="6.28515625" style="50" bestFit="1" customWidth="1"/>
    <col min="5153" max="5153" width="22.85546875" style="50" customWidth="1"/>
    <col min="5154" max="5154" width="18.42578125" style="50" bestFit="1" customWidth="1"/>
    <col min="5155" max="5155" width="8.42578125" style="50" customWidth="1"/>
    <col min="5156" max="5156" width="18.42578125" style="50" bestFit="1" customWidth="1"/>
    <col min="5157" max="5157" width="5.7109375" style="50" customWidth="1"/>
    <col min="5158" max="5158" width="18.42578125" style="50" bestFit="1" customWidth="1"/>
    <col min="5159" max="5159" width="4.7109375" style="50" customWidth="1"/>
    <col min="5160" max="5160" width="23" style="50" bestFit="1" customWidth="1"/>
    <col min="5161" max="5161" width="10.85546875" style="50"/>
    <col min="5162" max="5162" width="18.42578125" style="50" bestFit="1" customWidth="1"/>
    <col min="5163" max="5163" width="16.140625" style="50" customWidth="1"/>
    <col min="5164" max="5377" width="10.85546875" style="50"/>
    <col min="5378" max="5378" width="42" style="50" customWidth="1"/>
    <col min="5379" max="5379" width="21.7109375" style="50" customWidth="1"/>
    <col min="5380" max="5391" width="20.7109375" style="50" customWidth="1"/>
    <col min="5392" max="5392" width="16.140625" style="50" customWidth="1"/>
    <col min="5393" max="5404" width="18.140625" style="50" customWidth="1"/>
    <col min="5405" max="5405" width="22.7109375" style="50" customWidth="1"/>
    <col min="5406" max="5406" width="19" style="50" customWidth="1"/>
    <col min="5407" max="5407" width="19.42578125" style="50" customWidth="1"/>
    <col min="5408" max="5408" width="6.28515625" style="50" bestFit="1" customWidth="1"/>
    <col min="5409" max="5409" width="22.85546875" style="50" customWidth="1"/>
    <col min="5410" max="5410" width="18.42578125" style="50" bestFit="1" customWidth="1"/>
    <col min="5411" max="5411" width="8.42578125" style="50" customWidth="1"/>
    <col min="5412" max="5412" width="18.42578125" style="50" bestFit="1" customWidth="1"/>
    <col min="5413" max="5413" width="5.7109375" style="50" customWidth="1"/>
    <col min="5414" max="5414" width="18.42578125" style="50" bestFit="1" customWidth="1"/>
    <col min="5415" max="5415" width="4.7109375" style="50" customWidth="1"/>
    <col min="5416" max="5416" width="23" style="50" bestFit="1" customWidth="1"/>
    <col min="5417" max="5417" width="10.85546875" style="50"/>
    <col min="5418" max="5418" width="18.42578125" style="50" bestFit="1" customWidth="1"/>
    <col min="5419" max="5419" width="16.140625" style="50" customWidth="1"/>
    <col min="5420" max="5633" width="10.85546875" style="50"/>
    <col min="5634" max="5634" width="42" style="50" customWidth="1"/>
    <col min="5635" max="5635" width="21.7109375" style="50" customWidth="1"/>
    <col min="5636" max="5647" width="20.7109375" style="50" customWidth="1"/>
    <col min="5648" max="5648" width="16.140625" style="50" customWidth="1"/>
    <col min="5649" max="5660" width="18.140625" style="50" customWidth="1"/>
    <col min="5661" max="5661" width="22.7109375" style="50" customWidth="1"/>
    <col min="5662" max="5662" width="19" style="50" customWidth="1"/>
    <col min="5663" max="5663" width="19.42578125" style="50" customWidth="1"/>
    <col min="5664" max="5664" width="6.28515625" style="50" bestFit="1" customWidth="1"/>
    <col min="5665" max="5665" width="22.85546875" style="50" customWidth="1"/>
    <col min="5666" max="5666" width="18.42578125" style="50" bestFit="1" customWidth="1"/>
    <col min="5667" max="5667" width="8.42578125" style="50" customWidth="1"/>
    <col min="5668" max="5668" width="18.42578125" style="50" bestFit="1" customWidth="1"/>
    <col min="5669" max="5669" width="5.7109375" style="50" customWidth="1"/>
    <col min="5670" max="5670" width="18.42578125" style="50" bestFit="1" customWidth="1"/>
    <col min="5671" max="5671" width="4.7109375" style="50" customWidth="1"/>
    <col min="5672" max="5672" width="23" style="50" bestFit="1" customWidth="1"/>
    <col min="5673" max="5673" width="10.85546875" style="50"/>
    <col min="5674" max="5674" width="18.42578125" style="50" bestFit="1" customWidth="1"/>
    <col min="5675" max="5675" width="16.140625" style="50" customWidth="1"/>
    <col min="5676" max="5889" width="10.85546875" style="50"/>
    <col min="5890" max="5890" width="42" style="50" customWidth="1"/>
    <col min="5891" max="5891" width="21.7109375" style="50" customWidth="1"/>
    <col min="5892" max="5903" width="20.7109375" style="50" customWidth="1"/>
    <col min="5904" max="5904" width="16.140625" style="50" customWidth="1"/>
    <col min="5905" max="5916" width="18.140625" style="50" customWidth="1"/>
    <col min="5917" max="5917" width="22.7109375" style="50" customWidth="1"/>
    <col min="5918" max="5918" width="19" style="50" customWidth="1"/>
    <col min="5919" max="5919" width="19.42578125" style="50" customWidth="1"/>
    <col min="5920" max="5920" width="6.28515625" style="50" bestFit="1" customWidth="1"/>
    <col min="5921" max="5921" width="22.85546875" style="50" customWidth="1"/>
    <col min="5922" max="5922" width="18.42578125" style="50" bestFit="1" customWidth="1"/>
    <col min="5923" max="5923" width="8.42578125" style="50" customWidth="1"/>
    <col min="5924" max="5924" width="18.42578125" style="50" bestFit="1" customWidth="1"/>
    <col min="5925" max="5925" width="5.7109375" style="50" customWidth="1"/>
    <col min="5926" max="5926" width="18.42578125" style="50" bestFit="1" customWidth="1"/>
    <col min="5927" max="5927" width="4.7109375" style="50" customWidth="1"/>
    <col min="5928" max="5928" width="23" style="50" bestFit="1" customWidth="1"/>
    <col min="5929" max="5929" width="10.85546875" style="50"/>
    <col min="5930" max="5930" width="18.42578125" style="50" bestFit="1" customWidth="1"/>
    <col min="5931" max="5931" width="16.140625" style="50" customWidth="1"/>
    <col min="5932" max="6145" width="10.85546875" style="50"/>
    <col min="6146" max="6146" width="42" style="50" customWidth="1"/>
    <col min="6147" max="6147" width="21.7109375" style="50" customWidth="1"/>
    <col min="6148" max="6159" width="20.7109375" style="50" customWidth="1"/>
    <col min="6160" max="6160" width="16.140625" style="50" customWidth="1"/>
    <col min="6161" max="6172" width="18.140625" style="50" customWidth="1"/>
    <col min="6173" max="6173" width="22.7109375" style="50" customWidth="1"/>
    <col min="6174" max="6174" width="19" style="50" customWidth="1"/>
    <col min="6175" max="6175" width="19.42578125" style="50" customWidth="1"/>
    <col min="6176" max="6176" width="6.28515625" style="50" bestFit="1" customWidth="1"/>
    <col min="6177" max="6177" width="22.85546875" style="50" customWidth="1"/>
    <col min="6178" max="6178" width="18.42578125" style="50" bestFit="1" customWidth="1"/>
    <col min="6179" max="6179" width="8.42578125" style="50" customWidth="1"/>
    <col min="6180" max="6180" width="18.42578125" style="50" bestFit="1" customWidth="1"/>
    <col min="6181" max="6181" width="5.7109375" style="50" customWidth="1"/>
    <col min="6182" max="6182" width="18.42578125" style="50" bestFit="1" customWidth="1"/>
    <col min="6183" max="6183" width="4.7109375" style="50" customWidth="1"/>
    <col min="6184" max="6184" width="23" style="50" bestFit="1" customWidth="1"/>
    <col min="6185" max="6185" width="10.85546875" style="50"/>
    <col min="6186" max="6186" width="18.42578125" style="50" bestFit="1" customWidth="1"/>
    <col min="6187" max="6187" width="16.140625" style="50" customWidth="1"/>
    <col min="6188" max="6401" width="10.85546875" style="50"/>
    <col min="6402" max="6402" width="42" style="50" customWidth="1"/>
    <col min="6403" max="6403" width="21.7109375" style="50" customWidth="1"/>
    <col min="6404" max="6415" width="20.7109375" style="50" customWidth="1"/>
    <col min="6416" max="6416" width="16.140625" style="50" customWidth="1"/>
    <col min="6417" max="6428" width="18.140625" style="50" customWidth="1"/>
    <col min="6429" max="6429" width="22.7109375" style="50" customWidth="1"/>
    <col min="6430" max="6430" width="19" style="50" customWidth="1"/>
    <col min="6431" max="6431" width="19.42578125" style="50" customWidth="1"/>
    <col min="6432" max="6432" width="6.28515625" style="50" bestFit="1" customWidth="1"/>
    <col min="6433" max="6433" width="22.85546875" style="50" customWidth="1"/>
    <col min="6434" max="6434" width="18.42578125" style="50" bestFit="1" customWidth="1"/>
    <col min="6435" max="6435" width="8.42578125" style="50" customWidth="1"/>
    <col min="6436" max="6436" width="18.42578125" style="50" bestFit="1" customWidth="1"/>
    <col min="6437" max="6437" width="5.7109375" style="50" customWidth="1"/>
    <col min="6438" max="6438" width="18.42578125" style="50" bestFit="1" customWidth="1"/>
    <col min="6439" max="6439" width="4.7109375" style="50" customWidth="1"/>
    <col min="6440" max="6440" width="23" style="50" bestFit="1" customWidth="1"/>
    <col min="6441" max="6441" width="10.85546875" style="50"/>
    <col min="6442" max="6442" width="18.42578125" style="50" bestFit="1" customWidth="1"/>
    <col min="6443" max="6443" width="16.140625" style="50" customWidth="1"/>
    <col min="6444" max="6657" width="10.85546875" style="50"/>
    <col min="6658" max="6658" width="42" style="50" customWidth="1"/>
    <col min="6659" max="6659" width="21.7109375" style="50" customWidth="1"/>
    <col min="6660" max="6671" width="20.7109375" style="50" customWidth="1"/>
    <col min="6672" max="6672" width="16.140625" style="50" customWidth="1"/>
    <col min="6673" max="6684" width="18.140625" style="50" customWidth="1"/>
    <col min="6685" max="6685" width="22.7109375" style="50" customWidth="1"/>
    <col min="6686" max="6686" width="19" style="50" customWidth="1"/>
    <col min="6687" max="6687" width="19.42578125" style="50" customWidth="1"/>
    <col min="6688" max="6688" width="6.28515625" style="50" bestFit="1" customWidth="1"/>
    <col min="6689" max="6689" width="22.85546875" style="50" customWidth="1"/>
    <col min="6690" max="6690" width="18.42578125" style="50" bestFit="1" customWidth="1"/>
    <col min="6691" max="6691" width="8.42578125" style="50" customWidth="1"/>
    <col min="6692" max="6692" width="18.42578125" style="50" bestFit="1" customWidth="1"/>
    <col min="6693" max="6693" width="5.7109375" style="50" customWidth="1"/>
    <col min="6694" max="6694" width="18.42578125" style="50" bestFit="1" customWidth="1"/>
    <col min="6695" max="6695" width="4.7109375" style="50" customWidth="1"/>
    <col min="6696" max="6696" width="23" style="50" bestFit="1" customWidth="1"/>
    <col min="6697" max="6697" width="10.85546875" style="50"/>
    <col min="6698" max="6698" width="18.42578125" style="50" bestFit="1" customWidth="1"/>
    <col min="6699" max="6699" width="16.140625" style="50" customWidth="1"/>
    <col min="6700" max="6913" width="10.85546875" style="50"/>
    <col min="6914" max="6914" width="42" style="50" customWidth="1"/>
    <col min="6915" max="6915" width="21.7109375" style="50" customWidth="1"/>
    <col min="6916" max="6927" width="20.7109375" style="50" customWidth="1"/>
    <col min="6928" max="6928" width="16.140625" style="50" customWidth="1"/>
    <col min="6929" max="6940" width="18.140625" style="50" customWidth="1"/>
    <col min="6941" max="6941" width="22.7109375" style="50" customWidth="1"/>
    <col min="6942" max="6942" width="19" style="50" customWidth="1"/>
    <col min="6943" max="6943" width="19.42578125" style="50" customWidth="1"/>
    <col min="6944" max="6944" width="6.28515625" style="50" bestFit="1" customWidth="1"/>
    <col min="6945" max="6945" width="22.85546875" style="50" customWidth="1"/>
    <col min="6946" max="6946" width="18.42578125" style="50" bestFit="1" customWidth="1"/>
    <col min="6947" max="6947" width="8.42578125" style="50" customWidth="1"/>
    <col min="6948" max="6948" width="18.42578125" style="50" bestFit="1" customWidth="1"/>
    <col min="6949" max="6949" width="5.7109375" style="50" customWidth="1"/>
    <col min="6950" max="6950" width="18.42578125" style="50" bestFit="1" customWidth="1"/>
    <col min="6951" max="6951" width="4.7109375" style="50" customWidth="1"/>
    <col min="6952" max="6952" width="23" style="50" bestFit="1" customWidth="1"/>
    <col min="6953" max="6953" width="10.85546875" style="50"/>
    <col min="6954" max="6954" width="18.42578125" style="50" bestFit="1" customWidth="1"/>
    <col min="6955" max="6955" width="16.140625" style="50" customWidth="1"/>
    <col min="6956" max="7169" width="10.85546875" style="50"/>
    <col min="7170" max="7170" width="42" style="50" customWidth="1"/>
    <col min="7171" max="7171" width="21.7109375" style="50" customWidth="1"/>
    <col min="7172" max="7183" width="20.7109375" style="50" customWidth="1"/>
    <col min="7184" max="7184" width="16.140625" style="50" customWidth="1"/>
    <col min="7185" max="7196" width="18.140625" style="50" customWidth="1"/>
    <col min="7197" max="7197" width="22.7109375" style="50" customWidth="1"/>
    <col min="7198" max="7198" width="19" style="50" customWidth="1"/>
    <col min="7199" max="7199" width="19.42578125" style="50" customWidth="1"/>
    <col min="7200" max="7200" width="6.28515625" style="50" bestFit="1" customWidth="1"/>
    <col min="7201" max="7201" width="22.85546875" style="50" customWidth="1"/>
    <col min="7202" max="7202" width="18.42578125" style="50" bestFit="1" customWidth="1"/>
    <col min="7203" max="7203" width="8.42578125" style="50" customWidth="1"/>
    <col min="7204" max="7204" width="18.42578125" style="50" bestFit="1" customWidth="1"/>
    <col min="7205" max="7205" width="5.7109375" style="50" customWidth="1"/>
    <col min="7206" max="7206" width="18.42578125" style="50" bestFit="1" customWidth="1"/>
    <col min="7207" max="7207" width="4.7109375" style="50" customWidth="1"/>
    <col min="7208" max="7208" width="23" style="50" bestFit="1" customWidth="1"/>
    <col min="7209" max="7209" width="10.85546875" style="50"/>
    <col min="7210" max="7210" width="18.42578125" style="50" bestFit="1" customWidth="1"/>
    <col min="7211" max="7211" width="16.140625" style="50" customWidth="1"/>
    <col min="7212" max="7425" width="10.85546875" style="50"/>
    <col min="7426" max="7426" width="42" style="50" customWidth="1"/>
    <col min="7427" max="7427" width="21.7109375" style="50" customWidth="1"/>
    <col min="7428" max="7439" width="20.7109375" style="50" customWidth="1"/>
    <col min="7440" max="7440" width="16.140625" style="50" customWidth="1"/>
    <col min="7441" max="7452" width="18.140625" style="50" customWidth="1"/>
    <col min="7453" max="7453" width="22.7109375" style="50" customWidth="1"/>
    <col min="7454" max="7454" width="19" style="50" customWidth="1"/>
    <col min="7455" max="7455" width="19.42578125" style="50" customWidth="1"/>
    <col min="7456" max="7456" width="6.28515625" style="50" bestFit="1" customWidth="1"/>
    <col min="7457" max="7457" width="22.85546875" style="50" customWidth="1"/>
    <col min="7458" max="7458" width="18.42578125" style="50" bestFit="1" customWidth="1"/>
    <col min="7459" max="7459" width="8.42578125" style="50" customWidth="1"/>
    <col min="7460" max="7460" width="18.42578125" style="50" bestFit="1" customWidth="1"/>
    <col min="7461" max="7461" width="5.7109375" style="50" customWidth="1"/>
    <col min="7462" max="7462" width="18.42578125" style="50" bestFit="1" customWidth="1"/>
    <col min="7463" max="7463" width="4.7109375" style="50" customWidth="1"/>
    <col min="7464" max="7464" width="23" style="50" bestFit="1" customWidth="1"/>
    <col min="7465" max="7465" width="10.85546875" style="50"/>
    <col min="7466" max="7466" width="18.42578125" style="50" bestFit="1" customWidth="1"/>
    <col min="7467" max="7467" width="16.140625" style="50" customWidth="1"/>
    <col min="7468" max="7681" width="10.85546875" style="50"/>
    <col min="7682" max="7682" width="42" style="50" customWidth="1"/>
    <col min="7683" max="7683" width="21.7109375" style="50" customWidth="1"/>
    <col min="7684" max="7695" width="20.7109375" style="50" customWidth="1"/>
    <col min="7696" max="7696" width="16.140625" style="50" customWidth="1"/>
    <col min="7697" max="7708" width="18.140625" style="50" customWidth="1"/>
    <col min="7709" max="7709" width="22.7109375" style="50" customWidth="1"/>
    <col min="7710" max="7710" width="19" style="50" customWidth="1"/>
    <col min="7711" max="7711" width="19.42578125" style="50" customWidth="1"/>
    <col min="7712" max="7712" width="6.28515625" style="50" bestFit="1" customWidth="1"/>
    <col min="7713" max="7713" width="22.85546875" style="50" customWidth="1"/>
    <col min="7714" max="7714" width="18.42578125" style="50" bestFit="1" customWidth="1"/>
    <col min="7715" max="7715" width="8.42578125" style="50" customWidth="1"/>
    <col min="7716" max="7716" width="18.42578125" style="50" bestFit="1" customWidth="1"/>
    <col min="7717" max="7717" width="5.7109375" style="50" customWidth="1"/>
    <col min="7718" max="7718" width="18.42578125" style="50" bestFit="1" customWidth="1"/>
    <col min="7719" max="7719" width="4.7109375" style="50" customWidth="1"/>
    <col min="7720" max="7720" width="23" style="50" bestFit="1" customWidth="1"/>
    <col min="7721" max="7721" width="10.85546875" style="50"/>
    <col min="7722" max="7722" width="18.42578125" style="50" bestFit="1" customWidth="1"/>
    <col min="7723" max="7723" width="16.140625" style="50" customWidth="1"/>
    <col min="7724" max="7937" width="10.85546875" style="50"/>
    <col min="7938" max="7938" width="42" style="50" customWidth="1"/>
    <col min="7939" max="7939" width="21.7109375" style="50" customWidth="1"/>
    <col min="7940" max="7951" width="20.7109375" style="50" customWidth="1"/>
    <col min="7952" max="7952" width="16.140625" style="50" customWidth="1"/>
    <col min="7953" max="7964" width="18.140625" style="50" customWidth="1"/>
    <col min="7965" max="7965" width="22.7109375" style="50" customWidth="1"/>
    <col min="7966" max="7966" width="19" style="50" customWidth="1"/>
    <col min="7967" max="7967" width="19.42578125" style="50" customWidth="1"/>
    <col min="7968" max="7968" width="6.28515625" style="50" bestFit="1" customWidth="1"/>
    <col min="7969" max="7969" width="22.85546875" style="50" customWidth="1"/>
    <col min="7970" max="7970" width="18.42578125" style="50" bestFit="1" customWidth="1"/>
    <col min="7971" max="7971" width="8.42578125" style="50" customWidth="1"/>
    <col min="7972" max="7972" width="18.42578125" style="50" bestFit="1" customWidth="1"/>
    <col min="7973" max="7973" width="5.7109375" style="50" customWidth="1"/>
    <col min="7974" max="7974" width="18.42578125" style="50" bestFit="1" customWidth="1"/>
    <col min="7975" max="7975" width="4.7109375" style="50" customWidth="1"/>
    <col min="7976" max="7976" width="23" style="50" bestFit="1" customWidth="1"/>
    <col min="7977" max="7977" width="10.85546875" style="50"/>
    <col min="7978" max="7978" width="18.42578125" style="50" bestFit="1" customWidth="1"/>
    <col min="7979" max="7979" width="16.140625" style="50" customWidth="1"/>
    <col min="7980" max="8193" width="10.85546875" style="50"/>
    <col min="8194" max="8194" width="42" style="50" customWidth="1"/>
    <col min="8195" max="8195" width="21.7109375" style="50" customWidth="1"/>
    <col min="8196" max="8207" width="20.7109375" style="50" customWidth="1"/>
    <col min="8208" max="8208" width="16.140625" style="50" customWidth="1"/>
    <col min="8209" max="8220" width="18.140625" style="50" customWidth="1"/>
    <col min="8221" max="8221" width="22.7109375" style="50" customWidth="1"/>
    <col min="8222" max="8222" width="19" style="50" customWidth="1"/>
    <col min="8223" max="8223" width="19.42578125" style="50" customWidth="1"/>
    <col min="8224" max="8224" width="6.28515625" style="50" bestFit="1" customWidth="1"/>
    <col min="8225" max="8225" width="22.85546875" style="50" customWidth="1"/>
    <col min="8226" max="8226" width="18.42578125" style="50" bestFit="1" customWidth="1"/>
    <col min="8227" max="8227" width="8.42578125" style="50" customWidth="1"/>
    <col min="8228" max="8228" width="18.42578125" style="50" bestFit="1" customWidth="1"/>
    <col min="8229" max="8229" width="5.7109375" style="50" customWidth="1"/>
    <col min="8230" max="8230" width="18.42578125" style="50" bestFit="1" customWidth="1"/>
    <col min="8231" max="8231" width="4.7109375" style="50" customWidth="1"/>
    <col min="8232" max="8232" width="23" style="50" bestFit="1" customWidth="1"/>
    <col min="8233" max="8233" width="10.85546875" style="50"/>
    <col min="8234" max="8234" width="18.42578125" style="50" bestFit="1" customWidth="1"/>
    <col min="8235" max="8235" width="16.140625" style="50" customWidth="1"/>
    <col min="8236" max="8449" width="10.85546875" style="50"/>
    <col min="8450" max="8450" width="42" style="50" customWidth="1"/>
    <col min="8451" max="8451" width="21.7109375" style="50" customWidth="1"/>
    <col min="8452" max="8463" width="20.7109375" style="50" customWidth="1"/>
    <col min="8464" max="8464" width="16.140625" style="50" customWidth="1"/>
    <col min="8465" max="8476" width="18.140625" style="50" customWidth="1"/>
    <col min="8477" max="8477" width="22.7109375" style="50" customWidth="1"/>
    <col min="8478" max="8478" width="19" style="50" customWidth="1"/>
    <col min="8479" max="8479" width="19.42578125" style="50" customWidth="1"/>
    <col min="8480" max="8480" width="6.28515625" style="50" bestFit="1" customWidth="1"/>
    <col min="8481" max="8481" width="22.85546875" style="50" customWidth="1"/>
    <col min="8482" max="8482" width="18.42578125" style="50" bestFit="1" customWidth="1"/>
    <col min="8483" max="8483" width="8.42578125" style="50" customWidth="1"/>
    <col min="8484" max="8484" width="18.42578125" style="50" bestFit="1" customWidth="1"/>
    <col min="8485" max="8485" width="5.7109375" style="50" customWidth="1"/>
    <col min="8486" max="8486" width="18.42578125" style="50" bestFit="1" customWidth="1"/>
    <col min="8487" max="8487" width="4.7109375" style="50" customWidth="1"/>
    <col min="8488" max="8488" width="23" style="50" bestFit="1" customWidth="1"/>
    <col min="8489" max="8489" width="10.85546875" style="50"/>
    <col min="8490" max="8490" width="18.42578125" style="50" bestFit="1" customWidth="1"/>
    <col min="8491" max="8491" width="16.140625" style="50" customWidth="1"/>
    <col min="8492" max="8705" width="10.85546875" style="50"/>
    <col min="8706" max="8706" width="42" style="50" customWidth="1"/>
    <col min="8707" max="8707" width="21.7109375" style="50" customWidth="1"/>
    <col min="8708" max="8719" width="20.7109375" style="50" customWidth="1"/>
    <col min="8720" max="8720" width="16.140625" style="50" customWidth="1"/>
    <col min="8721" max="8732" width="18.140625" style="50" customWidth="1"/>
    <col min="8733" max="8733" width="22.7109375" style="50" customWidth="1"/>
    <col min="8734" max="8734" width="19" style="50" customWidth="1"/>
    <col min="8735" max="8735" width="19.42578125" style="50" customWidth="1"/>
    <col min="8736" max="8736" width="6.28515625" style="50" bestFit="1" customWidth="1"/>
    <col min="8737" max="8737" width="22.85546875" style="50" customWidth="1"/>
    <col min="8738" max="8738" width="18.42578125" style="50" bestFit="1" customWidth="1"/>
    <col min="8739" max="8739" width="8.42578125" style="50" customWidth="1"/>
    <col min="8740" max="8740" width="18.42578125" style="50" bestFit="1" customWidth="1"/>
    <col min="8741" max="8741" width="5.7109375" style="50" customWidth="1"/>
    <col min="8742" max="8742" width="18.42578125" style="50" bestFit="1" customWidth="1"/>
    <col min="8743" max="8743" width="4.7109375" style="50" customWidth="1"/>
    <col min="8744" max="8744" width="23" style="50" bestFit="1" customWidth="1"/>
    <col min="8745" max="8745" width="10.85546875" style="50"/>
    <col min="8746" max="8746" width="18.42578125" style="50" bestFit="1" customWidth="1"/>
    <col min="8747" max="8747" width="16.140625" style="50" customWidth="1"/>
    <col min="8748" max="8961" width="10.85546875" style="50"/>
    <col min="8962" max="8962" width="42" style="50" customWidth="1"/>
    <col min="8963" max="8963" width="21.7109375" style="50" customWidth="1"/>
    <col min="8964" max="8975" width="20.7109375" style="50" customWidth="1"/>
    <col min="8976" max="8976" width="16.140625" style="50" customWidth="1"/>
    <col min="8977" max="8988" width="18.140625" style="50" customWidth="1"/>
    <col min="8989" max="8989" width="22.7109375" style="50" customWidth="1"/>
    <col min="8990" max="8990" width="19" style="50" customWidth="1"/>
    <col min="8991" max="8991" width="19.42578125" style="50" customWidth="1"/>
    <col min="8992" max="8992" width="6.28515625" style="50" bestFit="1" customWidth="1"/>
    <col min="8993" max="8993" width="22.85546875" style="50" customWidth="1"/>
    <col min="8994" max="8994" width="18.42578125" style="50" bestFit="1" customWidth="1"/>
    <col min="8995" max="8995" width="8.42578125" style="50" customWidth="1"/>
    <col min="8996" max="8996" width="18.42578125" style="50" bestFit="1" customWidth="1"/>
    <col min="8997" max="8997" width="5.7109375" style="50" customWidth="1"/>
    <col min="8998" max="8998" width="18.42578125" style="50" bestFit="1" customWidth="1"/>
    <col min="8999" max="8999" width="4.7109375" style="50" customWidth="1"/>
    <col min="9000" max="9000" width="23" style="50" bestFit="1" customWidth="1"/>
    <col min="9001" max="9001" width="10.85546875" style="50"/>
    <col min="9002" max="9002" width="18.42578125" style="50" bestFit="1" customWidth="1"/>
    <col min="9003" max="9003" width="16.140625" style="50" customWidth="1"/>
    <col min="9004" max="9217" width="10.85546875" style="50"/>
    <col min="9218" max="9218" width="42" style="50" customWidth="1"/>
    <col min="9219" max="9219" width="21.7109375" style="50" customWidth="1"/>
    <col min="9220" max="9231" width="20.7109375" style="50" customWidth="1"/>
    <col min="9232" max="9232" width="16.140625" style="50" customWidth="1"/>
    <col min="9233" max="9244" width="18.140625" style="50" customWidth="1"/>
    <col min="9245" max="9245" width="22.7109375" style="50" customWidth="1"/>
    <col min="9246" max="9246" width="19" style="50" customWidth="1"/>
    <col min="9247" max="9247" width="19.42578125" style="50" customWidth="1"/>
    <col min="9248" max="9248" width="6.28515625" style="50" bestFit="1" customWidth="1"/>
    <col min="9249" max="9249" width="22.85546875" style="50" customWidth="1"/>
    <col min="9250" max="9250" width="18.42578125" style="50" bestFit="1" customWidth="1"/>
    <col min="9251" max="9251" width="8.42578125" style="50" customWidth="1"/>
    <col min="9252" max="9252" width="18.42578125" style="50" bestFit="1" customWidth="1"/>
    <col min="9253" max="9253" width="5.7109375" style="50" customWidth="1"/>
    <col min="9254" max="9254" width="18.42578125" style="50" bestFit="1" customWidth="1"/>
    <col min="9255" max="9255" width="4.7109375" style="50" customWidth="1"/>
    <col min="9256" max="9256" width="23" style="50" bestFit="1" customWidth="1"/>
    <col min="9257" max="9257" width="10.85546875" style="50"/>
    <col min="9258" max="9258" width="18.42578125" style="50" bestFit="1" customWidth="1"/>
    <col min="9259" max="9259" width="16.140625" style="50" customWidth="1"/>
    <col min="9260" max="9473" width="10.85546875" style="50"/>
    <col min="9474" max="9474" width="42" style="50" customWidth="1"/>
    <col min="9475" max="9475" width="21.7109375" style="50" customWidth="1"/>
    <col min="9476" max="9487" width="20.7109375" style="50" customWidth="1"/>
    <col min="9488" max="9488" width="16.140625" style="50" customWidth="1"/>
    <col min="9489" max="9500" width="18.140625" style="50" customWidth="1"/>
    <col min="9501" max="9501" width="22.7109375" style="50" customWidth="1"/>
    <col min="9502" max="9502" width="19" style="50" customWidth="1"/>
    <col min="9503" max="9503" width="19.42578125" style="50" customWidth="1"/>
    <col min="9504" max="9504" width="6.28515625" style="50" bestFit="1" customWidth="1"/>
    <col min="9505" max="9505" width="22.85546875" style="50" customWidth="1"/>
    <col min="9506" max="9506" width="18.42578125" style="50" bestFit="1" customWidth="1"/>
    <col min="9507" max="9507" width="8.42578125" style="50" customWidth="1"/>
    <col min="9508" max="9508" width="18.42578125" style="50" bestFit="1" customWidth="1"/>
    <col min="9509" max="9509" width="5.7109375" style="50" customWidth="1"/>
    <col min="9510" max="9510" width="18.42578125" style="50" bestFit="1" customWidth="1"/>
    <col min="9511" max="9511" width="4.7109375" style="50" customWidth="1"/>
    <col min="9512" max="9512" width="23" style="50" bestFit="1" customWidth="1"/>
    <col min="9513" max="9513" width="10.85546875" style="50"/>
    <col min="9514" max="9514" width="18.42578125" style="50" bestFit="1" customWidth="1"/>
    <col min="9515" max="9515" width="16.140625" style="50" customWidth="1"/>
    <col min="9516" max="9729" width="10.85546875" style="50"/>
    <col min="9730" max="9730" width="42" style="50" customWidth="1"/>
    <col min="9731" max="9731" width="21.7109375" style="50" customWidth="1"/>
    <col min="9732" max="9743" width="20.7109375" style="50" customWidth="1"/>
    <col min="9744" max="9744" width="16.140625" style="50" customWidth="1"/>
    <col min="9745" max="9756" width="18.140625" style="50" customWidth="1"/>
    <col min="9757" max="9757" width="22.7109375" style="50" customWidth="1"/>
    <col min="9758" max="9758" width="19" style="50" customWidth="1"/>
    <col min="9759" max="9759" width="19.42578125" style="50" customWidth="1"/>
    <col min="9760" max="9760" width="6.28515625" style="50" bestFit="1" customWidth="1"/>
    <col min="9761" max="9761" width="22.85546875" style="50" customWidth="1"/>
    <col min="9762" max="9762" width="18.42578125" style="50" bestFit="1" customWidth="1"/>
    <col min="9763" max="9763" width="8.42578125" style="50" customWidth="1"/>
    <col min="9764" max="9764" width="18.42578125" style="50" bestFit="1" customWidth="1"/>
    <col min="9765" max="9765" width="5.7109375" style="50" customWidth="1"/>
    <col min="9766" max="9766" width="18.42578125" style="50" bestFit="1" customWidth="1"/>
    <col min="9767" max="9767" width="4.7109375" style="50" customWidth="1"/>
    <col min="9768" max="9768" width="23" style="50" bestFit="1" customWidth="1"/>
    <col min="9769" max="9769" width="10.85546875" style="50"/>
    <col min="9770" max="9770" width="18.42578125" style="50" bestFit="1" customWidth="1"/>
    <col min="9771" max="9771" width="16.140625" style="50" customWidth="1"/>
    <col min="9772" max="9985" width="10.85546875" style="50"/>
    <col min="9986" max="9986" width="42" style="50" customWidth="1"/>
    <col min="9987" max="9987" width="21.7109375" style="50" customWidth="1"/>
    <col min="9988" max="9999" width="20.7109375" style="50" customWidth="1"/>
    <col min="10000" max="10000" width="16.140625" style="50" customWidth="1"/>
    <col min="10001" max="10012" width="18.140625" style="50" customWidth="1"/>
    <col min="10013" max="10013" width="22.7109375" style="50" customWidth="1"/>
    <col min="10014" max="10014" width="19" style="50" customWidth="1"/>
    <col min="10015" max="10015" width="19.42578125" style="50" customWidth="1"/>
    <col min="10016" max="10016" width="6.28515625" style="50" bestFit="1" customWidth="1"/>
    <col min="10017" max="10017" width="22.85546875" style="50" customWidth="1"/>
    <col min="10018" max="10018" width="18.42578125" style="50" bestFit="1" customWidth="1"/>
    <col min="10019" max="10019" width="8.42578125" style="50" customWidth="1"/>
    <col min="10020" max="10020" width="18.42578125" style="50" bestFit="1" customWidth="1"/>
    <col min="10021" max="10021" width="5.7109375" style="50" customWidth="1"/>
    <col min="10022" max="10022" width="18.42578125" style="50" bestFit="1" customWidth="1"/>
    <col min="10023" max="10023" width="4.7109375" style="50" customWidth="1"/>
    <col min="10024" max="10024" width="23" style="50" bestFit="1" customWidth="1"/>
    <col min="10025" max="10025" width="10.85546875" style="50"/>
    <col min="10026" max="10026" width="18.42578125" style="50" bestFit="1" customWidth="1"/>
    <col min="10027" max="10027" width="16.140625" style="50" customWidth="1"/>
    <col min="10028" max="10241" width="10.85546875" style="50"/>
    <col min="10242" max="10242" width="42" style="50" customWidth="1"/>
    <col min="10243" max="10243" width="21.7109375" style="50" customWidth="1"/>
    <col min="10244" max="10255" width="20.7109375" style="50" customWidth="1"/>
    <col min="10256" max="10256" width="16.140625" style="50" customWidth="1"/>
    <col min="10257" max="10268" width="18.140625" style="50" customWidth="1"/>
    <col min="10269" max="10269" width="22.7109375" style="50" customWidth="1"/>
    <col min="10270" max="10270" width="19" style="50" customWidth="1"/>
    <col min="10271" max="10271" width="19.42578125" style="50" customWidth="1"/>
    <col min="10272" max="10272" width="6.28515625" style="50" bestFit="1" customWidth="1"/>
    <col min="10273" max="10273" width="22.85546875" style="50" customWidth="1"/>
    <col min="10274" max="10274" width="18.42578125" style="50" bestFit="1" customWidth="1"/>
    <col min="10275" max="10275" width="8.42578125" style="50" customWidth="1"/>
    <col min="10276" max="10276" width="18.42578125" style="50" bestFit="1" customWidth="1"/>
    <col min="10277" max="10277" width="5.7109375" style="50" customWidth="1"/>
    <col min="10278" max="10278" width="18.42578125" style="50" bestFit="1" customWidth="1"/>
    <col min="10279" max="10279" width="4.7109375" style="50" customWidth="1"/>
    <col min="10280" max="10280" width="23" style="50" bestFit="1" customWidth="1"/>
    <col min="10281" max="10281" width="10.85546875" style="50"/>
    <col min="10282" max="10282" width="18.42578125" style="50" bestFit="1" customWidth="1"/>
    <col min="10283" max="10283" width="16.140625" style="50" customWidth="1"/>
    <col min="10284" max="10497" width="10.85546875" style="50"/>
    <col min="10498" max="10498" width="42" style="50" customWidth="1"/>
    <col min="10499" max="10499" width="21.7109375" style="50" customWidth="1"/>
    <col min="10500" max="10511" width="20.7109375" style="50" customWidth="1"/>
    <col min="10512" max="10512" width="16.140625" style="50" customWidth="1"/>
    <col min="10513" max="10524" width="18.140625" style="50" customWidth="1"/>
    <col min="10525" max="10525" width="22.7109375" style="50" customWidth="1"/>
    <col min="10526" max="10526" width="19" style="50" customWidth="1"/>
    <col min="10527" max="10527" width="19.42578125" style="50" customWidth="1"/>
    <col min="10528" max="10528" width="6.28515625" style="50" bestFit="1" customWidth="1"/>
    <col min="10529" max="10529" width="22.85546875" style="50" customWidth="1"/>
    <col min="10530" max="10530" width="18.42578125" style="50" bestFit="1" customWidth="1"/>
    <col min="10531" max="10531" width="8.42578125" style="50" customWidth="1"/>
    <col min="10532" max="10532" width="18.42578125" style="50" bestFit="1" customWidth="1"/>
    <col min="10533" max="10533" width="5.7109375" style="50" customWidth="1"/>
    <col min="10534" max="10534" width="18.42578125" style="50" bestFit="1" customWidth="1"/>
    <col min="10535" max="10535" width="4.7109375" style="50" customWidth="1"/>
    <col min="10536" max="10536" width="23" style="50" bestFit="1" customWidth="1"/>
    <col min="10537" max="10537" width="10.85546875" style="50"/>
    <col min="10538" max="10538" width="18.42578125" style="50" bestFit="1" customWidth="1"/>
    <col min="10539" max="10539" width="16.140625" style="50" customWidth="1"/>
    <col min="10540" max="10753" width="10.85546875" style="50"/>
    <col min="10754" max="10754" width="42" style="50" customWidth="1"/>
    <col min="10755" max="10755" width="21.7109375" style="50" customWidth="1"/>
    <col min="10756" max="10767" width="20.7109375" style="50" customWidth="1"/>
    <col min="10768" max="10768" width="16.140625" style="50" customWidth="1"/>
    <col min="10769" max="10780" width="18.140625" style="50" customWidth="1"/>
    <col min="10781" max="10781" width="22.7109375" style="50" customWidth="1"/>
    <col min="10782" max="10782" width="19" style="50" customWidth="1"/>
    <col min="10783" max="10783" width="19.42578125" style="50" customWidth="1"/>
    <col min="10784" max="10784" width="6.28515625" style="50" bestFit="1" customWidth="1"/>
    <col min="10785" max="10785" width="22.85546875" style="50" customWidth="1"/>
    <col min="10786" max="10786" width="18.42578125" style="50" bestFit="1" customWidth="1"/>
    <col min="10787" max="10787" width="8.42578125" style="50" customWidth="1"/>
    <col min="10788" max="10788" width="18.42578125" style="50" bestFit="1" customWidth="1"/>
    <col min="10789" max="10789" width="5.7109375" style="50" customWidth="1"/>
    <col min="10790" max="10790" width="18.42578125" style="50" bestFit="1" customWidth="1"/>
    <col min="10791" max="10791" width="4.7109375" style="50" customWidth="1"/>
    <col min="10792" max="10792" width="23" style="50" bestFit="1" customWidth="1"/>
    <col min="10793" max="10793" width="10.85546875" style="50"/>
    <col min="10794" max="10794" width="18.42578125" style="50" bestFit="1" customWidth="1"/>
    <col min="10795" max="10795" width="16.140625" style="50" customWidth="1"/>
    <col min="10796" max="11009" width="10.85546875" style="50"/>
    <col min="11010" max="11010" width="42" style="50" customWidth="1"/>
    <col min="11011" max="11011" width="21.7109375" style="50" customWidth="1"/>
    <col min="11012" max="11023" width="20.7109375" style="50" customWidth="1"/>
    <col min="11024" max="11024" width="16.140625" style="50" customWidth="1"/>
    <col min="11025" max="11036" width="18.140625" style="50" customWidth="1"/>
    <col min="11037" max="11037" width="22.7109375" style="50" customWidth="1"/>
    <col min="11038" max="11038" width="19" style="50" customWidth="1"/>
    <col min="11039" max="11039" width="19.42578125" style="50" customWidth="1"/>
    <col min="11040" max="11040" width="6.28515625" style="50" bestFit="1" customWidth="1"/>
    <col min="11041" max="11041" width="22.85546875" style="50" customWidth="1"/>
    <col min="11042" max="11042" width="18.42578125" style="50" bestFit="1" customWidth="1"/>
    <col min="11043" max="11043" width="8.42578125" style="50" customWidth="1"/>
    <col min="11044" max="11044" width="18.42578125" style="50" bestFit="1" customWidth="1"/>
    <col min="11045" max="11045" width="5.7109375" style="50" customWidth="1"/>
    <col min="11046" max="11046" width="18.42578125" style="50" bestFit="1" customWidth="1"/>
    <col min="11047" max="11047" width="4.7109375" style="50" customWidth="1"/>
    <col min="11048" max="11048" width="23" style="50" bestFit="1" customWidth="1"/>
    <col min="11049" max="11049" width="10.85546875" style="50"/>
    <col min="11050" max="11050" width="18.42578125" style="50" bestFit="1" customWidth="1"/>
    <col min="11051" max="11051" width="16.140625" style="50" customWidth="1"/>
    <col min="11052" max="11265" width="10.85546875" style="50"/>
    <col min="11266" max="11266" width="42" style="50" customWidth="1"/>
    <col min="11267" max="11267" width="21.7109375" style="50" customWidth="1"/>
    <col min="11268" max="11279" width="20.7109375" style="50" customWidth="1"/>
    <col min="11280" max="11280" width="16.140625" style="50" customWidth="1"/>
    <col min="11281" max="11292" width="18.140625" style="50" customWidth="1"/>
    <col min="11293" max="11293" width="22.7109375" style="50" customWidth="1"/>
    <col min="11294" max="11294" width="19" style="50" customWidth="1"/>
    <col min="11295" max="11295" width="19.42578125" style="50" customWidth="1"/>
    <col min="11296" max="11296" width="6.28515625" style="50" bestFit="1" customWidth="1"/>
    <col min="11297" max="11297" width="22.85546875" style="50" customWidth="1"/>
    <col min="11298" max="11298" width="18.42578125" style="50" bestFit="1" customWidth="1"/>
    <col min="11299" max="11299" width="8.42578125" style="50" customWidth="1"/>
    <col min="11300" max="11300" width="18.42578125" style="50" bestFit="1" customWidth="1"/>
    <col min="11301" max="11301" width="5.7109375" style="50" customWidth="1"/>
    <col min="11302" max="11302" width="18.42578125" style="50" bestFit="1" customWidth="1"/>
    <col min="11303" max="11303" width="4.7109375" style="50" customWidth="1"/>
    <col min="11304" max="11304" width="23" style="50" bestFit="1" customWidth="1"/>
    <col min="11305" max="11305" width="10.85546875" style="50"/>
    <col min="11306" max="11306" width="18.42578125" style="50" bestFit="1" customWidth="1"/>
    <col min="11307" max="11307" width="16.140625" style="50" customWidth="1"/>
    <col min="11308" max="11521" width="10.85546875" style="50"/>
    <col min="11522" max="11522" width="42" style="50" customWidth="1"/>
    <col min="11523" max="11523" width="21.7109375" style="50" customWidth="1"/>
    <col min="11524" max="11535" width="20.7109375" style="50" customWidth="1"/>
    <col min="11536" max="11536" width="16.140625" style="50" customWidth="1"/>
    <col min="11537" max="11548" width="18.140625" style="50" customWidth="1"/>
    <col min="11549" max="11549" width="22.7109375" style="50" customWidth="1"/>
    <col min="11550" max="11550" width="19" style="50" customWidth="1"/>
    <col min="11551" max="11551" width="19.42578125" style="50" customWidth="1"/>
    <col min="11552" max="11552" width="6.28515625" style="50" bestFit="1" customWidth="1"/>
    <col min="11553" max="11553" width="22.85546875" style="50" customWidth="1"/>
    <col min="11554" max="11554" width="18.42578125" style="50" bestFit="1" customWidth="1"/>
    <col min="11555" max="11555" width="8.42578125" style="50" customWidth="1"/>
    <col min="11556" max="11556" width="18.42578125" style="50" bestFit="1" customWidth="1"/>
    <col min="11557" max="11557" width="5.7109375" style="50" customWidth="1"/>
    <col min="11558" max="11558" width="18.42578125" style="50" bestFit="1" customWidth="1"/>
    <col min="11559" max="11559" width="4.7109375" style="50" customWidth="1"/>
    <col min="11560" max="11560" width="23" style="50" bestFit="1" customWidth="1"/>
    <col min="11561" max="11561" width="10.85546875" style="50"/>
    <col min="11562" max="11562" width="18.42578125" style="50" bestFit="1" customWidth="1"/>
    <col min="11563" max="11563" width="16.140625" style="50" customWidth="1"/>
    <col min="11564" max="11777" width="10.85546875" style="50"/>
    <col min="11778" max="11778" width="42" style="50" customWidth="1"/>
    <col min="11779" max="11779" width="21.7109375" style="50" customWidth="1"/>
    <col min="11780" max="11791" width="20.7109375" style="50" customWidth="1"/>
    <col min="11792" max="11792" width="16.140625" style="50" customWidth="1"/>
    <col min="11793" max="11804" width="18.140625" style="50" customWidth="1"/>
    <col min="11805" max="11805" width="22.7109375" style="50" customWidth="1"/>
    <col min="11806" max="11806" width="19" style="50" customWidth="1"/>
    <col min="11807" max="11807" width="19.42578125" style="50" customWidth="1"/>
    <col min="11808" max="11808" width="6.28515625" style="50" bestFit="1" customWidth="1"/>
    <col min="11809" max="11809" width="22.85546875" style="50" customWidth="1"/>
    <col min="11810" max="11810" width="18.42578125" style="50" bestFit="1" customWidth="1"/>
    <col min="11811" max="11811" width="8.42578125" style="50" customWidth="1"/>
    <col min="11812" max="11812" width="18.42578125" style="50" bestFit="1" customWidth="1"/>
    <col min="11813" max="11813" width="5.7109375" style="50" customWidth="1"/>
    <col min="11814" max="11814" width="18.42578125" style="50" bestFit="1" customWidth="1"/>
    <col min="11815" max="11815" width="4.7109375" style="50" customWidth="1"/>
    <col min="11816" max="11816" width="23" style="50" bestFit="1" customWidth="1"/>
    <col min="11817" max="11817" width="10.85546875" style="50"/>
    <col min="11818" max="11818" width="18.42578125" style="50" bestFit="1" customWidth="1"/>
    <col min="11819" max="11819" width="16.140625" style="50" customWidth="1"/>
    <col min="11820" max="12033" width="10.85546875" style="50"/>
    <col min="12034" max="12034" width="42" style="50" customWidth="1"/>
    <col min="12035" max="12035" width="21.7109375" style="50" customWidth="1"/>
    <col min="12036" max="12047" width="20.7109375" style="50" customWidth="1"/>
    <col min="12048" max="12048" width="16.140625" style="50" customWidth="1"/>
    <col min="12049" max="12060" width="18.140625" style="50" customWidth="1"/>
    <col min="12061" max="12061" width="22.7109375" style="50" customWidth="1"/>
    <col min="12062" max="12062" width="19" style="50" customWidth="1"/>
    <col min="12063" max="12063" width="19.42578125" style="50" customWidth="1"/>
    <col min="12064" max="12064" width="6.28515625" style="50" bestFit="1" customWidth="1"/>
    <col min="12065" max="12065" width="22.85546875" style="50" customWidth="1"/>
    <col min="12066" max="12066" width="18.42578125" style="50" bestFit="1" customWidth="1"/>
    <col min="12067" max="12067" width="8.42578125" style="50" customWidth="1"/>
    <col min="12068" max="12068" width="18.42578125" style="50" bestFit="1" customWidth="1"/>
    <col min="12069" max="12069" width="5.7109375" style="50" customWidth="1"/>
    <col min="12070" max="12070" width="18.42578125" style="50" bestFit="1" customWidth="1"/>
    <col min="12071" max="12071" width="4.7109375" style="50" customWidth="1"/>
    <col min="12072" max="12072" width="23" style="50" bestFit="1" customWidth="1"/>
    <col min="12073" max="12073" width="10.85546875" style="50"/>
    <col min="12074" max="12074" width="18.42578125" style="50" bestFit="1" customWidth="1"/>
    <col min="12075" max="12075" width="16.140625" style="50" customWidth="1"/>
    <col min="12076" max="12289" width="10.85546875" style="50"/>
    <col min="12290" max="12290" width="42" style="50" customWidth="1"/>
    <col min="12291" max="12291" width="21.7109375" style="50" customWidth="1"/>
    <col min="12292" max="12303" width="20.7109375" style="50" customWidth="1"/>
    <col min="12304" max="12304" width="16.140625" style="50" customWidth="1"/>
    <col min="12305" max="12316" width="18.140625" style="50" customWidth="1"/>
    <col min="12317" max="12317" width="22.7109375" style="50" customWidth="1"/>
    <col min="12318" max="12318" width="19" style="50" customWidth="1"/>
    <col min="12319" max="12319" width="19.42578125" style="50" customWidth="1"/>
    <col min="12320" max="12320" width="6.28515625" style="50" bestFit="1" customWidth="1"/>
    <col min="12321" max="12321" width="22.85546875" style="50" customWidth="1"/>
    <col min="12322" max="12322" width="18.42578125" style="50" bestFit="1" customWidth="1"/>
    <col min="12323" max="12323" width="8.42578125" style="50" customWidth="1"/>
    <col min="12324" max="12324" width="18.42578125" style="50" bestFit="1" customWidth="1"/>
    <col min="12325" max="12325" width="5.7109375" style="50" customWidth="1"/>
    <col min="12326" max="12326" width="18.42578125" style="50" bestFit="1" customWidth="1"/>
    <col min="12327" max="12327" width="4.7109375" style="50" customWidth="1"/>
    <col min="12328" max="12328" width="23" style="50" bestFit="1" customWidth="1"/>
    <col min="12329" max="12329" width="10.85546875" style="50"/>
    <col min="12330" max="12330" width="18.42578125" style="50" bestFit="1" customWidth="1"/>
    <col min="12331" max="12331" width="16.140625" style="50" customWidth="1"/>
    <col min="12332" max="12545" width="10.85546875" style="50"/>
    <col min="12546" max="12546" width="42" style="50" customWidth="1"/>
    <col min="12547" max="12547" width="21.7109375" style="50" customWidth="1"/>
    <col min="12548" max="12559" width="20.7109375" style="50" customWidth="1"/>
    <col min="12560" max="12560" width="16.140625" style="50" customWidth="1"/>
    <col min="12561" max="12572" width="18.140625" style="50" customWidth="1"/>
    <col min="12573" max="12573" width="22.7109375" style="50" customWidth="1"/>
    <col min="12574" max="12574" width="19" style="50" customWidth="1"/>
    <col min="12575" max="12575" width="19.42578125" style="50" customWidth="1"/>
    <col min="12576" max="12576" width="6.28515625" style="50" bestFit="1" customWidth="1"/>
    <col min="12577" max="12577" width="22.85546875" style="50" customWidth="1"/>
    <col min="12578" max="12578" width="18.42578125" style="50" bestFit="1" customWidth="1"/>
    <col min="12579" max="12579" width="8.42578125" style="50" customWidth="1"/>
    <col min="12580" max="12580" width="18.42578125" style="50" bestFit="1" customWidth="1"/>
    <col min="12581" max="12581" width="5.7109375" style="50" customWidth="1"/>
    <col min="12582" max="12582" width="18.42578125" style="50" bestFit="1" customWidth="1"/>
    <col min="12583" max="12583" width="4.7109375" style="50" customWidth="1"/>
    <col min="12584" max="12584" width="23" style="50" bestFit="1" customWidth="1"/>
    <col min="12585" max="12585" width="10.85546875" style="50"/>
    <col min="12586" max="12586" width="18.42578125" style="50" bestFit="1" customWidth="1"/>
    <col min="12587" max="12587" width="16.140625" style="50" customWidth="1"/>
    <col min="12588" max="12801" width="10.85546875" style="50"/>
    <col min="12802" max="12802" width="42" style="50" customWidth="1"/>
    <col min="12803" max="12803" width="21.7109375" style="50" customWidth="1"/>
    <col min="12804" max="12815" width="20.7109375" style="50" customWidth="1"/>
    <col min="12816" max="12816" width="16.140625" style="50" customWidth="1"/>
    <col min="12817" max="12828" width="18.140625" style="50" customWidth="1"/>
    <col min="12829" max="12829" width="22.7109375" style="50" customWidth="1"/>
    <col min="12830" max="12830" width="19" style="50" customWidth="1"/>
    <col min="12831" max="12831" width="19.42578125" style="50" customWidth="1"/>
    <col min="12832" max="12832" width="6.28515625" style="50" bestFit="1" customWidth="1"/>
    <col min="12833" max="12833" width="22.85546875" style="50" customWidth="1"/>
    <col min="12834" max="12834" width="18.42578125" style="50" bestFit="1" customWidth="1"/>
    <col min="12835" max="12835" width="8.42578125" style="50" customWidth="1"/>
    <col min="12836" max="12836" width="18.42578125" style="50" bestFit="1" customWidth="1"/>
    <col min="12837" max="12837" width="5.7109375" style="50" customWidth="1"/>
    <col min="12838" max="12838" width="18.42578125" style="50" bestFit="1" customWidth="1"/>
    <col min="12839" max="12839" width="4.7109375" style="50" customWidth="1"/>
    <col min="12840" max="12840" width="23" style="50" bestFit="1" customWidth="1"/>
    <col min="12841" max="12841" width="10.85546875" style="50"/>
    <col min="12842" max="12842" width="18.42578125" style="50" bestFit="1" customWidth="1"/>
    <col min="12843" max="12843" width="16.140625" style="50" customWidth="1"/>
    <col min="12844" max="13057" width="10.85546875" style="50"/>
    <col min="13058" max="13058" width="42" style="50" customWidth="1"/>
    <col min="13059" max="13059" width="21.7109375" style="50" customWidth="1"/>
    <col min="13060" max="13071" width="20.7109375" style="50" customWidth="1"/>
    <col min="13072" max="13072" width="16.140625" style="50" customWidth="1"/>
    <col min="13073" max="13084" width="18.140625" style="50" customWidth="1"/>
    <col min="13085" max="13085" width="22.7109375" style="50" customWidth="1"/>
    <col min="13086" max="13086" width="19" style="50" customWidth="1"/>
    <col min="13087" max="13087" width="19.42578125" style="50" customWidth="1"/>
    <col min="13088" max="13088" width="6.28515625" style="50" bestFit="1" customWidth="1"/>
    <col min="13089" max="13089" width="22.85546875" style="50" customWidth="1"/>
    <col min="13090" max="13090" width="18.42578125" style="50" bestFit="1" customWidth="1"/>
    <col min="13091" max="13091" width="8.42578125" style="50" customWidth="1"/>
    <col min="13092" max="13092" width="18.42578125" style="50" bestFit="1" customWidth="1"/>
    <col min="13093" max="13093" width="5.7109375" style="50" customWidth="1"/>
    <col min="13094" max="13094" width="18.42578125" style="50" bestFit="1" customWidth="1"/>
    <col min="13095" max="13095" width="4.7109375" style="50" customWidth="1"/>
    <col min="13096" max="13096" width="23" style="50" bestFit="1" customWidth="1"/>
    <col min="13097" max="13097" width="10.85546875" style="50"/>
    <col min="13098" max="13098" width="18.42578125" style="50" bestFit="1" customWidth="1"/>
    <col min="13099" max="13099" width="16.140625" style="50" customWidth="1"/>
    <col min="13100" max="13313" width="10.85546875" style="50"/>
    <col min="13314" max="13314" width="42" style="50" customWidth="1"/>
    <col min="13315" max="13315" width="21.7109375" style="50" customWidth="1"/>
    <col min="13316" max="13327" width="20.7109375" style="50" customWidth="1"/>
    <col min="13328" max="13328" width="16.140625" style="50" customWidth="1"/>
    <col min="13329" max="13340" width="18.140625" style="50" customWidth="1"/>
    <col min="13341" max="13341" width="22.7109375" style="50" customWidth="1"/>
    <col min="13342" max="13342" width="19" style="50" customWidth="1"/>
    <col min="13343" max="13343" width="19.42578125" style="50" customWidth="1"/>
    <col min="13344" max="13344" width="6.28515625" style="50" bestFit="1" customWidth="1"/>
    <col min="13345" max="13345" width="22.85546875" style="50" customWidth="1"/>
    <col min="13346" max="13346" width="18.42578125" style="50" bestFit="1" customWidth="1"/>
    <col min="13347" max="13347" width="8.42578125" style="50" customWidth="1"/>
    <col min="13348" max="13348" width="18.42578125" style="50" bestFit="1" customWidth="1"/>
    <col min="13349" max="13349" width="5.7109375" style="50" customWidth="1"/>
    <col min="13350" max="13350" width="18.42578125" style="50" bestFit="1" customWidth="1"/>
    <col min="13351" max="13351" width="4.7109375" style="50" customWidth="1"/>
    <col min="13352" max="13352" width="23" style="50" bestFit="1" customWidth="1"/>
    <col min="13353" max="13353" width="10.85546875" style="50"/>
    <col min="13354" max="13354" width="18.42578125" style="50" bestFit="1" customWidth="1"/>
    <col min="13355" max="13355" width="16.140625" style="50" customWidth="1"/>
    <col min="13356" max="13569" width="10.85546875" style="50"/>
    <col min="13570" max="13570" width="42" style="50" customWidth="1"/>
    <col min="13571" max="13571" width="21.7109375" style="50" customWidth="1"/>
    <col min="13572" max="13583" width="20.7109375" style="50" customWidth="1"/>
    <col min="13584" max="13584" width="16.140625" style="50" customWidth="1"/>
    <col min="13585" max="13596" width="18.140625" style="50" customWidth="1"/>
    <col min="13597" max="13597" width="22.7109375" style="50" customWidth="1"/>
    <col min="13598" max="13598" width="19" style="50" customWidth="1"/>
    <col min="13599" max="13599" width="19.42578125" style="50" customWidth="1"/>
    <col min="13600" max="13600" width="6.28515625" style="50" bestFit="1" customWidth="1"/>
    <col min="13601" max="13601" width="22.85546875" style="50" customWidth="1"/>
    <col min="13602" max="13602" width="18.42578125" style="50" bestFit="1" customWidth="1"/>
    <col min="13603" max="13603" width="8.42578125" style="50" customWidth="1"/>
    <col min="13604" max="13604" width="18.42578125" style="50" bestFit="1" customWidth="1"/>
    <col min="13605" max="13605" width="5.7109375" style="50" customWidth="1"/>
    <col min="13606" max="13606" width="18.42578125" style="50" bestFit="1" customWidth="1"/>
    <col min="13607" max="13607" width="4.7109375" style="50" customWidth="1"/>
    <col min="13608" max="13608" width="23" style="50" bestFit="1" customWidth="1"/>
    <col min="13609" max="13609" width="10.85546875" style="50"/>
    <col min="13610" max="13610" width="18.42578125" style="50" bestFit="1" customWidth="1"/>
    <col min="13611" max="13611" width="16.140625" style="50" customWidth="1"/>
    <col min="13612" max="13825" width="10.85546875" style="50"/>
    <col min="13826" max="13826" width="42" style="50" customWidth="1"/>
    <col min="13827" max="13827" width="21.7109375" style="50" customWidth="1"/>
    <col min="13828" max="13839" width="20.7109375" style="50" customWidth="1"/>
    <col min="13840" max="13840" width="16.140625" style="50" customWidth="1"/>
    <col min="13841" max="13852" width="18.140625" style="50" customWidth="1"/>
    <col min="13853" max="13853" width="22.7109375" style="50" customWidth="1"/>
    <col min="13854" max="13854" width="19" style="50" customWidth="1"/>
    <col min="13855" max="13855" width="19.42578125" style="50" customWidth="1"/>
    <col min="13856" max="13856" width="6.28515625" style="50" bestFit="1" customWidth="1"/>
    <col min="13857" max="13857" width="22.85546875" style="50" customWidth="1"/>
    <col min="13858" max="13858" width="18.42578125" style="50" bestFit="1" customWidth="1"/>
    <col min="13859" max="13859" width="8.42578125" style="50" customWidth="1"/>
    <col min="13860" max="13860" width="18.42578125" style="50" bestFit="1" customWidth="1"/>
    <col min="13861" max="13861" width="5.7109375" style="50" customWidth="1"/>
    <col min="13862" max="13862" width="18.42578125" style="50" bestFit="1" customWidth="1"/>
    <col min="13863" max="13863" width="4.7109375" style="50" customWidth="1"/>
    <col min="13864" max="13864" width="23" style="50" bestFit="1" customWidth="1"/>
    <col min="13865" max="13865" width="10.85546875" style="50"/>
    <col min="13866" max="13866" width="18.42578125" style="50" bestFit="1" customWidth="1"/>
    <col min="13867" max="13867" width="16.140625" style="50" customWidth="1"/>
    <col min="13868" max="14081" width="10.85546875" style="50"/>
    <col min="14082" max="14082" width="42" style="50" customWidth="1"/>
    <col min="14083" max="14083" width="21.7109375" style="50" customWidth="1"/>
    <col min="14084" max="14095" width="20.7109375" style="50" customWidth="1"/>
    <col min="14096" max="14096" width="16.140625" style="50" customWidth="1"/>
    <col min="14097" max="14108" width="18.140625" style="50" customWidth="1"/>
    <col min="14109" max="14109" width="22.7109375" style="50" customWidth="1"/>
    <col min="14110" max="14110" width="19" style="50" customWidth="1"/>
    <col min="14111" max="14111" width="19.42578125" style="50" customWidth="1"/>
    <col min="14112" max="14112" width="6.28515625" style="50" bestFit="1" customWidth="1"/>
    <col min="14113" max="14113" width="22.85546875" style="50" customWidth="1"/>
    <col min="14114" max="14114" width="18.42578125" style="50" bestFit="1" customWidth="1"/>
    <col min="14115" max="14115" width="8.42578125" style="50" customWidth="1"/>
    <col min="14116" max="14116" width="18.42578125" style="50" bestFit="1" customWidth="1"/>
    <col min="14117" max="14117" width="5.7109375" style="50" customWidth="1"/>
    <col min="14118" max="14118" width="18.42578125" style="50" bestFit="1" customWidth="1"/>
    <col min="14119" max="14119" width="4.7109375" style="50" customWidth="1"/>
    <col min="14120" max="14120" width="23" style="50" bestFit="1" customWidth="1"/>
    <col min="14121" max="14121" width="10.85546875" style="50"/>
    <col min="14122" max="14122" width="18.42578125" style="50" bestFit="1" customWidth="1"/>
    <col min="14123" max="14123" width="16.140625" style="50" customWidth="1"/>
    <col min="14124" max="14337" width="10.85546875" style="50"/>
    <col min="14338" max="14338" width="42" style="50" customWidth="1"/>
    <col min="14339" max="14339" width="21.7109375" style="50" customWidth="1"/>
    <col min="14340" max="14351" width="20.7109375" style="50" customWidth="1"/>
    <col min="14352" max="14352" width="16.140625" style="50" customWidth="1"/>
    <col min="14353" max="14364" width="18.140625" style="50" customWidth="1"/>
    <col min="14365" max="14365" width="22.7109375" style="50" customWidth="1"/>
    <col min="14366" max="14366" width="19" style="50" customWidth="1"/>
    <col min="14367" max="14367" width="19.42578125" style="50" customWidth="1"/>
    <col min="14368" max="14368" width="6.28515625" style="50" bestFit="1" customWidth="1"/>
    <col min="14369" max="14369" width="22.85546875" style="50" customWidth="1"/>
    <col min="14370" max="14370" width="18.42578125" style="50" bestFit="1" customWidth="1"/>
    <col min="14371" max="14371" width="8.42578125" style="50" customWidth="1"/>
    <col min="14372" max="14372" width="18.42578125" style="50" bestFit="1" customWidth="1"/>
    <col min="14373" max="14373" width="5.7109375" style="50" customWidth="1"/>
    <col min="14374" max="14374" width="18.42578125" style="50" bestFit="1" customWidth="1"/>
    <col min="14375" max="14375" width="4.7109375" style="50" customWidth="1"/>
    <col min="14376" max="14376" width="23" style="50" bestFit="1" customWidth="1"/>
    <col min="14377" max="14377" width="10.85546875" style="50"/>
    <col min="14378" max="14378" width="18.42578125" style="50" bestFit="1" customWidth="1"/>
    <col min="14379" max="14379" width="16.140625" style="50" customWidth="1"/>
    <col min="14380" max="14593" width="10.85546875" style="50"/>
    <col min="14594" max="14594" width="42" style="50" customWidth="1"/>
    <col min="14595" max="14595" width="21.7109375" style="50" customWidth="1"/>
    <col min="14596" max="14607" width="20.7109375" style="50" customWidth="1"/>
    <col min="14608" max="14608" width="16.140625" style="50" customWidth="1"/>
    <col min="14609" max="14620" width="18.140625" style="50" customWidth="1"/>
    <col min="14621" max="14621" width="22.7109375" style="50" customWidth="1"/>
    <col min="14622" max="14622" width="19" style="50" customWidth="1"/>
    <col min="14623" max="14623" width="19.42578125" style="50" customWidth="1"/>
    <col min="14624" max="14624" width="6.28515625" style="50" bestFit="1" customWidth="1"/>
    <col min="14625" max="14625" width="22.85546875" style="50" customWidth="1"/>
    <col min="14626" max="14626" width="18.42578125" style="50" bestFit="1" customWidth="1"/>
    <col min="14627" max="14627" width="8.42578125" style="50" customWidth="1"/>
    <col min="14628" max="14628" width="18.42578125" style="50" bestFit="1" customWidth="1"/>
    <col min="14629" max="14629" width="5.7109375" style="50" customWidth="1"/>
    <col min="14630" max="14630" width="18.42578125" style="50" bestFit="1" customWidth="1"/>
    <col min="14631" max="14631" width="4.7109375" style="50" customWidth="1"/>
    <col min="14632" max="14632" width="23" style="50" bestFit="1" customWidth="1"/>
    <col min="14633" max="14633" width="10.85546875" style="50"/>
    <col min="14634" max="14634" width="18.42578125" style="50" bestFit="1" customWidth="1"/>
    <col min="14635" max="14635" width="16.140625" style="50" customWidth="1"/>
    <col min="14636" max="14849" width="10.85546875" style="50"/>
    <col min="14850" max="14850" width="42" style="50" customWidth="1"/>
    <col min="14851" max="14851" width="21.7109375" style="50" customWidth="1"/>
    <col min="14852" max="14863" width="20.7109375" style="50" customWidth="1"/>
    <col min="14864" max="14864" width="16.140625" style="50" customWidth="1"/>
    <col min="14865" max="14876" width="18.140625" style="50" customWidth="1"/>
    <col min="14877" max="14877" width="22.7109375" style="50" customWidth="1"/>
    <col min="14878" max="14878" width="19" style="50" customWidth="1"/>
    <col min="14879" max="14879" width="19.42578125" style="50" customWidth="1"/>
    <col min="14880" max="14880" width="6.28515625" style="50" bestFit="1" customWidth="1"/>
    <col min="14881" max="14881" width="22.85546875" style="50" customWidth="1"/>
    <col min="14882" max="14882" width="18.42578125" style="50" bestFit="1" customWidth="1"/>
    <col min="14883" max="14883" width="8.42578125" style="50" customWidth="1"/>
    <col min="14884" max="14884" width="18.42578125" style="50" bestFit="1" customWidth="1"/>
    <col min="14885" max="14885" width="5.7109375" style="50" customWidth="1"/>
    <col min="14886" max="14886" width="18.42578125" style="50" bestFit="1" customWidth="1"/>
    <col min="14887" max="14887" width="4.7109375" style="50" customWidth="1"/>
    <col min="14888" max="14888" width="23" style="50" bestFit="1" customWidth="1"/>
    <col min="14889" max="14889" width="10.85546875" style="50"/>
    <col min="14890" max="14890" width="18.42578125" style="50" bestFit="1" customWidth="1"/>
    <col min="14891" max="14891" width="16.140625" style="50" customWidth="1"/>
    <col min="14892" max="15105" width="10.85546875" style="50"/>
    <col min="15106" max="15106" width="42" style="50" customWidth="1"/>
    <col min="15107" max="15107" width="21.7109375" style="50" customWidth="1"/>
    <col min="15108" max="15119" width="20.7109375" style="50" customWidth="1"/>
    <col min="15120" max="15120" width="16.140625" style="50" customWidth="1"/>
    <col min="15121" max="15132" width="18.140625" style="50" customWidth="1"/>
    <col min="15133" max="15133" width="22.7109375" style="50" customWidth="1"/>
    <col min="15134" max="15134" width="19" style="50" customWidth="1"/>
    <col min="15135" max="15135" width="19.42578125" style="50" customWidth="1"/>
    <col min="15136" max="15136" width="6.28515625" style="50" bestFit="1" customWidth="1"/>
    <col min="15137" max="15137" width="22.85546875" style="50" customWidth="1"/>
    <col min="15138" max="15138" width="18.42578125" style="50" bestFit="1" customWidth="1"/>
    <col min="15139" max="15139" width="8.42578125" style="50" customWidth="1"/>
    <col min="15140" max="15140" width="18.42578125" style="50" bestFit="1" customWidth="1"/>
    <col min="15141" max="15141" width="5.7109375" style="50" customWidth="1"/>
    <col min="15142" max="15142" width="18.42578125" style="50" bestFit="1" customWidth="1"/>
    <col min="15143" max="15143" width="4.7109375" style="50" customWidth="1"/>
    <col min="15144" max="15144" width="23" style="50" bestFit="1" customWidth="1"/>
    <col min="15145" max="15145" width="10.85546875" style="50"/>
    <col min="15146" max="15146" width="18.42578125" style="50" bestFit="1" customWidth="1"/>
    <col min="15147" max="15147" width="16.140625" style="50" customWidth="1"/>
    <col min="15148" max="15361" width="10.85546875" style="50"/>
    <col min="15362" max="15362" width="42" style="50" customWidth="1"/>
    <col min="15363" max="15363" width="21.7109375" style="50" customWidth="1"/>
    <col min="15364" max="15375" width="20.7109375" style="50" customWidth="1"/>
    <col min="15376" max="15376" width="16.140625" style="50" customWidth="1"/>
    <col min="15377" max="15388" width="18.140625" style="50" customWidth="1"/>
    <col min="15389" max="15389" width="22.7109375" style="50" customWidth="1"/>
    <col min="15390" max="15390" width="19" style="50" customWidth="1"/>
    <col min="15391" max="15391" width="19.42578125" style="50" customWidth="1"/>
    <col min="15392" max="15392" width="6.28515625" style="50" bestFit="1" customWidth="1"/>
    <col min="15393" max="15393" width="22.85546875" style="50" customWidth="1"/>
    <col min="15394" max="15394" width="18.42578125" style="50" bestFit="1" customWidth="1"/>
    <col min="15395" max="15395" width="8.42578125" style="50" customWidth="1"/>
    <col min="15396" max="15396" width="18.42578125" style="50" bestFit="1" customWidth="1"/>
    <col min="15397" max="15397" width="5.7109375" style="50" customWidth="1"/>
    <col min="15398" max="15398" width="18.42578125" style="50" bestFit="1" customWidth="1"/>
    <col min="15399" max="15399" width="4.7109375" style="50" customWidth="1"/>
    <col min="15400" max="15400" width="23" style="50" bestFit="1" customWidth="1"/>
    <col min="15401" max="15401" width="10.85546875" style="50"/>
    <col min="15402" max="15402" width="18.42578125" style="50" bestFit="1" customWidth="1"/>
    <col min="15403" max="15403" width="16.140625" style="50" customWidth="1"/>
    <col min="15404" max="15617" width="10.85546875" style="50"/>
    <col min="15618" max="15618" width="42" style="50" customWidth="1"/>
    <col min="15619" max="15619" width="21.7109375" style="50" customWidth="1"/>
    <col min="15620" max="15631" width="20.7109375" style="50" customWidth="1"/>
    <col min="15632" max="15632" width="16.140625" style="50" customWidth="1"/>
    <col min="15633" max="15644" width="18.140625" style="50" customWidth="1"/>
    <col min="15645" max="15645" width="22.7109375" style="50" customWidth="1"/>
    <col min="15646" max="15646" width="19" style="50" customWidth="1"/>
    <col min="15647" max="15647" width="19.42578125" style="50" customWidth="1"/>
    <col min="15648" max="15648" width="6.28515625" style="50" bestFit="1" customWidth="1"/>
    <col min="15649" max="15649" width="22.85546875" style="50" customWidth="1"/>
    <col min="15650" max="15650" width="18.42578125" style="50" bestFit="1" customWidth="1"/>
    <col min="15651" max="15651" width="8.42578125" style="50" customWidth="1"/>
    <col min="15652" max="15652" width="18.42578125" style="50" bestFit="1" customWidth="1"/>
    <col min="15653" max="15653" width="5.7109375" style="50" customWidth="1"/>
    <col min="15654" max="15654" width="18.42578125" style="50" bestFit="1" customWidth="1"/>
    <col min="15655" max="15655" width="4.7109375" style="50" customWidth="1"/>
    <col min="15656" max="15656" width="23" style="50" bestFit="1" customWidth="1"/>
    <col min="15657" max="15657" width="10.85546875" style="50"/>
    <col min="15658" max="15658" width="18.42578125" style="50" bestFit="1" customWidth="1"/>
    <col min="15659" max="15659" width="16.140625" style="50" customWidth="1"/>
    <col min="15660" max="15873" width="10.85546875" style="50"/>
    <col min="15874" max="15874" width="42" style="50" customWidth="1"/>
    <col min="15875" max="15875" width="21.7109375" style="50" customWidth="1"/>
    <col min="15876" max="15887" width="20.7109375" style="50" customWidth="1"/>
    <col min="15888" max="15888" width="16.140625" style="50" customWidth="1"/>
    <col min="15889" max="15900" width="18.140625" style="50" customWidth="1"/>
    <col min="15901" max="15901" width="22.7109375" style="50" customWidth="1"/>
    <col min="15902" max="15902" width="19" style="50" customWidth="1"/>
    <col min="15903" max="15903" width="19.42578125" style="50" customWidth="1"/>
    <col min="15904" max="15904" width="6.28515625" style="50" bestFit="1" customWidth="1"/>
    <col min="15905" max="15905" width="22.85546875" style="50" customWidth="1"/>
    <col min="15906" max="15906" width="18.42578125" style="50" bestFit="1" customWidth="1"/>
    <col min="15907" max="15907" width="8.42578125" style="50" customWidth="1"/>
    <col min="15908" max="15908" width="18.42578125" style="50" bestFit="1" customWidth="1"/>
    <col min="15909" max="15909" width="5.7109375" style="50" customWidth="1"/>
    <col min="15910" max="15910" width="18.42578125" style="50" bestFit="1" customWidth="1"/>
    <col min="15911" max="15911" width="4.7109375" style="50" customWidth="1"/>
    <col min="15912" max="15912" width="23" style="50" bestFit="1" customWidth="1"/>
    <col min="15913" max="15913" width="10.85546875" style="50"/>
    <col min="15914" max="15914" width="18.42578125" style="50" bestFit="1" customWidth="1"/>
    <col min="15915" max="15915" width="16.140625" style="50" customWidth="1"/>
    <col min="15916" max="16129" width="10.85546875" style="50"/>
    <col min="16130" max="16130" width="42" style="50" customWidth="1"/>
    <col min="16131" max="16131" width="21.7109375" style="50" customWidth="1"/>
    <col min="16132" max="16143" width="20.7109375" style="50" customWidth="1"/>
    <col min="16144" max="16144" width="16.140625" style="50" customWidth="1"/>
    <col min="16145" max="16156" width="18.140625" style="50" customWidth="1"/>
    <col min="16157" max="16157" width="22.7109375" style="50" customWidth="1"/>
    <col min="16158" max="16158" width="19" style="50" customWidth="1"/>
    <col min="16159" max="16159" width="19.42578125" style="50" customWidth="1"/>
    <col min="16160" max="16160" width="6.28515625" style="50" bestFit="1" customWidth="1"/>
    <col min="16161" max="16161" width="22.85546875" style="50" customWidth="1"/>
    <col min="16162" max="16162" width="18.42578125" style="50" bestFit="1" customWidth="1"/>
    <col min="16163" max="16163" width="8.42578125" style="50" customWidth="1"/>
    <col min="16164" max="16164" width="18.42578125" style="50" bestFit="1" customWidth="1"/>
    <col min="16165" max="16165" width="5.7109375" style="50" customWidth="1"/>
    <col min="16166" max="16166" width="18.42578125" style="50" bestFit="1" customWidth="1"/>
    <col min="16167" max="16167" width="4.7109375" style="50" customWidth="1"/>
    <col min="16168" max="16168" width="23" style="50" bestFit="1" customWidth="1"/>
    <col min="16169" max="16169" width="10.85546875" style="50"/>
    <col min="16170" max="16170" width="18.42578125" style="50" bestFit="1" customWidth="1"/>
    <col min="16171" max="16171" width="16.140625" style="50" customWidth="1"/>
    <col min="16172" max="16384" width="10.85546875" style="50"/>
  </cols>
  <sheetData>
    <row r="1" spans="1:30" ht="32.25" customHeight="1">
      <c r="A1" s="702"/>
      <c r="B1" s="705" t="s">
        <v>0</v>
      </c>
      <c r="C1" s="706"/>
      <c r="D1" s="706"/>
      <c r="E1" s="706"/>
      <c r="F1" s="706"/>
      <c r="G1" s="706"/>
      <c r="H1" s="706"/>
      <c r="I1" s="706"/>
      <c r="J1" s="706"/>
      <c r="K1" s="706"/>
      <c r="L1" s="706"/>
      <c r="M1" s="706"/>
      <c r="N1" s="706"/>
      <c r="O1" s="706"/>
      <c r="P1" s="706"/>
      <c r="Q1" s="706"/>
      <c r="R1" s="706"/>
      <c r="S1" s="706"/>
      <c r="T1" s="706"/>
      <c r="U1" s="706"/>
      <c r="V1" s="706"/>
      <c r="W1" s="706"/>
      <c r="X1" s="706"/>
      <c r="Y1" s="706"/>
      <c r="Z1" s="706"/>
      <c r="AA1" s="707"/>
      <c r="AB1" s="708" t="s">
        <v>1</v>
      </c>
      <c r="AC1" s="709"/>
      <c r="AD1" s="710"/>
    </row>
    <row r="2" spans="1:30" ht="30.75" customHeight="1">
      <c r="A2" s="703"/>
      <c r="B2" s="711" t="s">
        <v>2</v>
      </c>
      <c r="C2" s="712"/>
      <c r="D2" s="712"/>
      <c r="E2" s="712"/>
      <c r="F2" s="712"/>
      <c r="G2" s="712"/>
      <c r="H2" s="712"/>
      <c r="I2" s="712"/>
      <c r="J2" s="712"/>
      <c r="K2" s="712"/>
      <c r="L2" s="712"/>
      <c r="M2" s="712"/>
      <c r="N2" s="712"/>
      <c r="O2" s="712"/>
      <c r="P2" s="712"/>
      <c r="Q2" s="712"/>
      <c r="R2" s="712"/>
      <c r="S2" s="712"/>
      <c r="T2" s="712"/>
      <c r="U2" s="712"/>
      <c r="V2" s="712"/>
      <c r="W2" s="712"/>
      <c r="X2" s="712"/>
      <c r="Y2" s="712"/>
      <c r="Z2" s="712"/>
      <c r="AA2" s="713"/>
      <c r="AB2" s="714" t="s">
        <v>3</v>
      </c>
      <c r="AC2" s="715"/>
      <c r="AD2" s="716"/>
    </row>
    <row r="3" spans="1:30" ht="24" customHeight="1">
      <c r="A3" s="703"/>
      <c r="B3" s="717" t="s">
        <v>4</v>
      </c>
      <c r="C3" s="718"/>
      <c r="D3" s="718"/>
      <c r="E3" s="718"/>
      <c r="F3" s="718"/>
      <c r="G3" s="718"/>
      <c r="H3" s="718"/>
      <c r="I3" s="718"/>
      <c r="J3" s="718"/>
      <c r="K3" s="718"/>
      <c r="L3" s="718"/>
      <c r="M3" s="718"/>
      <c r="N3" s="718"/>
      <c r="O3" s="718"/>
      <c r="P3" s="718"/>
      <c r="Q3" s="718"/>
      <c r="R3" s="718"/>
      <c r="S3" s="718"/>
      <c r="T3" s="718"/>
      <c r="U3" s="718"/>
      <c r="V3" s="718"/>
      <c r="W3" s="718"/>
      <c r="X3" s="718"/>
      <c r="Y3" s="718"/>
      <c r="Z3" s="718"/>
      <c r="AA3" s="719"/>
      <c r="AB3" s="714" t="s">
        <v>5</v>
      </c>
      <c r="AC3" s="715"/>
      <c r="AD3" s="716"/>
    </row>
    <row r="4" spans="1:30" ht="21.95" customHeight="1" thickBot="1">
      <c r="A4" s="704"/>
      <c r="B4" s="720"/>
      <c r="C4" s="721"/>
      <c r="D4" s="721"/>
      <c r="E4" s="721"/>
      <c r="F4" s="721"/>
      <c r="G4" s="721"/>
      <c r="H4" s="721"/>
      <c r="I4" s="721"/>
      <c r="J4" s="721"/>
      <c r="K4" s="721"/>
      <c r="L4" s="721"/>
      <c r="M4" s="721"/>
      <c r="N4" s="721"/>
      <c r="O4" s="721"/>
      <c r="P4" s="721"/>
      <c r="Q4" s="721"/>
      <c r="R4" s="721"/>
      <c r="S4" s="721"/>
      <c r="T4" s="721"/>
      <c r="U4" s="721"/>
      <c r="V4" s="721"/>
      <c r="W4" s="721"/>
      <c r="X4" s="721"/>
      <c r="Y4" s="721"/>
      <c r="Z4" s="721"/>
      <c r="AA4" s="722"/>
      <c r="AB4" s="723" t="s">
        <v>6</v>
      </c>
      <c r="AC4" s="724"/>
      <c r="AD4" s="725"/>
    </row>
    <row r="5" spans="1:30" ht="9" customHeight="1" thickBot="1">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c r="A7" s="726" t="s">
        <v>7</v>
      </c>
      <c r="B7" s="727"/>
      <c r="C7" s="735" t="s">
        <v>33</v>
      </c>
      <c r="D7" s="726" t="s">
        <v>9</v>
      </c>
      <c r="E7" s="738"/>
      <c r="F7" s="738"/>
      <c r="G7" s="738"/>
      <c r="H7" s="727"/>
      <c r="I7" s="741">
        <v>44714</v>
      </c>
      <c r="J7" s="742"/>
      <c r="K7" s="726" t="s">
        <v>10</v>
      </c>
      <c r="L7" s="727"/>
      <c r="M7" s="747" t="s">
        <v>11</v>
      </c>
      <c r="N7" s="748"/>
      <c r="O7" s="752"/>
      <c r="P7" s="753"/>
      <c r="Q7" s="54"/>
      <c r="R7" s="54"/>
      <c r="S7" s="54"/>
      <c r="T7" s="54"/>
      <c r="U7" s="54"/>
      <c r="V7" s="54"/>
      <c r="W7" s="54"/>
      <c r="X7" s="54"/>
      <c r="Y7" s="54"/>
      <c r="Z7" s="55"/>
      <c r="AA7" s="54"/>
      <c r="AB7" s="54"/>
      <c r="AC7" s="60"/>
      <c r="AD7" s="61"/>
    </row>
    <row r="8" spans="1:30">
      <c r="A8" s="728"/>
      <c r="B8" s="729"/>
      <c r="C8" s="736"/>
      <c r="D8" s="728"/>
      <c r="E8" s="739"/>
      <c r="F8" s="739"/>
      <c r="G8" s="739"/>
      <c r="H8" s="729"/>
      <c r="I8" s="743"/>
      <c r="J8" s="744"/>
      <c r="K8" s="728"/>
      <c r="L8" s="729"/>
      <c r="M8" s="754" t="s">
        <v>12</v>
      </c>
      <c r="N8" s="755"/>
      <c r="O8" s="756"/>
      <c r="P8" s="757"/>
      <c r="Q8" s="54"/>
      <c r="R8" s="54"/>
      <c r="S8" s="54"/>
      <c r="T8" s="54"/>
      <c r="U8" s="54"/>
      <c r="V8" s="54"/>
      <c r="W8" s="54"/>
      <c r="X8" s="54"/>
      <c r="Y8" s="54"/>
      <c r="Z8" s="55"/>
      <c r="AA8" s="54"/>
      <c r="AB8" s="54"/>
      <c r="AC8" s="60"/>
      <c r="AD8" s="61"/>
    </row>
    <row r="9" spans="1:30" ht="15.75" thickBot="1">
      <c r="A9" s="730"/>
      <c r="B9" s="731"/>
      <c r="C9" s="737"/>
      <c r="D9" s="730"/>
      <c r="E9" s="740"/>
      <c r="F9" s="740"/>
      <c r="G9" s="740"/>
      <c r="H9" s="731"/>
      <c r="I9" s="745"/>
      <c r="J9" s="746"/>
      <c r="K9" s="730"/>
      <c r="L9" s="731"/>
      <c r="M9" s="758" t="s">
        <v>13</v>
      </c>
      <c r="N9" s="759"/>
      <c r="O9" s="760" t="s">
        <v>14</v>
      </c>
      <c r="P9" s="761"/>
      <c r="Q9" s="54"/>
      <c r="R9" s="54"/>
      <c r="S9" s="54"/>
      <c r="T9" s="54"/>
      <c r="U9" s="54"/>
      <c r="V9" s="54"/>
      <c r="W9" s="54"/>
      <c r="X9" s="54"/>
      <c r="Y9" s="54"/>
      <c r="Z9" s="55"/>
      <c r="AA9" s="54"/>
      <c r="AB9" s="54"/>
      <c r="AC9" s="60"/>
      <c r="AD9" s="61"/>
    </row>
    <row r="10" spans="1:30" ht="15" customHeight="1" thickBot="1">
      <c r="A10" s="158"/>
      <c r="B10" s="400"/>
      <c r="C10" s="400"/>
      <c r="D10" s="65"/>
      <c r="E10" s="65"/>
      <c r="F10" s="65"/>
      <c r="G10" s="65"/>
      <c r="H10" s="65"/>
      <c r="I10" s="401"/>
      <c r="J10" s="401"/>
      <c r="K10" s="65"/>
      <c r="L10" s="65"/>
      <c r="M10" s="156"/>
      <c r="N10" s="156"/>
      <c r="O10" s="157"/>
      <c r="P10" s="157"/>
      <c r="Q10" s="400"/>
      <c r="R10" s="400"/>
      <c r="S10" s="400"/>
      <c r="T10" s="400"/>
      <c r="U10" s="400"/>
      <c r="V10" s="400"/>
      <c r="W10" s="400"/>
      <c r="X10" s="400"/>
      <c r="Y10" s="400"/>
      <c r="Z10" s="402"/>
      <c r="AA10" s="400"/>
      <c r="AB10" s="400"/>
      <c r="AC10" s="403"/>
      <c r="AD10" s="159"/>
    </row>
    <row r="11" spans="1:30" ht="15" customHeight="1">
      <c r="A11" s="726" t="s">
        <v>15</v>
      </c>
      <c r="B11" s="727"/>
      <c r="C11" s="732" t="s">
        <v>16</v>
      </c>
      <c r="D11" s="733"/>
      <c r="E11" s="733"/>
      <c r="F11" s="733"/>
      <c r="G11" s="733"/>
      <c r="H11" s="733"/>
      <c r="I11" s="733"/>
      <c r="J11" s="733"/>
      <c r="K11" s="733"/>
      <c r="L11" s="733"/>
      <c r="M11" s="733"/>
      <c r="N11" s="733"/>
      <c r="O11" s="733"/>
      <c r="P11" s="733"/>
      <c r="Q11" s="733"/>
      <c r="R11" s="733"/>
      <c r="S11" s="733"/>
      <c r="T11" s="733"/>
      <c r="U11" s="733"/>
      <c r="V11" s="733"/>
      <c r="W11" s="733"/>
      <c r="X11" s="733"/>
      <c r="Y11" s="733"/>
      <c r="Z11" s="733"/>
      <c r="AA11" s="733"/>
      <c r="AB11" s="733"/>
      <c r="AC11" s="733"/>
      <c r="AD11" s="734"/>
    </row>
    <row r="12" spans="1:30" ht="15" customHeight="1">
      <c r="A12" s="728"/>
      <c r="B12" s="729"/>
      <c r="C12" s="717"/>
      <c r="D12" s="718"/>
      <c r="E12" s="718"/>
      <c r="F12" s="718"/>
      <c r="G12" s="718"/>
      <c r="H12" s="718"/>
      <c r="I12" s="718"/>
      <c r="J12" s="718"/>
      <c r="K12" s="718"/>
      <c r="L12" s="718"/>
      <c r="M12" s="718"/>
      <c r="N12" s="718"/>
      <c r="O12" s="718"/>
      <c r="P12" s="718"/>
      <c r="Q12" s="718"/>
      <c r="R12" s="718"/>
      <c r="S12" s="718"/>
      <c r="T12" s="718"/>
      <c r="U12" s="718"/>
      <c r="V12" s="718"/>
      <c r="W12" s="718"/>
      <c r="X12" s="718"/>
      <c r="Y12" s="718"/>
      <c r="Z12" s="718"/>
      <c r="AA12" s="718"/>
      <c r="AB12" s="718"/>
      <c r="AC12" s="718"/>
      <c r="AD12" s="719"/>
    </row>
    <row r="13" spans="1:30" ht="15" customHeight="1" thickBot="1">
      <c r="A13" s="730"/>
      <c r="B13" s="731"/>
      <c r="C13" s="720"/>
      <c r="D13" s="721"/>
      <c r="E13" s="721"/>
      <c r="F13" s="721"/>
      <c r="G13" s="721"/>
      <c r="H13" s="721"/>
      <c r="I13" s="721"/>
      <c r="J13" s="721"/>
      <c r="K13" s="721"/>
      <c r="L13" s="721"/>
      <c r="M13" s="721"/>
      <c r="N13" s="721"/>
      <c r="O13" s="721"/>
      <c r="P13" s="721"/>
      <c r="Q13" s="721"/>
      <c r="R13" s="721"/>
      <c r="S13" s="721"/>
      <c r="T13" s="721"/>
      <c r="U13" s="721"/>
      <c r="V13" s="721"/>
      <c r="W13" s="721"/>
      <c r="X13" s="721"/>
      <c r="Y13" s="721"/>
      <c r="Z13" s="721"/>
      <c r="AA13" s="721"/>
      <c r="AB13" s="721"/>
      <c r="AC13" s="721"/>
      <c r="AD13" s="722"/>
    </row>
    <row r="14" spans="1:30" ht="9" customHeight="1" thickBot="1">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c r="A15" s="762" t="s">
        <v>17</v>
      </c>
      <c r="B15" s="763"/>
      <c r="C15" s="749" t="s">
        <v>18</v>
      </c>
      <c r="D15" s="750"/>
      <c r="E15" s="750"/>
      <c r="F15" s="750"/>
      <c r="G15" s="750"/>
      <c r="H15" s="750"/>
      <c r="I15" s="750"/>
      <c r="J15" s="750"/>
      <c r="K15" s="751"/>
      <c r="L15" s="764" t="s">
        <v>19</v>
      </c>
      <c r="M15" s="765"/>
      <c r="N15" s="765"/>
      <c r="O15" s="765"/>
      <c r="P15" s="765"/>
      <c r="Q15" s="766"/>
      <c r="R15" s="767" t="s">
        <v>20</v>
      </c>
      <c r="S15" s="768"/>
      <c r="T15" s="768"/>
      <c r="U15" s="768"/>
      <c r="V15" s="768"/>
      <c r="W15" s="768"/>
      <c r="X15" s="769"/>
      <c r="Y15" s="764" t="s">
        <v>21</v>
      </c>
      <c r="Z15" s="766"/>
      <c r="AA15" s="749" t="s">
        <v>22</v>
      </c>
      <c r="AB15" s="750"/>
      <c r="AC15" s="750"/>
      <c r="AD15" s="751"/>
    </row>
    <row r="16" spans="1:30" ht="9" customHeight="1" thickBot="1">
      <c r="A16" s="59"/>
      <c r="B16" s="54"/>
      <c r="C16" s="772"/>
      <c r="D16" s="772"/>
      <c r="E16" s="772"/>
      <c r="F16" s="772"/>
      <c r="G16" s="772"/>
      <c r="H16" s="772"/>
      <c r="I16" s="772"/>
      <c r="J16" s="772"/>
      <c r="K16" s="772"/>
      <c r="L16" s="772"/>
      <c r="M16" s="772"/>
      <c r="N16" s="772"/>
      <c r="O16" s="772"/>
      <c r="P16" s="772"/>
      <c r="Q16" s="772"/>
      <c r="R16" s="772"/>
      <c r="S16" s="772"/>
      <c r="T16" s="772"/>
      <c r="U16" s="772"/>
      <c r="V16" s="772"/>
      <c r="W16" s="772"/>
      <c r="X16" s="772"/>
      <c r="Y16" s="772"/>
      <c r="Z16" s="772"/>
      <c r="AA16" s="772"/>
      <c r="AB16" s="772"/>
      <c r="AC16" s="73"/>
      <c r="AD16" s="74"/>
    </row>
    <row r="17" spans="1:44" s="76" customFormat="1" ht="37.5" customHeight="1" thickBot="1">
      <c r="A17" s="762" t="s">
        <v>23</v>
      </c>
      <c r="B17" s="763"/>
      <c r="C17" s="773" t="s">
        <v>24</v>
      </c>
      <c r="D17" s="774"/>
      <c r="E17" s="774"/>
      <c r="F17" s="774"/>
      <c r="G17" s="774"/>
      <c r="H17" s="774"/>
      <c r="I17" s="774"/>
      <c r="J17" s="774"/>
      <c r="K17" s="774"/>
      <c r="L17" s="774"/>
      <c r="M17" s="774"/>
      <c r="N17" s="774"/>
      <c r="O17" s="774"/>
      <c r="P17" s="774"/>
      <c r="Q17" s="775"/>
      <c r="R17" s="764" t="s">
        <v>25</v>
      </c>
      <c r="S17" s="765"/>
      <c r="T17" s="765"/>
      <c r="U17" s="765"/>
      <c r="V17" s="766"/>
      <c r="W17" s="776">
        <v>7000</v>
      </c>
      <c r="X17" s="777"/>
      <c r="Y17" s="765" t="s">
        <v>26</v>
      </c>
      <c r="Z17" s="765"/>
      <c r="AA17" s="765"/>
      <c r="AB17" s="766"/>
      <c r="AC17" s="778">
        <v>0.3</v>
      </c>
      <c r="AD17" s="779"/>
      <c r="AG17" s="583"/>
      <c r="AH17" s="583"/>
      <c r="AI17" s="583"/>
      <c r="AJ17" s="583"/>
      <c r="AK17" s="556"/>
      <c r="AL17" s="556"/>
      <c r="AM17" s="556"/>
      <c r="AN17" s="556"/>
      <c r="AO17" s="556"/>
    </row>
    <row r="18" spans="1:44" ht="16.5" hidden="1" customHeight="1" thickBot="1">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4" ht="32.1" hidden="1" customHeight="1" thickBot="1">
      <c r="A19" s="764" t="s">
        <v>27</v>
      </c>
      <c r="B19" s="765"/>
      <c r="C19" s="765"/>
      <c r="D19" s="765"/>
      <c r="E19" s="765"/>
      <c r="F19" s="765"/>
      <c r="G19" s="765"/>
      <c r="H19" s="765"/>
      <c r="I19" s="765"/>
      <c r="J19" s="765"/>
      <c r="K19" s="765"/>
      <c r="L19" s="765"/>
      <c r="M19" s="765"/>
      <c r="N19" s="765"/>
      <c r="O19" s="765"/>
      <c r="P19" s="765"/>
      <c r="Q19" s="765"/>
      <c r="R19" s="765"/>
      <c r="S19" s="765"/>
      <c r="T19" s="765"/>
      <c r="U19" s="765"/>
      <c r="V19" s="765"/>
      <c r="W19" s="765"/>
      <c r="X19" s="765"/>
      <c r="Y19" s="765"/>
      <c r="Z19" s="765"/>
      <c r="AA19" s="765"/>
      <c r="AB19" s="765"/>
      <c r="AC19" s="765"/>
      <c r="AD19" s="766"/>
      <c r="AE19" s="83"/>
      <c r="AF19" s="83"/>
      <c r="AG19" s="584"/>
    </row>
    <row r="20" spans="1:44" ht="32.1" customHeight="1" thickBot="1">
      <c r="A20" s="82"/>
      <c r="B20" s="60"/>
      <c r="C20" s="780" t="s">
        <v>28</v>
      </c>
      <c r="D20" s="781"/>
      <c r="E20" s="781"/>
      <c r="F20" s="781"/>
      <c r="G20" s="781"/>
      <c r="H20" s="781"/>
      <c r="I20" s="781"/>
      <c r="J20" s="781"/>
      <c r="K20" s="781"/>
      <c r="L20" s="781"/>
      <c r="M20" s="781"/>
      <c r="N20" s="781"/>
      <c r="O20" s="781"/>
      <c r="P20" s="782"/>
      <c r="Q20" s="780" t="s">
        <v>29</v>
      </c>
      <c r="R20" s="781"/>
      <c r="S20" s="781"/>
      <c r="T20" s="781"/>
      <c r="U20" s="781"/>
      <c r="V20" s="781"/>
      <c r="W20" s="781"/>
      <c r="X20" s="781"/>
      <c r="Y20" s="781"/>
      <c r="Z20" s="781"/>
      <c r="AA20" s="781"/>
      <c r="AB20" s="781"/>
      <c r="AC20" s="781"/>
      <c r="AD20" s="782"/>
      <c r="AE20" s="83"/>
      <c r="AF20" s="83"/>
      <c r="AG20" s="584"/>
    </row>
    <row r="21" spans="1:44" ht="32.1" customHeight="1" thickBot="1">
      <c r="A21" s="375"/>
      <c r="B21" s="56"/>
      <c r="C21" s="396" t="s">
        <v>30</v>
      </c>
      <c r="D21" s="397" t="s">
        <v>31</v>
      </c>
      <c r="E21" s="397" t="s">
        <v>32</v>
      </c>
      <c r="F21" s="397" t="s">
        <v>8</v>
      </c>
      <c r="G21" s="397" t="s">
        <v>33</v>
      </c>
      <c r="H21" s="397" t="s">
        <v>34</v>
      </c>
      <c r="I21" s="397" t="s">
        <v>35</v>
      </c>
      <c r="J21" s="397" t="s">
        <v>36</v>
      </c>
      <c r="K21" s="397" t="s">
        <v>37</v>
      </c>
      <c r="L21" s="397" t="s">
        <v>38</v>
      </c>
      <c r="M21" s="397" t="s">
        <v>39</v>
      </c>
      <c r="N21" s="397" t="s">
        <v>40</v>
      </c>
      <c r="O21" s="397" t="s">
        <v>41</v>
      </c>
      <c r="P21" s="398" t="s">
        <v>42</v>
      </c>
      <c r="Q21" s="396" t="s">
        <v>30</v>
      </c>
      <c r="R21" s="397" t="s">
        <v>31</v>
      </c>
      <c r="S21" s="397" t="s">
        <v>32</v>
      </c>
      <c r="T21" s="397" t="s">
        <v>8</v>
      </c>
      <c r="U21" s="397" t="s">
        <v>33</v>
      </c>
      <c r="V21" s="397" t="s">
        <v>34</v>
      </c>
      <c r="W21" s="397" t="s">
        <v>35</v>
      </c>
      <c r="X21" s="397" t="s">
        <v>36</v>
      </c>
      <c r="Y21" s="397" t="s">
        <v>37</v>
      </c>
      <c r="Z21" s="397" t="s">
        <v>38</v>
      </c>
      <c r="AA21" s="397" t="s">
        <v>39</v>
      </c>
      <c r="AB21" s="397" t="s">
        <v>40</v>
      </c>
      <c r="AC21" s="397" t="s">
        <v>41</v>
      </c>
      <c r="AD21" s="398" t="s">
        <v>42</v>
      </c>
      <c r="AE21" s="3"/>
      <c r="AF21" s="3"/>
      <c r="AG21" s="585"/>
    </row>
    <row r="22" spans="1:44" ht="32.1" customHeight="1">
      <c r="A22" s="783" t="s">
        <v>43</v>
      </c>
      <c r="B22" s="784"/>
      <c r="C22" s="164">
        <v>0</v>
      </c>
      <c r="D22" s="163">
        <v>0</v>
      </c>
      <c r="E22" s="163">
        <v>0</v>
      </c>
      <c r="F22" s="163">
        <v>0</v>
      </c>
      <c r="G22" s="163">
        <v>0</v>
      </c>
      <c r="H22" s="163">
        <v>0</v>
      </c>
      <c r="I22" s="163">
        <v>0</v>
      </c>
      <c r="J22" s="163">
        <v>0</v>
      </c>
      <c r="K22" s="163">
        <v>0</v>
      </c>
      <c r="L22" s="163">
        <v>0</v>
      </c>
      <c r="M22" s="163">
        <v>0</v>
      </c>
      <c r="N22" s="163">
        <v>0</v>
      </c>
      <c r="O22" s="163">
        <f>SUM(C22:N22)</f>
        <v>0</v>
      </c>
      <c r="P22" s="376"/>
      <c r="Q22" s="362">
        <v>1390832000</v>
      </c>
      <c r="R22" s="163">
        <v>0</v>
      </c>
      <c r="S22" s="363">
        <v>5539000</v>
      </c>
      <c r="T22" s="363">
        <f>(5500000*91%)+3360000+(150000000*33%)</f>
        <v>57865000</v>
      </c>
      <c r="U22" s="363">
        <f>(471340694*95%)+14783248</f>
        <v>462556907.29999995</v>
      </c>
      <c r="V22" s="363">
        <f>(58000000*86%)+(5117000*71%)+20000000+(71651306*81%)</f>
        <v>131550627.86000001</v>
      </c>
      <c r="W22" s="363">
        <f>157760500+92608376+92608376</f>
        <v>342977252</v>
      </c>
      <c r="X22" s="163">
        <v>0</v>
      </c>
      <c r="Y22" s="363">
        <v>10550000</v>
      </c>
      <c r="Z22" s="163">
        <v>0</v>
      </c>
      <c r="AA22" s="163">
        <v>0</v>
      </c>
      <c r="AB22" s="163">
        <v>0</v>
      </c>
      <c r="AC22" s="363">
        <f>SUM(Q22:AB22)</f>
        <v>2401870787.1599998</v>
      </c>
      <c r="AD22" s="167"/>
      <c r="AE22" s="3"/>
      <c r="AF22" s="3"/>
      <c r="AG22" s="585"/>
      <c r="AH22" s="586"/>
    </row>
    <row r="23" spans="1:44" ht="32.1" customHeight="1">
      <c r="A23" s="770" t="s">
        <v>44</v>
      </c>
      <c r="B23" s="771"/>
      <c r="C23" s="161">
        <v>0</v>
      </c>
      <c r="D23" s="160">
        <v>0</v>
      </c>
      <c r="E23" s="160">
        <v>0</v>
      </c>
      <c r="F23" s="160">
        <v>0</v>
      </c>
      <c r="G23" s="160">
        <v>0</v>
      </c>
      <c r="H23" s="160">
        <v>0</v>
      </c>
      <c r="I23" s="160">
        <v>0</v>
      </c>
      <c r="J23" s="160">
        <v>0</v>
      </c>
      <c r="K23" s="160">
        <v>0</v>
      </c>
      <c r="L23" s="160">
        <v>0</v>
      </c>
      <c r="M23" s="160">
        <v>0</v>
      </c>
      <c r="N23" s="160">
        <v>0</v>
      </c>
      <c r="O23" s="163">
        <f>SUM(C23:N23)</f>
        <v>0</v>
      </c>
      <c r="P23" s="165" t="str">
        <f>IFERROR(O23/(SUMIF(C23:N23,"&gt;0",C22:N22))," ")</f>
        <v xml:space="preserve"> </v>
      </c>
      <c r="Q23" s="362">
        <v>1351177000</v>
      </c>
      <c r="R23" s="163">
        <v>0</v>
      </c>
      <c r="S23" s="363">
        <v>41519667</v>
      </c>
      <c r="T23" s="580">
        <v>-360500</v>
      </c>
      <c r="U23" s="163">
        <v>101194304.56</v>
      </c>
      <c r="V23" s="163">
        <v>0</v>
      </c>
      <c r="W23" s="163">
        <v>0</v>
      </c>
      <c r="X23" s="163">
        <v>0</v>
      </c>
      <c r="Y23" s="163">
        <v>0</v>
      </c>
      <c r="Z23" s="163">
        <v>0</v>
      </c>
      <c r="AA23" s="163">
        <v>0</v>
      </c>
      <c r="AB23" s="163">
        <v>0</v>
      </c>
      <c r="AC23" s="581">
        <f>SUM(Q23:AB23)</f>
        <v>1493530471.5599999</v>
      </c>
      <c r="AD23" s="165">
        <f>AC23/AC22</f>
        <v>0.62181965805328265</v>
      </c>
      <c r="AE23" s="3"/>
      <c r="AF23" s="3"/>
      <c r="AG23" s="587" t="s">
        <v>45</v>
      </c>
      <c r="AH23" s="586"/>
    </row>
    <row r="24" spans="1:44" ht="32.1" customHeight="1">
      <c r="A24" s="770" t="s">
        <v>46</v>
      </c>
      <c r="B24" s="771"/>
      <c r="C24" s="161">
        <v>0</v>
      </c>
      <c r="D24" s="215">
        <f>106321566-'[1]Meta 2'!D24-'[1]Meta 3'!D24</f>
        <v>101788233</v>
      </c>
      <c r="E24" s="215">
        <v>124895643</v>
      </c>
      <c r="F24" s="436">
        <f>277514964+10440572-4759996</f>
        <v>283195540</v>
      </c>
      <c r="G24" s="436">
        <v>-4167765</v>
      </c>
      <c r="H24" s="160">
        <v>0</v>
      </c>
      <c r="I24" s="160">
        <v>0</v>
      </c>
      <c r="J24" s="160">
        <v>0</v>
      </c>
      <c r="K24" s="160">
        <v>0</v>
      </c>
      <c r="L24" s="160">
        <v>0</v>
      </c>
      <c r="M24" s="160">
        <v>0</v>
      </c>
      <c r="N24" s="160">
        <v>0</v>
      </c>
      <c r="O24" s="363">
        <f>SUM(C24:N24)</f>
        <v>505711651</v>
      </c>
      <c r="P24" s="377"/>
      <c r="Q24" s="362">
        <v>0</v>
      </c>
      <c r="R24" s="363">
        <v>93098268.096666679</v>
      </c>
      <c r="S24" s="363">
        <v>167652934.76333335</v>
      </c>
      <c r="T24" s="363">
        <v>167652934.76333335</v>
      </c>
      <c r="U24" s="364">
        <v>167652934.76333335</v>
      </c>
      <c r="V24" s="364">
        <v>168278559.76333335</v>
      </c>
      <c r="W24" s="364">
        <v>213550774.04904768</v>
      </c>
      <c r="X24" s="364">
        <v>202142440.71571437</v>
      </c>
      <c r="Y24" s="364">
        <v>218642440.71571437</v>
      </c>
      <c r="Z24" s="364">
        <v>216925688.71571437</v>
      </c>
      <c r="AA24" s="364">
        <v>311250816.71571434</v>
      </c>
      <c r="AB24" s="364">
        <f>300289816.715714+174733177.382381</f>
        <v>475022994.09809494</v>
      </c>
      <c r="AC24" s="364">
        <f>SUM(Q24:AB24)</f>
        <v>2401870787.1600003</v>
      </c>
      <c r="AD24" s="165"/>
      <c r="AE24" s="3"/>
      <c r="AF24" s="3"/>
      <c r="AG24" s="585"/>
      <c r="AH24" s="586"/>
    </row>
    <row r="25" spans="1:44" ht="32.1" customHeight="1" thickBot="1">
      <c r="A25" s="785" t="s">
        <v>47</v>
      </c>
      <c r="B25" s="786"/>
      <c r="C25" s="455">
        <v>26967057.460000001</v>
      </c>
      <c r="D25" s="451">
        <v>9406242.5399999991</v>
      </c>
      <c r="E25" s="451">
        <v>180802209.08000001</v>
      </c>
      <c r="F25" s="451">
        <f>31500000</f>
        <v>31500000</v>
      </c>
      <c r="G25" s="451">
        <f>3500000+2946700+53646371.52</f>
        <v>60093071.520000003</v>
      </c>
      <c r="H25" s="162">
        <v>0</v>
      </c>
      <c r="I25" s="162">
        <v>0</v>
      </c>
      <c r="J25" s="162">
        <v>0</v>
      </c>
      <c r="K25" s="162">
        <v>0</v>
      </c>
      <c r="L25" s="162">
        <v>0</v>
      </c>
      <c r="M25" s="162">
        <v>0</v>
      </c>
      <c r="N25" s="162">
        <v>0</v>
      </c>
      <c r="O25" s="485">
        <f>SUM(C25:N25)</f>
        <v>308768580.60000002</v>
      </c>
      <c r="P25" s="512">
        <f>O25/O24</f>
        <v>0.61056252113123655</v>
      </c>
      <c r="Q25" s="442">
        <v>0</v>
      </c>
      <c r="R25" s="442">
        <v>30987234</v>
      </c>
      <c r="S25" s="442">
        <v>121617000</v>
      </c>
      <c r="T25" s="442">
        <v>107712000</v>
      </c>
      <c r="U25" s="442">
        <v>139417000</v>
      </c>
      <c r="V25" s="374">
        <v>0</v>
      </c>
      <c r="W25" s="374">
        <v>0</v>
      </c>
      <c r="X25" s="374">
        <v>0</v>
      </c>
      <c r="Y25" s="374">
        <v>0</v>
      </c>
      <c r="Z25" s="374">
        <v>0</v>
      </c>
      <c r="AA25" s="374">
        <v>0</v>
      </c>
      <c r="AB25" s="374">
        <v>0</v>
      </c>
      <c r="AC25" s="365">
        <f>SUM(Q25:AB25)</f>
        <v>399733234</v>
      </c>
      <c r="AD25" s="166">
        <f>AC25/AC24</f>
        <v>0.16642578615673542</v>
      </c>
      <c r="AE25" s="3"/>
      <c r="AF25" s="3"/>
      <c r="AG25" s="588"/>
      <c r="AH25" s="586"/>
    </row>
    <row r="26" spans="1:44" ht="32.1" customHeight="1" thickBot="1">
      <c r="A26" s="59"/>
      <c r="B26" s="54"/>
      <c r="C26" s="80"/>
      <c r="D26" s="594"/>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59"/>
      <c r="AG26" s="586"/>
      <c r="AI26" s="586"/>
    </row>
    <row r="27" spans="1:44" ht="33.950000000000003" customHeight="1">
      <c r="A27" s="787" t="s">
        <v>48</v>
      </c>
      <c r="B27" s="788"/>
      <c r="C27" s="789"/>
      <c r="D27" s="789"/>
      <c r="E27" s="789"/>
      <c r="F27" s="789"/>
      <c r="G27" s="789"/>
      <c r="H27" s="789"/>
      <c r="I27" s="789"/>
      <c r="J27" s="789"/>
      <c r="K27" s="789"/>
      <c r="L27" s="789"/>
      <c r="M27" s="789"/>
      <c r="N27" s="789"/>
      <c r="O27" s="789"/>
      <c r="P27" s="789"/>
      <c r="Q27" s="789"/>
      <c r="R27" s="789"/>
      <c r="S27" s="789"/>
      <c r="T27" s="789"/>
      <c r="U27" s="789"/>
      <c r="V27" s="789"/>
      <c r="W27" s="789"/>
      <c r="X27" s="789"/>
      <c r="Y27" s="789"/>
      <c r="Z27" s="789"/>
      <c r="AA27" s="789"/>
      <c r="AB27" s="789"/>
      <c r="AC27" s="789"/>
      <c r="AD27" s="790"/>
    </row>
    <row r="28" spans="1:44" ht="15" customHeight="1">
      <c r="A28" s="791" t="s">
        <v>49</v>
      </c>
      <c r="B28" s="793" t="s">
        <v>50</v>
      </c>
      <c r="C28" s="794"/>
      <c r="D28" s="797" t="s">
        <v>51</v>
      </c>
      <c r="E28" s="798"/>
      <c r="F28" s="798"/>
      <c r="G28" s="798"/>
      <c r="H28" s="798"/>
      <c r="I28" s="798"/>
      <c r="J28" s="798"/>
      <c r="K28" s="798"/>
      <c r="L28" s="798"/>
      <c r="M28" s="798"/>
      <c r="N28" s="798"/>
      <c r="O28" s="799"/>
      <c r="P28" s="800" t="s">
        <v>41</v>
      </c>
      <c r="Q28" s="800" t="s">
        <v>52</v>
      </c>
      <c r="R28" s="800"/>
      <c r="S28" s="800"/>
      <c r="T28" s="800"/>
      <c r="U28" s="800"/>
      <c r="V28" s="800"/>
      <c r="W28" s="800"/>
      <c r="X28" s="800"/>
      <c r="Y28" s="800"/>
      <c r="Z28" s="800"/>
      <c r="AA28" s="800"/>
      <c r="AB28" s="800"/>
      <c r="AC28" s="800"/>
      <c r="AD28" s="771"/>
    </row>
    <row r="29" spans="1:44" ht="27" customHeight="1">
      <c r="A29" s="792"/>
      <c r="B29" s="795"/>
      <c r="C29" s="796"/>
      <c r="D29" s="679" t="s">
        <v>30</v>
      </c>
      <c r="E29" s="679" t="s">
        <v>31</v>
      </c>
      <c r="F29" s="679" t="s">
        <v>32</v>
      </c>
      <c r="G29" s="679" t="s">
        <v>8</v>
      </c>
      <c r="H29" s="679" t="s">
        <v>33</v>
      </c>
      <c r="I29" s="679" t="s">
        <v>34</v>
      </c>
      <c r="J29" s="679" t="s">
        <v>35</v>
      </c>
      <c r="K29" s="679" t="s">
        <v>36</v>
      </c>
      <c r="L29" s="679" t="s">
        <v>37</v>
      </c>
      <c r="M29" s="679" t="s">
        <v>38</v>
      </c>
      <c r="N29" s="679" t="s">
        <v>39</v>
      </c>
      <c r="O29" s="679" t="s">
        <v>40</v>
      </c>
      <c r="P29" s="799"/>
      <c r="Q29" s="800"/>
      <c r="R29" s="800"/>
      <c r="S29" s="800"/>
      <c r="T29" s="800"/>
      <c r="U29" s="800"/>
      <c r="V29" s="800"/>
      <c r="W29" s="800"/>
      <c r="X29" s="800"/>
      <c r="Y29" s="800"/>
      <c r="Z29" s="800"/>
      <c r="AA29" s="800"/>
      <c r="AB29" s="800"/>
      <c r="AC29" s="800"/>
      <c r="AD29" s="771"/>
    </row>
    <row r="30" spans="1:44" ht="186" customHeight="1" thickBot="1">
      <c r="A30" s="678" t="str">
        <f>C17</f>
        <v>Formar 26100 mujeres en sus derechos a través de procesos de desarrollo de capacidades en el uso TIC</v>
      </c>
      <c r="B30" s="801"/>
      <c r="C30" s="802"/>
      <c r="D30" s="175"/>
      <c r="E30" s="680"/>
      <c r="F30" s="680"/>
      <c r="G30" s="680"/>
      <c r="H30" s="680"/>
      <c r="I30" s="680"/>
      <c r="J30" s="680"/>
      <c r="K30" s="680"/>
      <c r="L30" s="680"/>
      <c r="M30" s="680"/>
      <c r="N30" s="680"/>
      <c r="O30" s="680"/>
      <c r="P30" s="86">
        <f>SUM(D30:O30)</f>
        <v>0</v>
      </c>
      <c r="Q30" s="803" t="s">
        <v>1158</v>
      </c>
      <c r="R30" s="803"/>
      <c r="S30" s="803"/>
      <c r="T30" s="803"/>
      <c r="U30" s="803"/>
      <c r="V30" s="803"/>
      <c r="W30" s="803"/>
      <c r="X30" s="803"/>
      <c r="Y30" s="803"/>
      <c r="Z30" s="803"/>
      <c r="AA30" s="803"/>
      <c r="AB30" s="803"/>
      <c r="AC30" s="803"/>
      <c r="AD30" s="804"/>
    </row>
    <row r="31" spans="1:44" ht="45" customHeight="1">
      <c r="A31" s="805" t="s">
        <v>53</v>
      </c>
      <c r="B31" s="806"/>
      <c r="C31" s="806"/>
      <c r="D31" s="806"/>
      <c r="E31" s="806"/>
      <c r="F31" s="806"/>
      <c r="G31" s="806"/>
      <c r="H31" s="806"/>
      <c r="I31" s="806"/>
      <c r="J31" s="806"/>
      <c r="K31" s="806"/>
      <c r="L31" s="806"/>
      <c r="M31" s="806"/>
      <c r="N31" s="806"/>
      <c r="O31" s="806"/>
      <c r="P31" s="806"/>
      <c r="Q31" s="806"/>
      <c r="R31" s="806"/>
      <c r="S31" s="806"/>
      <c r="T31" s="806"/>
      <c r="U31" s="806"/>
      <c r="V31" s="806"/>
      <c r="W31" s="806"/>
      <c r="X31" s="806"/>
      <c r="Y31" s="806"/>
      <c r="Z31" s="806"/>
      <c r="AA31" s="806"/>
      <c r="AB31" s="806"/>
      <c r="AC31" s="806"/>
      <c r="AD31" s="807"/>
    </row>
    <row r="32" spans="1:44" ht="23.1" customHeight="1">
      <c r="A32" s="770" t="s">
        <v>54</v>
      </c>
      <c r="B32" s="800" t="s">
        <v>55</v>
      </c>
      <c r="C32" s="800" t="s">
        <v>50</v>
      </c>
      <c r="D32" s="800" t="s">
        <v>56</v>
      </c>
      <c r="E32" s="800"/>
      <c r="F32" s="800"/>
      <c r="G32" s="800"/>
      <c r="H32" s="800"/>
      <c r="I32" s="800"/>
      <c r="J32" s="800"/>
      <c r="K32" s="800"/>
      <c r="L32" s="800"/>
      <c r="M32" s="800"/>
      <c r="N32" s="800"/>
      <c r="O32" s="800"/>
      <c r="P32" s="800"/>
      <c r="Q32" s="800" t="s">
        <v>57</v>
      </c>
      <c r="R32" s="800"/>
      <c r="S32" s="800"/>
      <c r="T32" s="800"/>
      <c r="U32" s="800"/>
      <c r="V32" s="800"/>
      <c r="W32" s="800"/>
      <c r="X32" s="800"/>
      <c r="Y32" s="800"/>
      <c r="Z32" s="800"/>
      <c r="AA32" s="800"/>
      <c r="AB32" s="800"/>
      <c r="AC32" s="800"/>
      <c r="AD32" s="771"/>
      <c r="AG32" s="589"/>
      <c r="AH32" s="589"/>
      <c r="AI32" s="589"/>
      <c r="AJ32" s="590"/>
      <c r="AP32" s="157"/>
      <c r="AQ32" s="157"/>
      <c r="AR32" s="554"/>
    </row>
    <row r="33" spans="1:42" ht="23.1" customHeight="1">
      <c r="A33" s="770"/>
      <c r="B33" s="800"/>
      <c r="C33" s="808"/>
      <c r="D33" s="679" t="s">
        <v>30</v>
      </c>
      <c r="E33" s="679" t="s">
        <v>31</v>
      </c>
      <c r="F33" s="679" t="s">
        <v>32</v>
      </c>
      <c r="G33" s="679" t="s">
        <v>8</v>
      </c>
      <c r="H33" s="679" t="s">
        <v>33</v>
      </c>
      <c r="I33" s="679" t="s">
        <v>34</v>
      </c>
      <c r="J33" s="679" t="s">
        <v>35</v>
      </c>
      <c r="K33" s="679" t="s">
        <v>36</v>
      </c>
      <c r="L33" s="679" t="s">
        <v>37</v>
      </c>
      <c r="M33" s="679" t="s">
        <v>38</v>
      </c>
      <c r="N33" s="679" t="s">
        <v>39</v>
      </c>
      <c r="O33" s="679" t="s">
        <v>40</v>
      </c>
      <c r="P33" s="679" t="s">
        <v>41</v>
      </c>
      <c r="Q33" s="795" t="s">
        <v>58</v>
      </c>
      <c r="R33" s="809"/>
      <c r="S33" s="809"/>
      <c r="T33" s="809"/>
      <c r="U33" s="809"/>
      <c r="V33" s="796"/>
      <c r="W33" s="795" t="s">
        <v>59</v>
      </c>
      <c r="X33" s="809"/>
      <c r="Y33" s="809"/>
      <c r="Z33" s="796"/>
      <c r="AA33" s="795" t="s">
        <v>60</v>
      </c>
      <c r="AB33" s="809"/>
      <c r="AC33" s="809"/>
      <c r="AD33" s="813"/>
      <c r="AG33" s="591" t="s">
        <v>61</v>
      </c>
      <c r="AH33" s="592" t="s">
        <v>62</v>
      </c>
      <c r="AI33" s="592" t="s">
        <v>63</v>
      </c>
      <c r="AJ33" s="592" t="s">
        <v>64</v>
      </c>
      <c r="AK33" s="592" t="s">
        <v>399</v>
      </c>
      <c r="AL33" s="473"/>
      <c r="AM33" s="473"/>
      <c r="AN33" s="473"/>
      <c r="AO33" s="473"/>
      <c r="AP33" s="87"/>
    </row>
    <row r="34" spans="1:42" ht="167.25" customHeight="1">
      <c r="A34" s="814" t="str">
        <f>A30</f>
        <v>Formar 26100 mujeres en sus derechos a través de procesos de desarrollo de capacidades en el uso TIC</v>
      </c>
      <c r="B34" s="816">
        <f>B38+B40+B42+B44+B46+B48</f>
        <v>0.3</v>
      </c>
      <c r="C34" s="90" t="s">
        <v>65</v>
      </c>
      <c r="D34" s="175">
        <v>0</v>
      </c>
      <c r="E34" s="680">
        <v>500</v>
      </c>
      <c r="F34" s="680">
        <v>700</v>
      </c>
      <c r="G34" s="680">
        <v>700</v>
      </c>
      <c r="H34" s="680">
        <v>700</v>
      </c>
      <c r="I34" s="680">
        <v>700</v>
      </c>
      <c r="J34" s="680">
        <v>700</v>
      </c>
      <c r="K34" s="680">
        <v>700</v>
      </c>
      <c r="L34" s="680">
        <v>700</v>
      </c>
      <c r="M34" s="680">
        <v>700</v>
      </c>
      <c r="N34" s="680">
        <v>700</v>
      </c>
      <c r="O34" s="680">
        <v>200</v>
      </c>
      <c r="P34" s="680">
        <f>SUM(D34:O34)</f>
        <v>7000</v>
      </c>
      <c r="Q34" s="818" t="s">
        <v>1168</v>
      </c>
      <c r="R34" s="819"/>
      <c r="S34" s="819"/>
      <c r="T34" s="819"/>
      <c r="U34" s="819"/>
      <c r="V34" s="820"/>
      <c r="W34" s="818" t="s">
        <v>1218</v>
      </c>
      <c r="X34" s="819"/>
      <c r="Y34" s="819"/>
      <c r="Z34" s="820"/>
      <c r="AA34" s="824" t="s">
        <v>1153</v>
      </c>
      <c r="AB34" s="825"/>
      <c r="AC34" s="825"/>
      <c r="AD34" s="825"/>
      <c r="AG34" s="582" t="s">
        <v>67</v>
      </c>
      <c r="AH34" s="582" t="s">
        <v>1169</v>
      </c>
      <c r="AI34" s="582" t="s">
        <v>1170</v>
      </c>
      <c r="AJ34" s="582" t="s">
        <v>68</v>
      </c>
      <c r="AK34" s="582" t="s">
        <v>1212</v>
      </c>
      <c r="AL34" s="561"/>
      <c r="AM34" s="561"/>
      <c r="AO34" s="561"/>
      <c r="AP34" s="87"/>
    </row>
    <row r="35" spans="1:42" ht="167.25" customHeight="1">
      <c r="A35" s="815"/>
      <c r="B35" s="817"/>
      <c r="C35" s="176" t="s">
        <v>69</v>
      </c>
      <c r="D35" s="437">
        <v>0</v>
      </c>
      <c r="E35" s="438">
        <v>531</v>
      </c>
      <c r="F35" s="438">
        <v>950</v>
      </c>
      <c r="G35" s="438">
        <v>740</v>
      </c>
      <c r="H35" s="438">
        <v>922</v>
      </c>
      <c r="I35" s="439"/>
      <c r="J35" s="439"/>
      <c r="K35" s="439"/>
      <c r="L35" s="439"/>
      <c r="M35" s="439"/>
      <c r="N35" s="439"/>
      <c r="O35" s="439"/>
      <c r="P35" s="440">
        <f>SUM(D35:O35)</f>
        <v>3143</v>
      </c>
      <c r="Q35" s="821"/>
      <c r="R35" s="822"/>
      <c r="S35" s="822"/>
      <c r="T35" s="822"/>
      <c r="U35" s="822"/>
      <c r="V35" s="823"/>
      <c r="W35" s="821"/>
      <c r="X35" s="822"/>
      <c r="Y35" s="822"/>
      <c r="Z35" s="823"/>
      <c r="AA35" s="826"/>
      <c r="AB35" s="827"/>
      <c r="AC35" s="827"/>
      <c r="AD35" s="827"/>
      <c r="AE35" s="49"/>
      <c r="AF35" s="49"/>
      <c r="AG35" s="593">
        <f>LEN(AG34)</f>
        <v>294</v>
      </c>
      <c r="AH35" s="593">
        <f>LEN(AH34)</f>
        <v>296</v>
      </c>
      <c r="AI35" s="593">
        <f>LEN(AI34)</f>
        <v>295</v>
      </c>
      <c r="AJ35" s="593">
        <f>LEN(AJ34)</f>
        <v>300</v>
      </c>
      <c r="AK35" s="593">
        <f>LEN(AK34)</f>
        <v>297</v>
      </c>
      <c r="AL35" s="561"/>
      <c r="AM35" s="561"/>
      <c r="AN35" s="561"/>
      <c r="AO35" s="561"/>
      <c r="AP35" s="87"/>
    </row>
    <row r="36" spans="1:42" ht="26.1" customHeight="1">
      <c r="A36" s="800" t="s">
        <v>70</v>
      </c>
      <c r="B36" s="800" t="s">
        <v>71</v>
      </c>
      <c r="C36" s="800" t="s">
        <v>72</v>
      </c>
      <c r="D36" s="800"/>
      <c r="E36" s="800"/>
      <c r="F36" s="800"/>
      <c r="G36" s="800"/>
      <c r="H36" s="800"/>
      <c r="I36" s="800"/>
      <c r="J36" s="800"/>
      <c r="K36" s="800"/>
      <c r="L36" s="800"/>
      <c r="M36" s="800"/>
      <c r="N36" s="800"/>
      <c r="O36" s="800"/>
      <c r="P36" s="800"/>
      <c r="Q36" s="800" t="s">
        <v>73</v>
      </c>
      <c r="R36" s="800"/>
      <c r="S36" s="800"/>
      <c r="T36" s="800"/>
      <c r="U36" s="800"/>
      <c r="V36" s="800"/>
      <c r="W36" s="800"/>
      <c r="X36" s="800"/>
      <c r="Y36" s="800"/>
      <c r="Z36" s="800"/>
      <c r="AA36" s="800"/>
      <c r="AB36" s="800"/>
      <c r="AC36" s="800"/>
      <c r="AD36" s="800"/>
      <c r="AH36" s="589"/>
      <c r="AI36" s="589"/>
      <c r="AJ36" s="589"/>
      <c r="AK36" s="561"/>
      <c r="AL36" s="561"/>
      <c r="AM36" s="561"/>
      <c r="AN36" s="561"/>
      <c r="AO36" s="561"/>
      <c r="AP36" s="87"/>
    </row>
    <row r="37" spans="1:42" ht="26.1" customHeight="1">
      <c r="A37" s="800"/>
      <c r="B37" s="800"/>
      <c r="C37" s="679" t="s">
        <v>74</v>
      </c>
      <c r="D37" s="679" t="s">
        <v>75</v>
      </c>
      <c r="E37" s="679" t="s">
        <v>76</v>
      </c>
      <c r="F37" s="679" t="s">
        <v>77</v>
      </c>
      <c r="G37" s="679" t="s">
        <v>78</v>
      </c>
      <c r="H37" s="679" t="s">
        <v>79</v>
      </c>
      <c r="I37" s="679" t="s">
        <v>80</v>
      </c>
      <c r="J37" s="679" t="s">
        <v>81</v>
      </c>
      <c r="K37" s="679" t="s">
        <v>82</v>
      </c>
      <c r="L37" s="679" t="s">
        <v>83</v>
      </c>
      <c r="M37" s="679" t="s">
        <v>84</v>
      </c>
      <c r="N37" s="679" t="s">
        <v>85</v>
      </c>
      <c r="O37" s="679" t="s">
        <v>86</v>
      </c>
      <c r="P37" s="679" t="s">
        <v>87</v>
      </c>
      <c r="Q37" s="800" t="s">
        <v>88</v>
      </c>
      <c r="R37" s="800"/>
      <c r="S37" s="800"/>
      <c r="T37" s="800"/>
      <c r="U37" s="800"/>
      <c r="V37" s="800"/>
      <c r="W37" s="800"/>
      <c r="X37" s="800"/>
      <c r="Y37" s="800"/>
      <c r="Z37" s="800"/>
      <c r="AA37" s="800"/>
      <c r="AB37" s="800"/>
      <c r="AC37" s="800"/>
      <c r="AD37" s="800"/>
      <c r="AH37" s="590"/>
      <c r="AI37" s="590"/>
      <c r="AJ37" s="590"/>
      <c r="AK37" s="562"/>
      <c r="AL37" s="562"/>
      <c r="AM37" s="562"/>
      <c r="AN37" s="562"/>
      <c r="AO37" s="562"/>
      <c r="AP37" s="94"/>
    </row>
    <row r="38" spans="1:42" ht="158.25" customHeight="1">
      <c r="A38" s="810" t="s">
        <v>89</v>
      </c>
      <c r="B38" s="811">
        <v>0.05</v>
      </c>
      <c r="C38" s="102" t="s">
        <v>65</v>
      </c>
      <c r="D38" s="103">
        <v>0</v>
      </c>
      <c r="E38" s="103">
        <v>0.05</v>
      </c>
      <c r="F38" s="103">
        <v>0.1</v>
      </c>
      <c r="G38" s="103">
        <v>0.1</v>
      </c>
      <c r="H38" s="103">
        <v>0.1</v>
      </c>
      <c r="I38" s="103">
        <v>0.1</v>
      </c>
      <c r="J38" s="103">
        <v>0.1</v>
      </c>
      <c r="K38" s="103">
        <v>0.1</v>
      </c>
      <c r="L38" s="103">
        <v>0.1</v>
      </c>
      <c r="M38" s="103">
        <v>0.1</v>
      </c>
      <c r="N38" s="103">
        <v>0.1</v>
      </c>
      <c r="O38" s="103">
        <v>0.05</v>
      </c>
      <c r="P38" s="177">
        <f t="shared" ref="P38:P49" si="0">SUM(D38:O38)</f>
        <v>0.99999999999999989</v>
      </c>
      <c r="Q38" s="812" t="s">
        <v>1154</v>
      </c>
      <c r="R38" s="812"/>
      <c r="S38" s="812"/>
      <c r="T38" s="812"/>
      <c r="U38" s="812"/>
      <c r="V38" s="812"/>
      <c r="W38" s="812"/>
      <c r="X38" s="812"/>
      <c r="Y38" s="812"/>
      <c r="Z38" s="812"/>
      <c r="AA38" s="812"/>
      <c r="AB38" s="812"/>
      <c r="AC38" s="812"/>
      <c r="AD38" s="812"/>
      <c r="AE38" s="566">
        <f>LEN(Q38)</f>
        <v>1631</v>
      </c>
      <c r="AF38" s="566"/>
    </row>
    <row r="39" spans="1:42" ht="158.25" customHeight="1">
      <c r="A39" s="810"/>
      <c r="B39" s="811"/>
      <c r="C39" s="99" t="s">
        <v>69</v>
      </c>
      <c r="D39" s="100">
        <v>0</v>
      </c>
      <c r="E39" s="100">
        <v>0.05</v>
      </c>
      <c r="F39" s="100">
        <v>0.1</v>
      </c>
      <c r="G39" s="100">
        <v>0.1</v>
      </c>
      <c r="H39" s="100">
        <v>0.1</v>
      </c>
      <c r="I39" s="100"/>
      <c r="J39" s="100"/>
      <c r="K39" s="100"/>
      <c r="L39" s="100"/>
      <c r="M39" s="100"/>
      <c r="N39" s="100"/>
      <c r="O39" s="100"/>
      <c r="P39" s="177">
        <f t="shared" si="0"/>
        <v>0.35</v>
      </c>
      <c r="Q39" s="812"/>
      <c r="R39" s="812"/>
      <c r="S39" s="812"/>
      <c r="T39" s="812"/>
      <c r="U39" s="812"/>
      <c r="V39" s="812"/>
      <c r="W39" s="812"/>
      <c r="X39" s="812"/>
      <c r="Y39" s="812"/>
      <c r="Z39" s="812"/>
      <c r="AA39" s="812"/>
      <c r="AB39" s="812"/>
      <c r="AC39" s="812"/>
      <c r="AD39" s="812"/>
      <c r="AE39" s="97"/>
      <c r="AF39" s="97"/>
    </row>
    <row r="40" spans="1:42" ht="156" customHeight="1">
      <c r="A40" s="810" t="s">
        <v>90</v>
      </c>
      <c r="B40" s="811">
        <v>0.05</v>
      </c>
      <c r="C40" s="102" t="s">
        <v>65</v>
      </c>
      <c r="D40" s="103">
        <v>0</v>
      </c>
      <c r="E40" s="103">
        <v>0.05</v>
      </c>
      <c r="F40" s="103">
        <v>0.2</v>
      </c>
      <c r="G40" s="103">
        <v>0.2</v>
      </c>
      <c r="H40" s="103">
        <v>0.2</v>
      </c>
      <c r="I40" s="103">
        <v>0.1</v>
      </c>
      <c r="J40" s="103">
        <v>0.05</v>
      </c>
      <c r="K40" s="103">
        <v>0.05</v>
      </c>
      <c r="L40" s="103">
        <v>0.05</v>
      </c>
      <c r="M40" s="103">
        <v>0.05</v>
      </c>
      <c r="N40" s="103">
        <v>0.05</v>
      </c>
      <c r="O40" s="103">
        <v>0</v>
      </c>
      <c r="P40" s="177">
        <f t="shared" si="0"/>
        <v>1.0000000000000002</v>
      </c>
      <c r="Q40" s="1186" t="s">
        <v>1219</v>
      </c>
      <c r="R40" s="1186"/>
      <c r="S40" s="1186"/>
      <c r="T40" s="1186"/>
      <c r="U40" s="1186"/>
      <c r="V40" s="1186"/>
      <c r="W40" s="1186"/>
      <c r="X40" s="1186"/>
      <c r="Y40" s="1186"/>
      <c r="Z40" s="1186"/>
      <c r="AA40" s="1186"/>
      <c r="AB40" s="1186"/>
      <c r="AC40" s="1186"/>
      <c r="AD40" s="1186"/>
      <c r="AE40" s="566">
        <f>LEN(Q40)</f>
        <v>1947</v>
      </c>
      <c r="AF40" s="566"/>
    </row>
    <row r="41" spans="1:42" ht="156" customHeight="1">
      <c r="A41" s="810"/>
      <c r="B41" s="811"/>
      <c r="C41" s="99" t="s">
        <v>69</v>
      </c>
      <c r="D41" s="100">
        <v>0</v>
      </c>
      <c r="E41" s="100">
        <v>0.05</v>
      </c>
      <c r="F41" s="100">
        <v>0.2</v>
      </c>
      <c r="G41" s="100">
        <v>0.2</v>
      </c>
      <c r="H41" s="100">
        <v>0.2</v>
      </c>
      <c r="I41" s="100"/>
      <c r="J41" s="100"/>
      <c r="K41" s="100"/>
      <c r="L41" s="100"/>
      <c r="M41" s="100"/>
      <c r="N41" s="100"/>
      <c r="O41" s="100"/>
      <c r="P41" s="177">
        <f t="shared" si="0"/>
        <v>0.65</v>
      </c>
      <c r="Q41" s="1186"/>
      <c r="R41" s="1186"/>
      <c r="S41" s="1186"/>
      <c r="T41" s="1186"/>
      <c r="U41" s="1186"/>
      <c r="V41" s="1186"/>
      <c r="W41" s="1186"/>
      <c r="X41" s="1186"/>
      <c r="Y41" s="1186"/>
      <c r="Z41" s="1186"/>
      <c r="AA41" s="1186"/>
      <c r="AB41" s="1186"/>
      <c r="AC41" s="1186"/>
      <c r="AD41" s="1186"/>
      <c r="AE41" s="97"/>
      <c r="AF41" s="97"/>
    </row>
    <row r="42" spans="1:42" ht="223.5" customHeight="1">
      <c r="A42" s="810" t="s">
        <v>91</v>
      </c>
      <c r="B42" s="811">
        <v>0.05</v>
      </c>
      <c r="C42" s="102" t="s">
        <v>65</v>
      </c>
      <c r="D42" s="103">
        <v>0</v>
      </c>
      <c r="E42" s="103">
        <v>9.0999999999999998E-2</v>
      </c>
      <c r="F42" s="103">
        <v>9.0999999999999998E-2</v>
      </c>
      <c r="G42" s="103">
        <v>9.0999999999999998E-2</v>
      </c>
      <c r="H42" s="103">
        <v>9.0999999999999998E-2</v>
      </c>
      <c r="I42" s="103">
        <v>9.0999999999999998E-2</v>
      </c>
      <c r="J42" s="103">
        <v>9.0999999999999998E-2</v>
      </c>
      <c r="K42" s="103">
        <v>9.0999999999999998E-2</v>
      </c>
      <c r="L42" s="103">
        <v>9.0999999999999998E-2</v>
      </c>
      <c r="M42" s="103">
        <v>9.0999999999999998E-2</v>
      </c>
      <c r="N42" s="103">
        <v>9.0999999999999998E-2</v>
      </c>
      <c r="O42" s="103">
        <v>9.0999999999999998E-2</v>
      </c>
      <c r="P42" s="177">
        <f t="shared" si="0"/>
        <v>1.0009999999999999</v>
      </c>
      <c r="Q42" s="828" t="s">
        <v>1155</v>
      </c>
      <c r="R42" s="828"/>
      <c r="S42" s="828"/>
      <c r="T42" s="828"/>
      <c r="U42" s="828"/>
      <c r="V42" s="828"/>
      <c r="W42" s="828"/>
      <c r="X42" s="828"/>
      <c r="Y42" s="828"/>
      <c r="Z42" s="828"/>
      <c r="AA42" s="828"/>
      <c r="AB42" s="828"/>
      <c r="AC42" s="828"/>
      <c r="AD42" s="828"/>
      <c r="AE42" s="566">
        <f>LEN(Q42)</f>
        <v>1986</v>
      </c>
      <c r="AF42" s="566"/>
    </row>
    <row r="43" spans="1:42" ht="223.5" customHeight="1">
      <c r="A43" s="810"/>
      <c r="B43" s="811"/>
      <c r="C43" s="99" t="s">
        <v>69</v>
      </c>
      <c r="D43" s="100">
        <v>0</v>
      </c>
      <c r="E43" s="100">
        <v>9.0999999999999998E-2</v>
      </c>
      <c r="F43" s="100">
        <v>0.09</v>
      </c>
      <c r="G43" s="100">
        <v>0.09</v>
      </c>
      <c r="H43" s="100">
        <v>0.09</v>
      </c>
      <c r="I43" s="100"/>
      <c r="J43" s="100"/>
      <c r="K43" s="100"/>
      <c r="L43" s="100"/>
      <c r="M43" s="100"/>
      <c r="N43" s="100"/>
      <c r="O43" s="100"/>
      <c r="P43" s="177">
        <f t="shared" si="0"/>
        <v>0.36099999999999999</v>
      </c>
      <c r="Q43" s="828"/>
      <c r="R43" s="828"/>
      <c r="S43" s="828"/>
      <c r="T43" s="828"/>
      <c r="U43" s="828"/>
      <c r="V43" s="828"/>
      <c r="W43" s="828"/>
      <c r="X43" s="828"/>
      <c r="Y43" s="828"/>
      <c r="Z43" s="828"/>
      <c r="AA43" s="828"/>
      <c r="AB43" s="828"/>
      <c r="AC43" s="828"/>
      <c r="AD43" s="828"/>
      <c r="AE43" s="97"/>
      <c r="AF43" s="97"/>
    </row>
    <row r="44" spans="1:42" ht="74.25" customHeight="1">
      <c r="A44" s="810" t="s">
        <v>92</v>
      </c>
      <c r="B44" s="811">
        <v>0.05</v>
      </c>
      <c r="C44" s="102" t="s">
        <v>65</v>
      </c>
      <c r="D44" s="103">
        <v>0</v>
      </c>
      <c r="E44" s="103">
        <v>0</v>
      </c>
      <c r="F44" s="103">
        <v>0.25</v>
      </c>
      <c r="G44" s="103">
        <v>0</v>
      </c>
      <c r="H44" s="103">
        <v>0</v>
      </c>
      <c r="I44" s="103">
        <v>0.25</v>
      </c>
      <c r="J44" s="103">
        <v>0</v>
      </c>
      <c r="K44" s="103">
        <v>0</v>
      </c>
      <c r="L44" s="103">
        <v>0.25</v>
      </c>
      <c r="M44" s="103">
        <v>0</v>
      </c>
      <c r="N44" s="103">
        <v>0</v>
      </c>
      <c r="O44" s="103">
        <v>0.25</v>
      </c>
      <c r="P44" s="177">
        <f>SUM(D44:O44)</f>
        <v>1</v>
      </c>
      <c r="Q44" s="812" t="s">
        <v>1171</v>
      </c>
      <c r="R44" s="812"/>
      <c r="S44" s="812"/>
      <c r="T44" s="812"/>
      <c r="U44" s="812"/>
      <c r="V44" s="812"/>
      <c r="W44" s="812"/>
      <c r="X44" s="812"/>
      <c r="Y44" s="812"/>
      <c r="Z44" s="812"/>
      <c r="AA44" s="812"/>
      <c r="AB44" s="812"/>
      <c r="AC44" s="812"/>
      <c r="AD44" s="812"/>
      <c r="AE44" s="566">
        <f>LEN(Q44)</f>
        <v>1035</v>
      </c>
      <c r="AF44" s="566"/>
    </row>
    <row r="45" spans="1:42" ht="78" customHeight="1">
      <c r="A45" s="810"/>
      <c r="B45" s="811"/>
      <c r="C45" s="99" t="s">
        <v>69</v>
      </c>
      <c r="D45" s="100">
        <v>0</v>
      </c>
      <c r="E45" s="100">
        <v>0</v>
      </c>
      <c r="F45" s="100">
        <v>0.1</v>
      </c>
      <c r="G45" s="100">
        <v>0.15</v>
      </c>
      <c r="H45" s="100">
        <v>0</v>
      </c>
      <c r="I45" s="100"/>
      <c r="J45" s="100"/>
      <c r="K45" s="100"/>
      <c r="L45" s="100"/>
      <c r="M45" s="100"/>
      <c r="N45" s="100"/>
      <c r="O45" s="100"/>
      <c r="P45" s="177">
        <f t="shared" si="0"/>
        <v>0.25</v>
      </c>
      <c r="Q45" s="812"/>
      <c r="R45" s="812"/>
      <c r="S45" s="812"/>
      <c r="T45" s="812"/>
      <c r="U45" s="812"/>
      <c r="V45" s="812"/>
      <c r="W45" s="812"/>
      <c r="X45" s="812"/>
      <c r="Y45" s="812"/>
      <c r="Z45" s="812"/>
      <c r="AA45" s="812"/>
      <c r="AB45" s="812"/>
      <c r="AC45" s="812"/>
      <c r="AD45" s="812"/>
      <c r="AE45" s="97"/>
      <c r="AF45" s="97"/>
      <c r="AL45" s="563"/>
    </row>
    <row r="46" spans="1:42" ht="127.5" customHeight="1">
      <c r="A46" s="810" t="s">
        <v>93</v>
      </c>
      <c r="B46" s="811">
        <v>0.05</v>
      </c>
      <c r="C46" s="102" t="s">
        <v>65</v>
      </c>
      <c r="D46" s="103">
        <v>0</v>
      </c>
      <c r="E46" s="103">
        <v>0.2</v>
      </c>
      <c r="F46" s="103">
        <v>0.2</v>
      </c>
      <c r="G46" s="103">
        <v>0.2</v>
      </c>
      <c r="H46" s="103">
        <v>0.2</v>
      </c>
      <c r="I46" s="103">
        <v>0.1</v>
      </c>
      <c r="J46" s="103">
        <v>0.1</v>
      </c>
      <c r="K46" s="103">
        <v>0</v>
      </c>
      <c r="L46" s="103">
        <v>0</v>
      </c>
      <c r="M46" s="103">
        <v>0</v>
      </c>
      <c r="N46" s="103">
        <v>0</v>
      </c>
      <c r="O46" s="103">
        <v>0</v>
      </c>
      <c r="P46" s="177">
        <f>SUM(D46:O46)</f>
        <v>1</v>
      </c>
      <c r="Q46" s="829" t="s">
        <v>1156</v>
      </c>
      <c r="R46" s="829"/>
      <c r="S46" s="829"/>
      <c r="T46" s="829"/>
      <c r="U46" s="829"/>
      <c r="V46" s="829"/>
      <c r="W46" s="829"/>
      <c r="X46" s="829"/>
      <c r="Y46" s="829"/>
      <c r="Z46" s="829"/>
      <c r="AA46" s="829"/>
      <c r="AB46" s="829"/>
      <c r="AC46" s="829"/>
      <c r="AD46" s="829"/>
      <c r="AE46" s="566">
        <f>LEN(Q46)</f>
        <v>1794</v>
      </c>
      <c r="AF46" s="566"/>
    </row>
    <row r="47" spans="1:42" ht="127.5" customHeight="1">
      <c r="A47" s="810"/>
      <c r="B47" s="811"/>
      <c r="C47" s="99" t="s">
        <v>69</v>
      </c>
      <c r="D47" s="100">
        <v>0</v>
      </c>
      <c r="E47" s="100">
        <v>0.2</v>
      </c>
      <c r="F47" s="100">
        <v>0.05</v>
      </c>
      <c r="G47" s="100">
        <v>0.2</v>
      </c>
      <c r="H47" s="100">
        <v>0.2</v>
      </c>
      <c r="I47" s="100"/>
      <c r="J47" s="100"/>
      <c r="K47" s="100"/>
      <c r="L47" s="100"/>
      <c r="M47" s="100"/>
      <c r="N47" s="100"/>
      <c r="O47" s="100"/>
      <c r="P47" s="177">
        <f t="shared" si="0"/>
        <v>0.65</v>
      </c>
      <c r="Q47" s="829"/>
      <c r="R47" s="829"/>
      <c r="S47" s="829"/>
      <c r="T47" s="829"/>
      <c r="U47" s="829"/>
      <c r="V47" s="829"/>
      <c r="W47" s="829"/>
      <c r="X47" s="829"/>
      <c r="Y47" s="829"/>
      <c r="Z47" s="829"/>
      <c r="AA47" s="829"/>
      <c r="AB47" s="829"/>
      <c r="AC47" s="829"/>
      <c r="AD47" s="829"/>
      <c r="AE47" s="97"/>
      <c r="AF47" s="97"/>
    </row>
    <row r="48" spans="1:42" ht="45.75" customHeight="1">
      <c r="A48" s="810" t="s">
        <v>94</v>
      </c>
      <c r="B48" s="811">
        <v>0.05</v>
      </c>
      <c r="C48" s="102" t="s">
        <v>65</v>
      </c>
      <c r="D48" s="103">
        <v>0</v>
      </c>
      <c r="E48" s="103">
        <v>0</v>
      </c>
      <c r="F48" s="103">
        <v>0</v>
      </c>
      <c r="G48" s="103">
        <v>0</v>
      </c>
      <c r="H48" s="103">
        <v>0</v>
      </c>
      <c r="I48" s="103">
        <v>0</v>
      </c>
      <c r="J48" s="103">
        <v>0.2</v>
      </c>
      <c r="K48" s="103">
        <v>0.2</v>
      </c>
      <c r="L48" s="103">
        <v>0.2</v>
      </c>
      <c r="M48" s="103">
        <v>0.2</v>
      </c>
      <c r="N48" s="103">
        <v>0.1</v>
      </c>
      <c r="O48" s="103">
        <v>0.1</v>
      </c>
      <c r="P48" s="177">
        <f t="shared" si="0"/>
        <v>1</v>
      </c>
      <c r="Q48" s="812" t="s">
        <v>1157</v>
      </c>
      <c r="R48" s="812"/>
      <c r="S48" s="812"/>
      <c r="T48" s="812"/>
      <c r="U48" s="812"/>
      <c r="V48" s="812"/>
      <c r="W48" s="812"/>
      <c r="X48" s="812"/>
      <c r="Y48" s="812"/>
      <c r="Z48" s="812"/>
      <c r="AA48" s="812"/>
      <c r="AB48" s="812"/>
      <c r="AC48" s="812"/>
      <c r="AD48" s="812"/>
      <c r="AE48" s="566">
        <f>LEN(Q48)</f>
        <v>307</v>
      </c>
      <c r="AF48" s="566"/>
    </row>
    <row r="49" spans="1:32" ht="45.75" customHeight="1">
      <c r="A49" s="810"/>
      <c r="B49" s="811"/>
      <c r="C49" s="99" t="s">
        <v>69</v>
      </c>
      <c r="D49" s="100">
        <v>0</v>
      </c>
      <c r="E49" s="100">
        <v>0</v>
      </c>
      <c r="F49" s="100">
        <v>0</v>
      </c>
      <c r="G49" s="100">
        <v>0</v>
      </c>
      <c r="H49" s="100">
        <v>0</v>
      </c>
      <c r="I49" s="100"/>
      <c r="J49" s="100"/>
      <c r="K49" s="100"/>
      <c r="L49" s="100"/>
      <c r="M49" s="100"/>
      <c r="N49" s="100"/>
      <c r="O49" s="100"/>
      <c r="P49" s="177">
        <f t="shared" si="0"/>
        <v>0</v>
      </c>
      <c r="Q49" s="812"/>
      <c r="R49" s="812"/>
      <c r="S49" s="812"/>
      <c r="T49" s="812"/>
      <c r="U49" s="812"/>
      <c r="V49" s="812"/>
      <c r="W49" s="812"/>
      <c r="X49" s="812"/>
      <c r="Y49" s="812"/>
      <c r="Z49" s="812"/>
      <c r="AA49" s="812"/>
      <c r="AB49" s="812"/>
      <c r="AC49" s="812"/>
      <c r="AD49" s="812"/>
      <c r="AE49" s="97"/>
      <c r="AF49" s="97"/>
    </row>
    <row r="50" spans="1:32">
      <c r="A50" s="50" t="s">
        <v>95</v>
      </c>
    </row>
    <row r="51" spans="1:32">
      <c r="B51" s="383">
        <f>SUM(B38:B50)</f>
        <v>0.3</v>
      </c>
    </row>
  </sheetData>
  <mergeCells count="86">
    <mergeCell ref="A48:A49"/>
    <mergeCell ref="B48:B49"/>
    <mergeCell ref="Q48:AD49"/>
    <mergeCell ref="B46:B47"/>
    <mergeCell ref="Q42:AD43"/>
    <mergeCell ref="Q44:AD45"/>
    <mergeCell ref="Q46:AD47"/>
    <mergeCell ref="A44:A45"/>
    <mergeCell ref="B44:B45"/>
    <mergeCell ref="A46:A47"/>
    <mergeCell ref="A40:A41"/>
    <mergeCell ref="B40:B41"/>
    <mergeCell ref="Q40:AD41"/>
    <mergeCell ref="A42:A43"/>
    <mergeCell ref="B42:B4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V33"/>
    <mergeCell ref="W33:Z33"/>
    <mergeCell ref="A24:B24"/>
    <mergeCell ref="A25:B25"/>
    <mergeCell ref="A27:AD27"/>
    <mergeCell ref="A28:A29"/>
    <mergeCell ref="B28:C29"/>
    <mergeCell ref="D28:O28"/>
    <mergeCell ref="P28:P29"/>
    <mergeCell ref="Q28:AD29"/>
    <mergeCell ref="AC17:AD17"/>
    <mergeCell ref="A19:AD19"/>
    <mergeCell ref="C20:P20"/>
    <mergeCell ref="Q20:AD20"/>
    <mergeCell ref="A22:B22"/>
    <mergeCell ref="A23:B23"/>
    <mergeCell ref="C16:AB16"/>
    <mergeCell ref="A17:B17"/>
    <mergeCell ref="C17:Q17"/>
    <mergeCell ref="R17:V17"/>
    <mergeCell ref="W17:X17"/>
    <mergeCell ref="Y17:AB17"/>
    <mergeCell ref="A15:B15"/>
    <mergeCell ref="C15:K15"/>
    <mergeCell ref="L15:Q15"/>
    <mergeCell ref="R15:X15"/>
    <mergeCell ref="Y15:Z15"/>
    <mergeCell ref="AA15:AD15"/>
    <mergeCell ref="O7:P7"/>
    <mergeCell ref="M8:N8"/>
    <mergeCell ref="O8:P8"/>
    <mergeCell ref="M9:N9"/>
    <mergeCell ref="O9:P9"/>
    <mergeCell ref="A11:B13"/>
    <mergeCell ref="C11:AD13"/>
    <mergeCell ref="A7:B9"/>
    <mergeCell ref="C7:C9"/>
    <mergeCell ref="D7:H9"/>
    <mergeCell ref="I7:J9"/>
    <mergeCell ref="K7:L9"/>
    <mergeCell ref="M7:N7"/>
    <mergeCell ref="A1:A4"/>
    <mergeCell ref="B1:AA1"/>
    <mergeCell ref="AB1:AD1"/>
    <mergeCell ref="B2:AA2"/>
    <mergeCell ref="AB2:AD2"/>
    <mergeCell ref="B3:AA4"/>
    <mergeCell ref="AB3:AD3"/>
    <mergeCell ref="AB4:AD4"/>
  </mergeCells>
  <dataValidations count="3">
    <dataValidation type="list" allowBlank="1" showInputMessage="1" showErrorMessage="1" sqref="C7:C9 IZ7:IZ9 SV7:SV9 ACR7:ACR9 AMN7:AMN9 AWJ7:AWJ9 BGF7:BGF9 BQB7:BQB9 BZX7:BZX9 CJT7:CJT9 CTP7:CTP9 DDL7:DDL9 DNH7:DNH9 DXD7:DXD9 EGZ7:EGZ9 EQV7:EQV9 FAR7:FAR9 FKN7:FKN9 FUJ7:FUJ9 GEF7:GEF9 GOB7:GOB9 GXX7:GXX9 HHT7:HHT9 HRP7:HRP9 IBL7:IBL9 ILH7:ILH9 IVD7:IVD9 JEZ7:JEZ9 JOV7:JOV9 JYR7:JYR9 KIN7:KIN9 KSJ7:KSJ9 LCF7:LCF9 LMB7:LMB9 LVX7:LVX9 MFT7:MFT9 MPP7:MPP9 MZL7:MZL9 NJH7:NJH9 NTD7:NTD9 OCZ7:OCZ9 OMV7:OMV9 OWR7:OWR9 PGN7:PGN9 PQJ7:PQJ9 QAF7:QAF9 QKB7:QKB9 QTX7:QTX9 RDT7:RDT9 RNP7:RNP9 RXL7:RXL9 SHH7:SHH9 SRD7:SRD9 TAZ7:TAZ9 TKV7:TKV9 TUR7:TUR9 UEN7:UEN9 UOJ7:UOJ9 UYF7:UYF9 VIB7:VIB9 VRX7:VRX9 WBT7:WBT9 WLP7:WLP9 WVL7:WVL9 C65543:C65545 IZ65543:IZ65545 SV65543:SV65545 ACR65543:ACR65545 AMN65543:AMN65545 AWJ65543:AWJ65545 BGF65543:BGF65545 BQB65543:BQB65545 BZX65543:BZX65545 CJT65543:CJT65545 CTP65543:CTP65545 DDL65543:DDL65545 DNH65543:DNH65545 DXD65543:DXD65545 EGZ65543:EGZ65545 EQV65543:EQV65545 FAR65543:FAR65545 FKN65543:FKN65545 FUJ65543:FUJ65545 GEF65543:GEF65545 GOB65543:GOB65545 GXX65543:GXX65545 HHT65543:HHT65545 HRP65543:HRP65545 IBL65543:IBL65545 ILH65543:ILH65545 IVD65543:IVD65545 JEZ65543:JEZ65545 JOV65543:JOV65545 JYR65543:JYR65545 KIN65543:KIN65545 KSJ65543:KSJ65545 LCF65543:LCF65545 LMB65543:LMB65545 LVX65543:LVX65545 MFT65543:MFT65545 MPP65543:MPP65545 MZL65543:MZL65545 NJH65543:NJH65545 NTD65543:NTD65545 OCZ65543:OCZ65545 OMV65543:OMV65545 OWR65543:OWR65545 PGN65543:PGN65545 PQJ65543:PQJ65545 QAF65543:QAF65545 QKB65543:QKB65545 QTX65543:QTX65545 RDT65543:RDT65545 RNP65543:RNP65545 RXL65543:RXL65545 SHH65543:SHH65545 SRD65543:SRD65545 TAZ65543:TAZ65545 TKV65543:TKV65545 TUR65543:TUR65545 UEN65543:UEN65545 UOJ65543:UOJ65545 UYF65543:UYF65545 VIB65543:VIB65545 VRX65543:VRX65545 WBT65543:WBT65545 WLP65543:WLP65545 WVL65543:WVL65545 C131079:C131081 IZ131079:IZ131081 SV131079:SV131081 ACR131079:ACR131081 AMN131079:AMN131081 AWJ131079:AWJ131081 BGF131079:BGF131081 BQB131079:BQB131081 BZX131079:BZX131081 CJT131079:CJT131081 CTP131079:CTP131081 DDL131079:DDL131081 DNH131079:DNH131081 DXD131079:DXD131081 EGZ131079:EGZ131081 EQV131079:EQV131081 FAR131079:FAR131081 FKN131079:FKN131081 FUJ131079:FUJ131081 GEF131079:GEF131081 GOB131079:GOB131081 GXX131079:GXX131081 HHT131079:HHT131081 HRP131079:HRP131081 IBL131079:IBL131081 ILH131079:ILH131081 IVD131079:IVD131081 JEZ131079:JEZ131081 JOV131079:JOV131081 JYR131079:JYR131081 KIN131079:KIN131081 KSJ131079:KSJ131081 LCF131079:LCF131081 LMB131079:LMB131081 LVX131079:LVX131081 MFT131079:MFT131081 MPP131079:MPP131081 MZL131079:MZL131081 NJH131079:NJH131081 NTD131079:NTD131081 OCZ131079:OCZ131081 OMV131079:OMV131081 OWR131079:OWR131081 PGN131079:PGN131081 PQJ131079:PQJ131081 QAF131079:QAF131081 QKB131079:QKB131081 QTX131079:QTX131081 RDT131079:RDT131081 RNP131079:RNP131081 RXL131079:RXL131081 SHH131079:SHH131081 SRD131079:SRD131081 TAZ131079:TAZ131081 TKV131079:TKV131081 TUR131079:TUR131081 UEN131079:UEN131081 UOJ131079:UOJ131081 UYF131079:UYF131081 VIB131079:VIB131081 VRX131079:VRX131081 WBT131079:WBT131081 WLP131079:WLP131081 WVL131079:WVL131081 C196615:C196617 IZ196615:IZ196617 SV196615:SV196617 ACR196615:ACR196617 AMN196615:AMN196617 AWJ196615:AWJ196617 BGF196615:BGF196617 BQB196615:BQB196617 BZX196615:BZX196617 CJT196615:CJT196617 CTP196615:CTP196617 DDL196615:DDL196617 DNH196615:DNH196617 DXD196615:DXD196617 EGZ196615:EGZ196617 EQV196615:EQV196617 FAR196615:FAR196617 FKN196615:FKN196617 FUJ196615:FUJ196617 GEF196615:GEF196617 GOB196615:GOB196617 GXX196615:GXX196617 HHT196615:HHT196617 HRP196615:HRP196617 IBL196615:IBL196617 ILH196615:ILH196617 IVD196615:IVD196617 JEZ196615:JEZ196617 JOV196615:JOV196617 JYR196615:JYR196617 KIN196615:KIN196617 KSJ196615:KSJ196617 LCF196615:LCF196617 LMB196615:LMB196617 LVX196615:LVX196617 MFT196615:MFT196617 MPP196615:MPP196617 MZL196615:MZL196617 NJH196615:NJH196617 NTD196615:NTD196617 OCZ196615:OCZ196617 OMV196615:OMV196617 OWR196615:OWR196617 PGN196615:PGN196617 PQJ196615:PQJ196617 QAF196615:QAF196617 QKB196615:QKB196617 QTX196615:QTX196617 RDT196615:RDT196617 RNP196615:RNP196617 RXL196615:RXL196617 SHH196615:SHH196617 SRD196615:SRD196617 TAZ196615:TAZ196617 TKV196615:TKV196617 TUR196615:TUR196617 UEN196615:UEN196617 UOJ196615:UOJ196617 UYF196615:UYF196617 VIB196615:VIB196617 VRX196615:VRX196617 WBT196615:WBT196617 WLP196615:WLP196617 WVL196615:WVL196617 C262151:C262153 IZ262151:IZ262153 SV262151:SV262153 ACR262151:ACR262153 AMN262151:AMN262153 AWJ262151:AWJ262153 BGF262151:BGF262153 BQB262151:BQB262153 BZX262151:BZX262153 CJT262151:CJT262153 CTP262151:CTP262153 DDL262151:DDL262153 DNH262151:DNH262153 DXD262151:DXD262153 EGZ262151:EGZ262153 EQV262151:EQV262153 FAR262151:FAR262153 FKN262151:FKN262153 FUJ262151:FUJ262153 GEF262151:GEF262153 GOB262151:GOB262153 GXX262151:GXX262153 HHT262151:HHT262153 HRP262151:HRP262153 IBL262151:IBL262153 ILH262151:ILH262153 IVD262151:IVD262153 JEZ262151:JEZ262153 JOV262151:JOV262153 JYR262151:JYR262153 KIN262151:KIN262153 KSJ262151:KSJ262153 LCF262151:LCF262153 LMB262151:LMB262153 LVX262151:LVX262153 MFT262151:MFT262153 MPP262151:MPP262153 MZL262151:MZL262153 NJH262151:NJH262153 NTD262151:NTD262153 OCZ262151:OCZ262153 OMV262151:OMV262153 OWR262151:OWR262153 PGN262151:PGN262153 PQJ262151:PQJ262153 QAF262151:QAF262153 QKB262151:QKB262153 QTX262151:QTX262153 RDT262151:RDT262153 RNP262151:RNP262153 RXL262151:RXL262153 SHH262151:SHH262153 SRD262151:SRD262153 TAZ262151:TAZ262153 TKV262151:TKV262153 TUR262151:TUR262153 UEN262151:UEN262153 UOJ262151:UOJ262153 UYF262151:UYF262153 VIB262151:VIB262153 VRX262151:VRX262153 WBT262151:WBT262153 WLP262151:WLP262153 WVL262151:WVL262153 C327687:C327689 IZ327687:IZ327689 SV327687:SV327689 ACR327687:ACR327689 AMN327687:AMN327689 AWJ327687:AWJ327689 BGF327687:BGF327689 BQB327687:BQB327689 BZX327687:BZX327689 CJT327687:CJT327689 CTP327687:CTP327689 DDL327687:DDL327689 DNH327687:DNH327689 DXD327687:DXD327689 EGZ327687:EGZ327689 EQV327687:EQV327689 FAR327687:FAR327689 FKN327687:FKN327689 FUJ327687:FUJ327689 GEF327687:GEF327689 GOB327687:GOB327689 GXX327687:GXX327689 HHT327687:HHT327689 HRP327687:HRP327689 IBL327687:IBL327689 ILH327687:ILH327689 IVD327687:IVD327689 JEZ327687:JEZ327689 JOV327687:JOV327689 JYR327687:JYR327689 KIN327687:KIN327689 KSJ327687:KSJ327689 LCF327687:LCF327689 LMB327687:LMB327689 LVX327687:LVX327689 MFT327687:MFT327689 MPP327687:MPP327689 MZL327687:MZL327689 NJH327687:NJH327689 NTD327687:NTD327689 OCZ327687:OCZ327689 OMV327687:OMV327689 OWR327687:OWR327689 PGN327687:PGN327689 PQJ327687:PQJ327689 QAF327687:QAF327689 QKB327687:QKB327689 QTX327687:QTX327689 RDT327687:RDT327689 RNP327687:RNP327689 RXL327687:RXL327689 SHH327687:SHH327689 SRD327687:SRD327689 TAZ327687:TAZ327689 TKV327687:TKV327689 TUR327687:TUR327689 UEN327687:UEN327689 UOJ327687:UOJ327689 UYF327687:UYF327689 VIB327687:VIB327689 VRX327687:VRX327689 WBT327687:WBT327689 WLP327687:WLP327689 WVL327687:WVL327689 C393223:C393225 IZ393223:IZ393225 SV393223:SV393225 ACR393223:ACR393225 AMN393223:AMN393225 AWJ393223:AWJ393225 BGF393223:BGF393225 BQB393223:BQB393225 BZX393223:BZX393225 CJT393223:CJT393225 CTP393223:CTP393225 DDL393223:DDL393225 DNH393223:DNH393225 DXD393223:DXD393225 EGZ393223:EGZ393225 EQV393223:EQV393225 FAR393223:FAR393225 FKN393223:FKN393225 FUJ393223:FUJ393225 GEF393223:GEF393225 GOB393223:GOB393225 GXX393223:GXX393225 HHT393223:HHT393225 HRP393223:HRP393225 IBL393223:IBL393225 ILH393223:ILH393225 IVD393223:IVD393225 JEZ393223:JEZ393225 JOV393223:JOV393225 JYR393223:JYR393225 KIN393223:KIN393225 KSJ393223:KSJ393225 LCF393223:LCF393225 LMB393223:LMB393225 LVX393223:LVX393225 MFT393223:MFT393225 MPP393223:MPP393225 MZL393223:MZL393225 NJH393223:NJH393225 NTD393223:NTD393225 OCZ393223:OCZ393225 OMV393223:OMV393225 OWR393223:OWR393225 PGN393223:PGN393225 PQJ393223:PQJ393225 QAF393223:QAF393225 QKB393223:QKB393225 QTX393223:QTX393225 RDT393223:RDT393225 RNP393223:RNP393225 RXL393223:RXL393225 SHH393223:SHH393225 SRD393223:SRD393225 TAZ393223:TAZ393225 TKV393223:TKV393225 TUR393223:TUR393225 UEN393223:UEN393225 UOJ393223:UOJ393225 UYF393223:UYF393225 VIB393223:VIB393225 VRX393223:VRX393225 WBT393223:WBT393225 WLP393223:WLP393225 WVL393223:WVL393225 C458759:C458761 IZ458759:IZ458761 SV458759:SV458761 ACR458759:ACR458761 AMN458759:AMN458761 AWJ458759:AWJ458761 BGF458759:BGF458761 BQB458759:BQB458761 BZX458759:BZX458761 CJT458759:CJT458761 CTP458759:CTP458761 DDL458759:DDL458761 DNH458759:DNH458761 DXD458759:DXD458761 EGZ458759:EGZ458761 EQV458759:EQV458761 FAR458759:FAR458761 FKN458759:FKN458761 FUJ458759:FUJ458761 GEF458759:GEF458761 GOB458759:GOB458761 GXX458759:GXX458761 HHT458759:HHT458761 HRP458759:HRP458761 IBL458759:IBL458761 ILH458759:ILH458761 IVD458759:IVD458761 JEZ458759:JEZ458761 JOV458759:JOV458761 JYR458759:JYR458761 KIN458759:KIN458761 KSJ458759:KSJ458761 LCF458759:LCF458761 LMB458759:LMB458761 LVX458759:LVX458761 MFT458759:MFT458761 MPP458759:MPP458761 MZL458759:MZL458761 NJH458759:NJH458761 NTD458759:NTD458761 OCZ458759:OCZ458761 OMV458759:OMV458761 OWR458759:OWR458761 PGN458759:PGN458761 PQJ458759:PQJ458761 QAF458759:QAF458761 QKB458759:QKB458761 QTX458759:QTX458761 RDT458759:RDT458761 RNP458759:RNP458761 RXL458759:RXL458761 SHH458759:SHH458761 SRD458759:SRD458761 TAZ458759:TAZ458761 TKV458759:TKV458761 TUR458759:TUR458761 UEN458759:UEN458761 UOJ458759:UOJ458761 UYF458759:UYF458761 VIB458759:VIB458761 VRX458759:VRX458761 WBT458759:WBT458761 WLP458759:WLP458761 WVL458759:WVL458761 C524295:C524297 IZ524295:IZ524297 SV524295:SV524297 ACR524295:ACR524297 AMN524295:AMN524297 AWJ524295:AWJ524297 BGF524295:BGF524297 BQB524295:BQB524297 BZX524295:BZX524297 CJT524295:CJT524297 CTP524295:CTP524297 DDL524295:DDL524297 DNH524295:DNH524297 DXD524295:DXD524297 EGZ524295:EGZ524297 EQV524295:EQV524297 FAR524295:FAR524297 FKN524295:FKN524297 FUJ524295:FUJ524297 GEF524295:GEF524297 GOB524295:GOB524297 GXX524295:GXX524297 HHT524295:HHT524297 HRP524295:HRP524297 IBL524295:IBL524297 ILH524295:ILH524297 IVD524295:IVD524297 JEZ524295:JEZ524297 JOV524295:JOV524297 JYR524295:JYR524297 KIN524295:KIN524297 KSJ524295:KSJ524297 LCF524295:LCF524297 LMB524295:LMB524297 LVX524295:LVX524297 MFT524295:MFT524297 MPP524295:MPP524297 MZL524295:MZL524297 NJH524295:NJH524297 NTD524295:NTD524297 OCZ524295:OCZ524297 OMV524295:OMV524297 OWR524295:OWR524297 PGN524295:PGN524297 PQJ524295:PQJ524297 QAF524295:QAF524297 QKB524295:QKB524297 QTX524295:QTX524297 RDT524295:RDT524297 RNP524295:RNP524297 RXL524295:RXL524297 SHH524295:SHH524297 SRD524295:SRD524297 TAZ524295:TAZ524297 TKV524295:TKV524297 TUR524295:TUR524297 UEN524295:UEN524297 UOJ524295:UOJ524297 UYF524295:UYF524297 VIB524295:VIB524297 VRX524295:VRX524297 WBT524295:WBT524297 WLP524295:WLP524297 WVL524295:WVL524297 C589831:C589833 IZ589831:IZ589833 SV589831:SV589833 ACR589831:ACR589833 AMN589831:AMN589833 AWJ589831:AWJ589833 BGF589831:BGF589833 BQB589831:BQB589833 BZX589831:BZX589833 CJT589831:CJT589833 CTP589831:CTP589833 DDL589831:DDL589833 DNH589831:DNH589833 DXD589831:DXD589833 EGZ589831:EGZ589833 EQV589831:EQV589833 FAR589831:FAR589833 FKN589831:FKN589833 FUJ589831:FUJ589833 GEF589831:GEF589833 GOB589831:GOB589833 GXX589831:GXX589833 HHT589831:HHT589833 HRP589831:HRP589833 IBL589831:IBL589833 ILH589831:ILH589833 IVD589831:IVD589833 JEZ589831:JEZ589833 JOV589831:JOV589833 JYR589831:JYR589833 KIN589831:KIN589833 KSJ589831:KSJ589833 LCF589831:LCF589833 LMB589831:LMB589833 LVX589831:LVX589833 MFT589831:MFT589833 MPP589831:MPP589833 MZL589831:MZL589833 NJH589831:NJH589833 NTD589831:NTD589833 OCZ589831:OCZ589833 OMV589831:OMV589833 OWR589831:OWR589833 PGN589831:PGN589833 PQJ589831:PQJ589833 QAF589831:QAF589833 QKB589831:QKB589833 QTX589831:QTX589833 RDT589831:RDT589833 RNP589831:RNP589833 RXL589831:RXL589833 SHH589831:SHH589833 SRD589831:SRD589833 TAZ589831:TAZ589833 TKV589831:TKV589833 TUR589831:TUR589833 UEN589831:UEN589833 UOJ589831:UOJ589833 UYF589831:UYF589833 VIB589831:VIB589833 VRX589831:VRX589833 WBT589831:WBT589833 WLP589831:WLP589833 WVL589831:WVL589833 C655367:C655369 IZ655367:IZ655369 SV655367:SV655369 ACR655367:ACR655369 AMN655367:AMN655369 AWJ655367:AWJ655369 BGF655367:BGF655369 BQB655367:BQB655369 BZX655367:BZX655369 CJT655367:CJT655369 CTP655367:CTP655369 DDL655367:DDL655369 DNH655367:DNH655369 DXD655367:DXD655369 EGZ655367:EGZ655369 EQV655367:EQV655369 FAR655367:FAR655369 FKN655367:FKN655369 FUJ655367:FUJ655369 GEF655367:GEF655369 GOB655367:GOB655369 GXX655367:GXX655369 HHT655367:HHT655369 HRP655367:HRP655369 IBL655367:IBL655369 ILH655367:ILH655369 IVD655367:IVD655369 JEZ655367:JEZ655369 JOV655367:JOV655369 JYR655367:JYR655369 KIN655367:KIN655369 KSJ655367:KSJ655369 LCF655367:LCF655369 LMB655367:LMB655369 LVX655367:LVX655369 MFT655367:MFT655369 MPP655367:MPP655369 MZL655367:MZL655369 NJH655367:NJH655369 NTD655367:NTD655369 OCZ655367:OCZ655369 OMV655367:OMV655369 OWR655367:OWR655369 PGN655367:PGN655369 PQJ655367:PQJ655369 QAF655367:QAF655369 QKB655367:QKB655369 QTX655367:QTX655369 RDT655367:RDT655369 RNP655367:RNP655369 RXL655367:RXL655369 SHH655367:SHH655369 SRD655367:SRD655369 TAZ655367:TAZ655369 TKV655367:TKV655369 TUR655367:TUR655369 UEN655367:UEN655369 UOJ655367:UOJ655369 UYF655367:UYF655369 VIB655367:VIB655369 VRX655367:VRX655369 WBT655367:WBT655369 WLP655367:WLP655369 WVL655367:WVL655369 C720903:C720905 IZ720903:IZ720905 SV720903:SV720905 ACR720903:ACR720905 AMN720903:AMN720905 AWJ720903:AWJ720905 BGF720903:BGF720905 BQB720903:BQB720905 BZX720903:BZX720905 CJT720903:CJT720905 CTP720903:CTP720905 DDL720903:DDL720905 DNH720903:DNH720905 DXD720903:DXD720905 EGZ720903:EGZ720905 EQV720903:EQV720905 FAR720903:FAR720905 FKN720903:FKN720905 FUJ720903:FUJ720905 GEF720903:GEF720905 GOB720903:GOB720905 GXX720903:GXX720905 HHT720903:HHT720905 HRP720903:HRP720905 IBL720903:IBL720905 ILH720903:ILH720905 IVD720903:IVD720905 JEZ720903:JEZ720905 JOV720903:JOV720905 JYR720903:JYR720905 KIN720903:KIN720905 KSJ720903:KSJ720905 LCF720903:LCF720905 LMB720903:LMB720905 LVX720903:LVX720905 MFT720903:MFT720905 MPP720903:MPP720905 MZL720903:MZL720905 NJH720903:NJH720905 NTD720903:NTD720905 OCZ720903:OCZ720905 OMV720903:OMV720905 OWR720903:OWR720905 PGN720903:PGN720905 PQJ720903:PQJ720905 QAF720903:QAF720905 QKB720903:QKB720905 QTX720903:QTX720905 RDT720903:RDT720905 RNP720903:RNP720905 RXL720903:RXL720905 SHH720903:SHH720905 SRD720903:SRD720905 TAZ720903:TAZ720905 TKV720903:TKV720905 TUR720903:TUR720905 UEN720903:UEN720905 UOJ720903:UOJ720905 UYF720903:UYF720905 VIB720903:VIB720905 VRX720903:VRX720905 WBT720903:WBT720905 WLP720903:WLP720905 WVL720903:WVL720905 C786439:C786441 IZ786439:IZ786441 SV786439:SV786441 ACR786439:ACR786441 AMN786439:AMN786441 AWJ786439:AWJ786441 BGF786439:BGF786441 BQB786439:BQB786441 BZX786439:BZX786441 CJT786439:CJT786441 CTP786439:CTP786441 DDL786439:DDL786441 DNH786439:DNH786441 DXD786439:DXD786441 EGZ786439:EGZ786441 EQV786439:EQV786441 FAR786439:FAR786441 FKN786439:FKN786441 FUJ786439:FUJ786441 GEF786439:GEF786441 GOB786439:GOB786441 GXX786439:GXX786441 HHT786439:HHT786441 HRP786439:HRP786441 IBL786439:IBL786441 ILH786439:ILH786441 IVD786439:IVD786441 JEZ786439:JEZ786441 JOV786439:JOV786441 JYR786439:JYR786441 KIN786439:KIN786441 KSJ786439:KSJ786441 LCF786439:LCF786441 LMB786439:LMB786441 LVX786439:LVX786441 MFT786439:MFT786441 MPP786439:MPP786441 MZL786439:MZL786441 NJH786439:NJH786441 NTD786439:NTD786441 OCZ786439:OCZ786441 OMV786439:OMV786441 OWR786439:OWR786441 PGN786439:PGN786441 PQJ786439:PQJ786441 QAF786439:QAF786441 QKB786439:QKB786441 QTX786439:QTX786441 RDT786439:RDT786441 RNP786439:RNP786441 RXL786439:RXL786441 SHH786439:SHH786441 SRD786439:SRD786441 TAZ786439:TAZ786441 TKV786439:TKV786441 TUR786439:TUR786441 UEN786439:UEN786441 UOJ786439:UOJ786441 UYF786439:UYF786441 VIB786439:VIB786441 VRX786439:VRX786441 WBT786439:WBT786441 WLP786439:WLP786441 WVL786439:WVL786441 C851975:C851977 IZ851975:IZ851977 SV851975:SV851977 ACR851975:ACR851977 AMN851975:AMN851977 AWJ851975:AWJ851977 BGF851975:BGF851977 BQB851975:BQB851977 BZX851975:BZX851977 CJT851975:CJT851977 CTP851975:CTP851977 DDL851975:DDL851977 DNH851975:DNH851977 DXD851975:DXD851977 EGZ851975:EGZ851977 EQV851975:EQV851977 FAR851975:FAR851977 FKN851975:FKN851977 FUJ851975:FUJ851977 GEF851975:GEF851977 GOB851975:GOB851977 GXX851975:GXX851977 HHT851975:HHT851977 HRP851975:HRP851977 IBL851975:IBL851977 ILH851975:ILH851977 IVD851975:IVD851977 JEZ851975:JEZ851977 JOV851975:JOV851977 JYR851975:JYR851977 KIN851975:KIN851977 KSJ851975:KSJ851977 LCF851975:LCF851977 LMB851975:LMB851977 LVX851975:LVX851977 MFT851975:MFT851977 MPP851975:MPP851977 MZL851975:MZL851977 NJH851975:NJH851977 NTD851975:NTD851977 OCZ851975:OCZ851977 OMV851975:OMV851977 OWR851975:OWR851977 PGN851975:PGN851977 PQJ851975:PQJ851977 QAF851975:QAF851977 QKB851975:QKB851977 QTX851975:QTX851977 RDT851975:RDT851977 RNP851975:RNP851977 RXL851975:RXL851977 SHH851975:SHH851977 SRD851975:SRD851977 TAZ851975:TAZ851977 TKV851975:TKV851977 TUR851975:TUR851977 UEN851975:UEN851977 UOJ851975:UOJ851977 UYF851975:UYF851977 VIB851975:VIB851977 VRX851975:VRX851977 WBT851975:WBT851977 WLP851975:WLP851977 WVL851975:WVL851977 C917511:C917513 IZ917511:IZ917513 SV917511:SV917513 ACR917511:ACR917513 AMN917511:AMN917513 AWJ917511:AWJ917513 BGF917511:BGF917513 BQB917511:BQB917513 BZX917511:BZX917513 CJT917511:CJT917513 CTP917511:CTP917513 DDL917511:DDL917513 DNH917511:DNH917513 DXD917511:DXD917513 EGZ917511:EGZ917513 EQV917511:EQV917513 FAR917511:FAR917513 FKN917511:FKN917513 FUJ917511:FUJ917513 GEF917511:GEF917513 GOB917511:GOB917513 GXX917511:GXX917513 HHT917511:HHT917513 HRP917511:HRP917513 IBL917511:IBL917513 ILH917511:ILH917513 IVD917511:IVD917513 JEZ917511:JEZ917513 JOV917511:JOV917513 JYR917511:JYR917513 KIN917511:KIN917513 KSJ917511:KSJ917513 LCF917511:LCF917513 LMB917511:LMB917513 LVX917511:LVX917513 MFT917511:MFT917513 MPP917511:MPP917513 MZL917511:MZL917513 NJH917511:NJH917513 NTD917511:NTD917513 OCZ917511:OCZ917513 OMV917511:OMV917513 OWR917511:OWR917513 PGN917511:PGN917513 PQJ917511:PQJ917513 QAF917511:QAF917513 QKB917511:QKB917513 QTX917511:QTX917513 RDT917511:RDT917513 RNP917511:RNP917513 RXL917511:RXL917513 SHH917511:SHH917513 SRD917511:SRD917513 TAZ917511:TAZ917513 TKV917511:TKV917513 TUR917511:TUR917513 UEN917511:UEN917513 UOJ917511:UOJ917513 UYF917511:UYF917513 VIB917511:VIB917513 VRX917511:VRX917513 WBT917511:WBT917513 WLP917511:WLP917513 WVL917511:WVL917513 C983047:C983049 IZ983047:IZ983049 SV983047:SV983049 ACR983047:ACR983049 AMN983047:AMN983049 AWJ983047:AWJ983049 BGF983047:BGF983049 BQB983047:BQB983049 BZX983047:BZX983049 CJT983047:CJT983049 CTP983047:CTP983049 DDL983047:DDL983049 DNH983047:DNH983049 DXD983047:DXD983049 EGZ983047:EGZ983049 EQV983047:EQV983049 FAR983047:FAR983049 FKN983047:FKN983049 FUJ983047:FUJ983049 GEF983047:GEF983049 GOB983047:GOB983049 GXX983047:GXX983049 HHT983047:HHT983049 HRP983047:HRP983049 IBL983047:IBL983049 ILH983047:ILH983049 IVD983047:IVD983049 JEZ983047:JEZ983049 JOV983047:JOV983049 JYR983047:JYR983049 KIN983047:KIN983049 KSJ983047:KSJ983049 LCF983047:LCF983049 LMB983047:LMB983049 LVX983047:LVX983049 MFT983047:MFT983049 MPP983047:MPP983049 MZL983047:MZL983049 NJH983047:NJH983049 NTD983047:NTD983049 OCZ983047:OCZ983049 OMV983047:OMV983049 OWR983047:OWR983049 PGN983047:PGN983049 PQJ983047:PQJ983049 QAF983047:QAF983049 QKB983047:QKB983049 QTX983047:QTX983049 RDT983047:RDT983049 RNP983047:RNP983049 RXL983047:RXL983049 SHH983047:SHH983049 SRD983047:SRD983049 TAZ983047:TAZ983049 TKV983047:TKV983049 TUR983047:TUR983049 UEN983047:UEN983049 UOJ983047:UOJ983049 UYF983047:UYF983049 VIB983047:VIB983049 VRX983047:VRX983049 WBT983047:WBT983049 WLP983047:WLP983049 WVL983047:WVL983049" xr:uid="{C8C0CB72-B586-4CED-B9C6-7495484DF52D}">
      <formula1>$C$21:$N$21</formula1>
    </dataValidation>
    <dataValidation type="textLength" operator="lessThanOrEqual" allowBlank="1" showInputMessage="1" showErrorMessage="1" errorTitle="Máximo 2.000 caracteres" error="Máximo 2.000 caracteres" promptTitle="2.000 caracteres" sqref="Q983070:AD983070 JN983070:KA983070 TJ983070:TW983070 ADF983070:ADS983070 ANB983070:ANO983070 AWX983070:AXK983070 BGT983070:BHG983070 BQP983070:BRC983070 CAL983070:CAY983070 CKH983070:CKU983070 CUD983070:CUQ983070 DDZ983070:DEM983070 DNV983070:DOI983070 DXR983070:DYE983070 EHN983070:EIA983070 ERJ983070:ERW983070 FBF983070:FBS983070 FLB983070:FLO983070 FUX983070:FVK983070 GET983070:GFG983070 GOP983070:GPC983070 GYL983070:GYY983070 HIH983070:HIU983070 HSD983070:HSQ983070 IBZ983070:ICM983070 ILV983070:IMI983070 IVR983070:IWE983070 JFN983070:JGA983070 JPJ983070:JPW983070 JZF983070:JZS983070 KJB983070:KJO983070 KSX983070:KTK983070 LCT983070:LDG983070 LMP983070:LNC983070 LWL983070:LWY983070 MGH983070:MGU983070 MQD983070:MQQ983070 MZZ983070:NAM983070 NJV983070:NKI983070 NTR983070:NUE983070 ODN983070:OEA983070 ONJ983070:ONW983070 OXF983070:OXS983070 PHB983070:PHO983070 PQX983070:PRK983070 QAT983070:QBG983070 QKP983070:QLC983070 QUL983070:QUY983070 REH983070:REU983070 ROD983070:ROQ983070 RXZ983070:RYM983070 SHV983070:SII983070 SRR983070:SSE983070 TBN983070:TCA983070 TLJ983070:TLW983070 TVF983070:TVS983070 UFB983070:UFO983070 UOX983070:UPK983070 UYT983070:UZG983070 VIP983070:VJC983070 VSL983070:VSY983070 WCH983070:WCU983070 WMD983070:WMQ983070 WVZ983070:WWM983070 Q65566:AD65566 JN65566:KA65566 TJ65566:TW65566 ADF65566:ADS65566 ANB65566:ANO65566 AWX65566:AXK65566 BGT65566:BHG65566 BQP65566:BRC65566 CAL65566:CAY65566 CKH65566:CKU65566 CUD65566:CUQ65566 DDZ65566:DEM65566 DNV65566:DOI65566 DXR65566:DYE65566 EHN65566:EIA65566 ERJ65566:ERW65566 FBF65566:FBS65566 FLB65566:FLO65566 FUX65566:FVK65566 GET65566:GFG65566 GOP65566:GPC65566 GYL65566:GYY65566 HIH65566:HIU65566 HSD65566:HSQ65566 IBZ65566:ICM65566 ILV65566:IMI65566 IVR65566:IWE65566 JFN65566:JGA65566 JPJ65566:JPW65566 JZF65566:JZS65566 KJB65566:KJO65566 KSX65566:KTK65566 LCT65566:LDG65566 LMP65566:LNC65566 LWL65566:LWY65566 MGH65566:MGU65566 MQD65566:MQQ65566 MZZ65566:NAM65566 NJV65566:NKI65566 NTR65566:NUE65566 ODN65566:OEA65566 ONJ65566:ONW65566 OXF65566:OXS65566 PHB65566:PHO65566 PQX65566:PRK65566 QAT65566:QBG65566 QKP65566:QLC65566 QUL65566:QUY65566 REH65566:REU65566 ROD65566:ROQ65566 RXZ65566:RYM65566 SHV65566:SII65566 SRR65566:SSE65566 TBN65566:TCA65566 TLJ65566:TLW65566 TVF65566:TVS65566 UFB65566:UFO65566 UOX65566:UPK65566 UYT65566:UZG65566 VIP65566:VJC65566 VSL65566:VSY65566 WCH65566:WCU65566 WMD65566:WMQ65566 WVZ65566:WWM65566 Q131102:AD131102 JN131102:KA131102 TJ131102:TW131102 ADF131102:ADS131102 ANB131102:ANO131102 AWX131102:AXK131102 BGT131102:BHG131102 BQP131102:BRC131102 CAL131102:CAY131102 CKH131102:CKU131102 CUD131102:CUQ131102 DDZ131102:DEM131102 DNV131102:DOI131102 DXR131102:DYE131102 EHN131102:EIA131102 ERJ131102:ERW131102 FBF131102:FBS131102 FLB131102:FLO131102 FUX131102:FVK131102 GET131102:GFG131102 GOP131102:GPC131102 GYL131102:GYY131102 HIH131102:HIU131102 HSD131102:HSQ131102 IBZ131102:ICM131102 ILV131102:IMI131102 IVR131102:IWE131102 JFN131102:JGA131102 JPJ131102:JPW131102 JZF131102:JZS131102 KJB131102:KJO131102 KSX131102:KTK131102 LCT131102:LDG131102 LMP131102:LNC131102 LWL131102:LWY131102 MGH131102:MGU131102 MQD131102:MQQ131102 MZZ131102:NAM131102 NJV131102:NKI131102 NTR131102:NUE131102 ODN131102:OEA131102 ONJ131102:ONW131102 OXF131102:OXS131102 PHB131102:PHO131102 PQX131102:PRK131102 QAT131102:QBG131102 QKP131102:QLC131102 QUL131102:QUY131102 REH131102:REU131102 ROD131102:ROQ131102 RXZ131102:RYM131102 SHV131102:SII131102 SRR131102:SSE131102 TBN131102:TCA131102 TLJ131102:TLW131102 TVF131102:TVS131102 UFB131102:UFO131102 UOX131102:UPK131102 UYT131102:UZG131102 VIP131102:VJC131102 VSL131102:VSY131102 WCH131102:WCU131102 WMD131102:WMQ131102 WVZ131102:WWM131102 Q196638:AD196638 JN196638:KA196638 TJ196638:TW196638 ADF196638:ADS196638 ANB196638:ANO196638 AWX196638:AXK196638 BGT196638:BHG196638 BQP196638:BRC196638 CAL196638:CAY196638 CKH196638:CKU196638 CUD196638:CUQ196638 DDZ196638:DEM196638 DNV196638:DOI196638 DXR196638:DYE196638 EHN196638:EIA196638 ERJ196638:ERW196638 FBF196638:FBS196638 FLB196638:FLO196638 FUX196638:FVK196638 GET196638:GFG196638 GOP196638:GPC196638 GYL196638:GYY196638 HIH196638:HIU196638 HSD196638:HSQ196638 IBZ196638:ICM196638 ILV196638:IMI196638 IVR196638:IWE196638 JFN196638:JGA196638 JPJ196638:JPW196638 JZF196638:JZS196638 KJB196638:KJO196638 KSX196638:KTK196638 LCT196638:LDG196638 LMP196638:LNC196638 LWL196638:LWY196638 MGH196638:MGU196638 MQD196638:MQQ196638 MZZ196638:NAM196638 NJV196638:NKI196638 NTR196638:NUE196638 ODN196638:OEA196638 ONJ196638:ONW196638 OXF196638:OXS196638 PHB196638:PHO196638 PQX196638:PRK196638 QAT196638:QBG196638 QKP196638:QLC196638 QUL196638:QUY196638 REH196638:REU196638 ROD196638:ROQ196638 RXZ196638:RYM196638 SHV196638:SII196638 SRR196638:SSE196638 TBN196638:TCA196638 TLJ196638:TLW196638 TVF196638:TVS196638 UFB196638:UFO196638 UOX196638:UPK196638 UYT196638:UZG196638 VIP196638:VJC196638 VSL196638:VSY196638 WCH196638:WCU196638 WMD196638:WMQ196638 WVZ196638:WWM196638 Q262174:AD262174 JN262174:KA262174 TJ262174:TW262174 ADF262174:ADS262174 ANB262174:ANO262174 AWX262174:AXK262174 BGT262174:BHG262174 BQP262174:BRC262174 CAL262174:CAY262174 CKH262174:CKU262174 CUD262174:CUQ262174 DDZ262174:DEM262174 DNV262174:DOI262174 DXR262174:DYE262174 EHN262174:EIA262174 ERJ262174:ERW262174 FBF262174:FBS262174 FLB262174:FLO262174 FUX262174:FVK262174 GET262174:GFG262174 GOP262174:GPC262174 GYL262174:GYY262174 HIH262174:HIU262174 HSD262174:HSQ262174 IBZ262174:ICM262174 ILV262174:IMI262174 IVR262174:IWE262174 JFN262174:JGA262174 JPJ262174:JPW262174 JZF262174:JZS262174 KJB262174:KJO262174 KSX262174:KTK262174 LCT262174:LDG262174 LMP262174:LNC262174 LWL262174:LWY262174 MGH262174:MGU262174 MQD262174:MQQ262174 MZZ262174:NAM262174 NJV262174:NKI262174 NTR262174:NUE262174 ODN262174:OEA262174 ONJ262174:ONW262174 OXF262174:OXS262174 PHB262174:PHO262174 PQX262174:PRK262174 QAT262174:QBG262174 QKP262174:QLC262174 QUL262174:QUY262174 REH262174:REU262174 ROD262174:ROQ262174 RXZ262174:RYM262174 SHV262174:SII262174 SRR262174:SSE262174 TBN262174:TCA262174 TLJ262174:TLW262174 TVF262174:TVS262174 UFB262174:UFO262174 UOX262174:UPK262174 UYT262174:UZG262174 VIP262174:VJC262174 VSL262174:VSY262174 WCH262174:WCU262174 WMD262174:WMQ262174 WVZ262174:WWM262174 Q327710:AD327710 JN327710:KA327710 TJ327710:TW327710 ADF327710:ADS327710 ANB327710:ANO327710 AWX327710:AXK327710 BGT327710:BHG327710 BQP327710:BRC327710 CAL327710:CAY327710 CKH327710:CKU327710 CUD327710:CUQ327710 DDZ327710:DEM327710 DNV327710:DOI327710 DXR327710:DYE327710 EHN327710:EIA327710 ERJ327710:ERW327710 FBF327710:FBS327710 FLB327710:FLO327710 FUX327710:FVK327710 GET327710:GFG327710 GOP327710:GPC327710 GYL327710:GYY327710 HIH327710:HIU327710 HSD327710:HSQ327710 IBZ327710:ICM327710 ILV327710:IMI327710 IVR327710:IWE327710 JFN327710:JGA327710 JPJ327710:JPW327710 JZF327710:JZS327710 KJB327710:KJO327710 KSX327710:KTK327710 LCT327710:LDG327710 LMP327710:LNC327710 LWL327710:LWY327710 MGH327710:MGU327710 MQD327710:MQQ327710 MZZ327710:NAM327710 NJV327710:NKI327710 NTR327710:NUE327710 ODN327710:OEA327710 ONJ327710:ONW327710 OXF327710:OXS327710 PHB327710:PHO327710 PQX327710:PRK327710 QAT327710:QBG327710 QKP327710:QLC327710 QUL327710:QUY327710 REH327710:REU327710 ROD327710:ROQ327710 RXZ327710:RYM327710 SHV327710:SII327710 SRR327710:SSE327710 TBN327710:TCA327710 TLJ327710:TLW327710 TVF327710:TVS327710 UFB327710:UFO327710 UOX327710:UPK327710 UYT327710:UZG327710 VIP327710:VJC327710 VSL327710:VSY327710 WCH327710:WCU327710 WMD327710:WMQ327710 WVZ327710:WWM327710 Q393246:AD393246 JN393246:KA393246 TJ393246:TW393246 ADF393246:ADS393246 ANB393246:ANO393246 AWX393246:AXK393246 BGT393246:BHG393246 BQP393246:BRC393246 CAL393246:CAY393246 CKH393246:CKU393246 CUD393246:CUQ393246 DDZ393246:DEM393246 DNV393246:DOI393246 DXR393246:DYE393246 EHN393246:EIA393246 ERJ393246:ERW393246 FBF393246:FBS393246 FLB393246:FLO393246 FUX393246:FVK393246 GET393246:GFG393246 GOP393246:GPC393246 GYL393246:GYY393246 HIH393246:HIU393246 HSD393246:HSQ393246 IBZ393246:ICM393246 ILV393246:IMI393246 IVR393246:IWE393246 JFN393246:JGA393246 JPJ393246:JPW393246 JZF393246:JZS393246 KJB393246:KJO393246 KSX393246:KTK393246 LCT393246:LDG393246 LMP393246:LNC393246 LWL393246:LWY393246 MGH393246:MGU393246 MQD393246:MQQ393246 MZZ393246:NAM393246 NJV393246:NKI393246 NTR393246:NUE393246 ODN393246:OEA393246 ONJ393246:ONW393246 OXF393246:OXS393246 PHB393246:PHO393246 PQX393246:PRK393246 QAT393246:QBG393246 QKP393246:QLC393246 QUL393246:QUY393246 REH393246:REU393246 ROD393246:ROQ393246 RXZ393246:RYM393246 SHV393246:SII393246 SRR393246:SSE393246 TBN393246:TCA393246 TLJ393246:TLW393246 TVF393246:TVS393246 UFB393246:UFO393246 UOX393246:UPK393246 UYT393246:UZG393246 VIP393246:VJC393246 VSL393246:VSY393246 WCH393246:WCU393246 WMD393246:WMQ393246 WVZ393246:WWM393246 Q458782:AD458782 JN458782:KA458782 TJ458782:TW458782 ADF458782:ADS458782 ANB458782:ANO458782 AWX458782:AXK458782 BGT458782:BHG458782 BQP458782:BRC458782 CAL458782:CAY458782 CKH458782:CKU458782 CUD458782:CUQ458782 DDZ458782:DEM458782 DNV458782:DOI458782 DXR458782:DYE458782 EHN458782:EIA458782 ERJ458782:ERW458782 FBF458782:FBS458782 FLB458782:FLO458782 FUX458782:FVK458782 GET458782:GFG458782 GOP458782:GPC458782 GYL458782:GYY458782 HIH458782:HIU458782 HSD458782:HSQ458782 IBZ458782:ICM458782 ILV458782:IMI458782 IVR458782:IWE458782 JFN458782:JGA458782 JPJ458782:JPW458782 JZF458782:JZS458782 KJB458782:KJO458782 KSX458782:KTK458782 LCT458782:LDG458782 LMP458782:LNC458782 LWL458782:LWY458782 MGH458782:MGU458782 MQD458782:MQQ458782 MZZ458782:NAM458782 NJV458782:NKI458782 NTR458782:NUE458782 ODN458782:OEA458782 ONJ458782:ONW458782 OXF458782:OXS458782 PHB458782:PHO458782 PQX458782:PRK458782 QAT458782:QBG458782 QKP458782:QLC458782 QUL458782:QUY458782 REH458782:REU458782 ROD458782:ROQ458782 RXZ458782:RYM458782 SHV458782:SII458782 SRR458782:SSE458782 TBN458782:TCA458782 TLJ458782:TLW458782 TVF458782:TVS458782 UFB458782:UFO458782 UOX458782:UPK458782 UYT458782:UZG458782 VIP458782:VJC458782 VSL458782:VSY458782 WCH458782:WCU458782 WMD458782:WMQ458782 WVZ458782:WWM458782 Q524318:AD524318 JN524318:KA524318 TJ524318:TW524318 ADF524318:ADS524318 ANB524318:ANO524318 AWX524318:AXK524318 BGT524318:BHG524318 BQP524318:BRC524318 CAL524318:CAY524318 CKH524318:CKU524318 CUD524318:CUQ524318 DDZ524318:DEM524318 DNV524318:DOI524318 DXR524318:DYE524318 EHN524318:EIA524318 ERJ524318:ERW524318 FBF524318:FBS524318 FLB524318:FLO524318 FUX524318:FVK524318 GET524318:GFG524318 GOP524318:GPC524318 GYL524318:GYY524318 HIH524318:HIU524318 HSD524318:HSQ524318 IBZ524318:ICM524318 ILV524318:IMI524318 IVR524318:IWE524318 JFN524318:JGA524318 JPJ524318:JPW524318 JZF524318:JZS524318 KJB524318:KJO524318 KSX524318:KTK524318 LCT524318:LDG524318 LMP524318:LNC524318 LWL524318:LWY524318 MGH524318:MGU524318 MQD524318:MQQ524318 MZZ524318:NAM524318 NJV524318:NKI524318 NTR524318:NUE524318 ODN524318:OEA524318 ONJ524318:ONW524318 OXF524318:OXS524318 PHB524318:PHO524318 PQX524318:PRK524318 QAT524318:QBG524318 QKP524318:QLC524318 QUL524318:QUY524318 REH524318:REU524318 ROD524318:ROQ524318 RXZ524318:RYM524318 SHV524318:SII524318 SRR524318:SSE524318 TBN524318:TCA524318 TLJ524318:TLW524318 TVF524318:TVS524318 UFB524318:UFO524318 UOX524318:UPK524318 UYT524318:UZG524318 VIP524318:VJC524318 VSL524318:VSY524318 WCH524318:WCU524318 WMD524318:WMQ524318 WVZ524318:WWM524318 Q589854:AD589854 JN589854:KA589854 TJ589854:TW589854 ADF589854:ADS589854 ANB589854:ANO589854 AWX589854:AXK589854 BGT589854:BHG589854 BQP589854:BRC589854 CAL589854:CAY589854 CKH589854:CKU589854 CUD589854:CUQ589854 DDZ589854:DEM589854 DNV589854:DOI589854 DXR589854:DYE589854 EHN589854:EIA589854 ERJ589854:ERW589854 FBF589854:FBS589854 FLB589854:FLO589854 FUX589854:FVK589854 GET589854:GFG589854 GOP589854:GPC589854 GYL589854:GYY589854 HIH589854:HIU589854 HSD589854:HSQ589854 IBZ589854:ICM589854 ILV589854:IMI589854 IVR589854:IWE589854 JFN589854:JGA589854 JPJ589854:JPW589854 JZF589854:JZS589854 KJB589854:KJO589854 KSX589854:KTK589854 LCT589854:LDG589854 LMP589854:LNC589854 LWL589854:LWY589854 MGH589854:MGU589854 MQD589854:MQQ589854 MZZ589854:NAM589854 NJV589854:NKI589854 NTR589854:NUE589854 ODN589854:OEA589854 ONJ589854:ONW589854 OXF589854:OXS589854 PHB589854:PHO589854 PQX589854:PRK589854 QAT589854:QBG589854 QKP589854:QLC589854 QUL589854:QUY589854 REH589854:REU589854 ROD589854:ROQ589854 RXZ589854:RYM589854 SHV589854:SII589854 SRR589854:SSE589854 TBN589854:TCA589854 TLJ589854:TLW589854 TVF589854:TVS589854 UFB589854:UFO589854 UOX589854:UPK589854 UYT589854:UZG589854 VIP589854:VJC589854 VSL589854:VSY589854 WCH589854:WCU589854 WMD589854:WMQ589854 WVZ589854:WWM589854 Q655390:AD655390 JN655390:KA655390 TJ655390:TW655390 ADF655390:ADS655390 ANB655390:ANO655390 AWX655390:AXK655390 BGT655390:BHG655390 BQP655390:BRC655390 CAL655390:CAY655390 CKH655390:CKU655390 CUD655390:CUQ655390 DDZ655390:DEM655390 DNV655390:DOI655390 DXR655390:DYE655390 EHN655390:EIA655390 ERJ655390:ERW655390 FBF655390:FBS655390 FLB655390:FLO655390 FUX655390:FVK655390 GET655390:GFG655390 GOP655390:GPC655390 GYL655390:GYY655390 HIH655390:HIU655390 HSD655390:HSQ655390 IBZ655390:ICM655390 ILV655390:IMI655390 IVR655390:IWE655390 JFN655390:JGA655390 JPJ655390:JPW655390 JZF655390:JZS655390 KJB655390:KJO655390 KSX655390:KTK655390 LCT655390:LDG655390 LMP655390:LNC655390 LWL655390:LWY655390 MGH655390:MGU655390 MQD655390:MQQ655390 MZZ655390:NAM655390 NJV655390:NKI655390 NTR655390:NUE655390 ODN655390:OEA655390 ONJ655390:ONW655390 OXF655390:OXS655390 PHB655390:PHO655390 PQX655390:PRK655390 QAT655390:QBG655390 QKP655390:QLC655390 QUL655390:QUY655390 REH655390:REU655390 ROD655390:ROQ655390 RXZ655390:RYM655390 SHV655390:SII655390 SRR655390:SSE655390 TBN655390:TCA655390 TLJ655390:TLW655390 TVF655390:TVS655390 UFB655390:UFO655390 UOX655390:UPK655390 UYT655390:UZG655390 VIP655390:VJC655390 VSL655390:VSY655390 WCH655390:WCU655390 WMD655390:WMQ655390 WVZ655390:WWM655390 Q720926:AD720926 JN720926:KA720926 TJ720926:TW720926 ADF720926:ADS720926 ANB720926:ANO720926 AWX720926:AXK720926 BGT720926:BHG720926 BQP720926:BRC720926 CAL720926:CAY720926 CKH720926:CKU720926 CUD720926:CUQ720926 DDZ720926:DEM720926 DNV720926:DOI720926 DXR720926:DYE720926 EHN720926:EIA720926 ERJ720926:ERW720926 FBF720926:FBS720926 FLB720926:FLO720926 FUX720926:FVK720926 GET720926:GFG720926 GOP720926:GPC720926 GYL720926:GYY720926 HIH720926:HIU720926 HSD720926:HSQ720926 IBZ720926:ICM720926 ILV720926:IMI720926 IVR720926:IWE720926 JFN720926:JGA720926 JPJ720926:JPW720926 JZF720926:JZS720926 KJB720926:KJO720926 KSX720926:KTK720926 LCT720926:LDG720926 LMP720926:LNC720926 LWL720926:LWY720926 MGH720926:MGU720926 MQD720926:MQQ720926 MZZ720926:NAM720926 NJV720926:NKI720926 NTR720926:NUE720926 ODN720926:OEA720926 ONJ720926:ONW720926 OXF720926:OXS720926 PHB720926:PHO720926 PQX720926:PRK720926 QAT720926:QBG720926 QKP720926:QLC720926 QUL720926:QUY720926 REH720926:REU720926 ROD720926:ROQ720926 RXZ720926:RYM720926 SHV720926:SII720926 SRR720926:SSE720926 TBN720926:TCA720926 TLJ720926:TLW720926 TVF720926:TVS720926 UFB720926:UFO720926 UOX720926:UPK720926 UYT720926:UZG720926 VIP720926:VJC720926 VSL720926:VSY720926 WCH720926:WCU720926 WMD720926:WMQ720926 WVZ720926:WWM720926 Q786462:AD786462 JN786462:KA786462 TJ786462:TW786462 ADF786462:ADS786462 ANB786462:ANO786462 AWX786462:AXK786462 BGT786462:BHG786462 BQP786462:BRC786462 CAL786462:CAY786462 CKH786462:CKU786462 CUD786462:CUQ786462 DDZ786462:DEM786462 DNV786462:DOI786462 DXR786462:DYE786462 EHN786462:EIA786462 ERJ786462:ERW786462 FBF786462:FBS786462 FLB786462:FLO786462 FUX786462:FVK786462 GET786462:GFG786462 GOP786462:GPC786462 GYL786462:GYY786462 HIH786462:HIU786462 HSD786462:HSQ786462 IBZ786462:ICM786462 ILV786462:IMI786462 IVR786462:IWE786462 JFN786462:JGA786462 JPJ786462:JPW786462 JZF786462:JZS786462 KJB786462:KJO786462 KSX786462:KTK786462 LCT786462:LDG786462 LMP786462:LNC786462 LWL786462:LWY786462 MGH786462:MGU786462 MQD786462:MQQ786462 MZZ786462:NAM786462 NJV786462:NKI786462 NTR786462:NUE786462 ODN786462:OEA786462 ONJ786462:ONW786462 OXF786462:OXS786462 PHB786462:PHO786462 PQX786462:PRK786462 QAT786462:QBG786462 QKP786462:QLC786462 QUL786462:QUY786462 REH786462:REU786462 ROD786462:ROQ786462 RXZ786462:RYM786462 SHV786462:SII786462 SRR786462:SSE786462 TBN786462:TCA786462 TLJ786462:TLW786462 TVF786462:TVS786462 UFB786462:UFO786462 UOX786462:UPK786462 UYT786462:UZG786462 VIP786462:VJC786462 VSL786462:VSY786462 WCH786462:WCU786462 WMD786462:WMQ786462 WVZ786462:WWM786462 Q851998:AD851998 JN851998:KA851998 TJ851998:TW851998 ADF851998:ADS851998 ANB851998:ANO851998 AWX851998:AXK851998 BGT851998:BHG851998 BQP851998:BRC851998 CAL851998:CAY851998 CKH851998:CKU851998 CUD851998:CUQ851998 DDZ851998:DEM851998 DNV851998:DOI851998 DXR851998:DYE851998 EHN851998:EIA851998 ERJ851998:ERW851998 FBF851998:FBS851998 FLB851998:FLO851998 FUX851998:FVK851998 GET851998:GFG851998 GOP851998:GPC851998 GYL851998:GYY851998 HIH851998:HIU851998 HSD851998:HSQ851998 IBZ851998:ICM851998 ILV851998:IMI851998 IVR851998:IWE851998 JFN851998:JGA851998 JPJ851998:JPW851998 JZF851998:JZS851998 KJB851998:KJO851998 KSX851998:KTK851998 LCT851998:LDG851998 LMP851998:LNC851998 LWL851998:LWY851998 MGH851998:MGU851998 MQD851998:MQQ851998 MZZ851998:NAM851998 NJV851998:NKI851998 NTR851998:NUE851998 ODN851998:OEA851998 ONJ851998:ONW851998 OXF851998:OXS851998 PHB851998:PHO851998 PQX851998:PRK851998 QAT851998:QBG851998 QKP851998:QLC851998 QUL851998:QUY851998 REH851998:REU851998 ROD851998:ROQ851998 RXZ851998:RYM851998 SHV851998:SII851998 SRR851998:SSE851998 TBN851998:TCA851998 TLJ851998:TLW851998 TVF851998:TVS851998 UFB851998:UFO851998 UOX851998:UPK851998 UYT851998:UZG851998 VIP851998:VJC851998 VSL851998:VSY851998 WCH851998:WCU851998 WMD851998:WMQ851998 WVZ851998:WWM851998 Q917534:AD917534 JN917534:KA917534 TJ917534:TW917534 ADF917534:ADS917534 ANB917534:ANO917534 AWX917534:AXK917534 BGT917534:BHG917534 BQP917534:BRC917534 CAL917534:CAY917534 CKH917534:CKU917534 CUD917534:CUQ917534 DDZ917534:DEM917534 DNV917534:DOI917534 DXR917534:DYE917534 EHN917534:EIA917534 ERJ917534:ERW917534 FBF917534:FBS917534 FLB917534:FLO917534 FUX917534:FVK917534 GET917534:GFG917534 GOP917534:GPC917534 GYL917534:GYY917534 HIH917534:HIU917534 HSD917534:HSQ917534 IBZ917534:ICM917534 ILV917534:IMI917534 IVR917534:IWE917534 JFN917534:JGA917534 JPJ917534:JPW917534 JZF917534:JZS917534 KJB917534:KJO917534 KSX917534:KTK917534 LCT917534:LDG917534 LMP917534:LNC917534 LWL917534:LWY917534 MGH917534:MGU917534 MQD917534:MQQ917534 MZZ917534:NAM917534 NJV917534:NKI917534 NTR917534:NUE917534 ODN917534:OEA917534 ONJ917534:ONW917534 OXF917534:OXS917534 PHB917534:PHO917534 PQX917534:PRK917534 QAT917534:QBG917534 QKP917534:QLC917534 QUL917534:QUY917534 REH917534:REU917534 ROD917534:ROQ917534 RXZ917534:RYM917534 SHV917534:SII917534 SRR917534:SSE917534 TBN917534:TCA917534 TLJ917534:TLW917534 TVF917534:TVS917534 UFB917534:UFO917534 UOX917534:UPK917534 UYT917534:UZG917534 VIP917534:VJC917534 VSL917534:VSY917534 WCH917534:WCU917534 WMD917534:WMQ917534 WVZ917534:WWM917534 JN30:KA30 TJ30:TW30 ADF30:ADS30 ANB30:ANO30 AWX30:AXK30 BGT30:BHG30 BQP30:BRC30 CAL30:CAY30 CKH30:CKU30 CUD30:CUQ30 DDZ30:DEM30 DNV30:DOI30 DXR30:DYE30 EHN30:EIA30 ERJ30:ERW30 FBF30:FBS30 FLB30:FLO30 FUX30:FVK30 GET30:GFG30 GOP30:GPC30 GYL30:GYY30 HIH30:HIU30 HSD30:HSQ30 IBZ30:ICM30 ILV30:IMI30 IVR30:IWE30 JFN30:JGA30 JPJ30:JPW30 JZF30:JZS30 KJB30:KJO30 KSX30:KTK30 LCT30:LDG30 LMP30:LNC30 LWL30:LWY30 MGH30:MGU30 MQD30:MQQ30 MZZ30:NAM30 NJV30:NKI30 NTR30:NUE30 ODN30:OEA30 ONJ30:ONW30 OXF30:OXS30 PHB30:PHO30 PQX30:PRK30 QAT30:QBG30 QKP30:QLC30 QUL30:QUY30 REH30:REU30 ROD30:ROQ30 RXZ30:RYM30 SHV30:SII30 SRR30:SSE30 TBN30:TCA30 TLJ30:TLW30 TVF30:TVS30 UFB30:UFO30 UOX30:UPK30 UYT30:UZG30 VIP30:VJC30 VSL30:VSY30 WCH30:WCU30 WMD30:WMQ30 WVZ30:WWM30 Q30:AD30" xr:uid="{E09B5759-E503-4316-8062-6214A6937D52}">
      <formula1>2000</formula1>
    </dataValidation>
    <dataValidation type="textLength" operator="lessThanOrEqual" allowBlank="1" showInputMessage="1" showErrorMessage="1" errorTitle="Máximo 2.000 caracteres" error="Máximo 2.000 caracteres" sqref="Q786470:AD786481 JN786470:KA786481 TJ786470:TW786481 ADF786470:ADS786481 ANB786470:ANO786481 AWX786470:AXK786481 BGT786470:BHG786481 BQP786470:BRC786481 CAL786470:CAY786481 CKH786470:CKU786481 CUD786470:CUQ786481 DDZ786470:DEM786481 DNV786470:DOI786481 DXR786470:DYE786481 EHN786470:EIA786481 ERJ786470:ERW786481 FBF786470:FBS786481 FLB786470:FLO786481 FUX786470:FVK786481 GET786470:GFG786481 GOP786470:GPC786481 GYL786470:GYY786481 HIH786470:HIU786481 HSD786470:HSQ786481 IBZ786470:ICM786481 ILV786470:IMI786481 IVR786470:IWE786481 JFN786470:JGA786481 JPJ786470:JPW786481 JZF786470:JZS786481 KJB786470:KJO786481 KSX786470:KTK786481 LCT786470:LDG786481 LMP786470:LNC786481 LWL786470:LWY786481 MGH786470:MGU786481 MQD786470:MQQ786481 MZZ786470:NAM786481 NJV786470:NKI786481 NTR786470:NUE786481 ODN786470:OEA786481 ONJ786470:ONW786481 OXF786470:OXS786481 PHB786470:PHO786481 PQX786470:PRK786481 QAT786470:QBG786481 QKP786470:QLC786481 QUL786470:QUY786481 REH786470:REU786481 ROD786470:ROQ786481 RXZ786470:RYM786481 SHV786470:SII786481 SRR786470:SSE786481 TBN786470:TCA786481 TLJ786470:TLW786481 TVF786470:TVS786481 UFB786470:UFO786481 UOX786470:UPK786481 UYT786470:UZG786481 VIP786470:VJC786481 VSL786470:VSY786481 WCH786470:WCU786481 WMD786470:WMQ786481 WVZ786470:WWM786481 AA65570 JX65570 TT65570 ADP65570 ANL65570 AXH65570 BHD65570 BQZ65570 CAV65570 CKR65570 CUN65570 DEJ65570 DOF65570 DYB65570 EHX65570 ERT65570 FBP65570 FLL65570 FVH65570 GFD65570 GOZ65570 GYV65570 HIR65570 HSN65570 ICJ65570 IMF65570 IWB65570 JFX65570 JPT65570 JZP65570 KJL65570 KTH65570 LDD65570 LMZ65570 LWV65570 MGR65570 MQN65570 NAJ65570 NKF65570 NUB65570 ODX65570 ONT65570 OXP65570 PHL65570 PRH65570 QBD65570 QKZ65570 QUV65570 RER65570 RON65570 RYJ65570 SIF65570 SSB65570 TBX65570 TLT65570 TVP65570 UFL65570 UPH65570 UZD65570 VIZ65570 VSV65570 WCR65570 WMN65570 WWJ65570 AA131106 JX131106 TT131106 ADP131106 ANL131106 AXH131106 BHD131106 BQZ131106 CAV131106 CKR131106 CUN131106 DEJ131106 DOF131106 DYB131106 EHX131106 ERT131106 FBP131106 FLL131106 FVH131106 GFD131106 GOZ131106 GYV131106 HIR131106 HSN131106 ICJ131106 IMF131106 IWB131106 JFX131106 JPT131106 JZP131106 KJL131106 KTH131106 LDD131106 LMZ131106 LWV131106 MGR131106 MQN131106 NAJ131106 NKF131106 NUB131106 ODX131106 ONT131106 OXP131106 PHL131106 PRH131106 QBD131106 QKZ131106 QUV131106 RER131106 RON131106 RYJ131106 SIF131106 SSB131106 TBX131106 TLT131106 TVP131106 UFL131106 UPH131106 UZD131106 VIZ131106 VSV131106 WCR131106 WMN131106 WWJ131106 AA196642 JX196642 TT196642 ADP196642 ANL196642 AXH196642 BHD196642 BQZ196642 CAV196642 CKR196642 CUN196642 DEJ196642 DOF196642 DYB196642 EHX196642 ERT196642 FBP196642 FLL196642 FVH196642 GFD196642 GOZ196642 GYV196642 HIR196642 HSN196642 ICJ196642 IMF196642 IWB196642 JFX196642 JPT196642 JZP196642 KJL196642 KTH196642 LDD196642 LMZ196642 LWV196642 MGR196642 MQN196642 NAJ196642 NKF196642 NUB196642 ODX196642 ONT196642 OXP196642 PHL196642 PRH196642 QBD196642 QKZ196642 QUV196642 RER196642 RON196642 RYJ196642 SIF196642 SSB196642 TBX196642 TLT196642 TVP196642 UFL196642 UPH196642 UZD196642 VIZ196642 VSV196642 WCR196642 WMN196642 WWJ196642 AA262178 JX262178 TT262178 ADP262178 ANL262178 AXH262178 BHD262178 BQZ262178 CAV262178 CKR262178 CUN262178 DEJ262178 DOF262178 DYB262178 EHX262178 ERT262178 FBP262178 FLL262178 FVH262178 GFD262178 GOZ262178 GYV262178 HIR262178 HSN262178 ICJ262178 IMF262178 IWB262178 JFX262178 JPT262178 JZP262178 KJL262178 KTH262178 LDD262178 LMZ262178 LWV262178 MGR262178 MQN262178 NAJ262178 NKF262178 NUB262178 ODX262178 ONT262178 OXP262178 PHL262178 PRH262178 QBD262178 QKZ262178 QUV262178 RER262178 RON262178 RYJ262178 SIF262178 SSB262178 TBX262178 TLT262178 TVP262178 UFL262178 UPH262178 UZD262178 VIZ262178 VSV262178 WCR262178 WMN262178 WWJ262178 AA327714 JX327714 TT327714 ADP327714 ANL327714 AXH327714 BHD327714 BQZ327714 CAV327714 CKR327714 CUN327714 DEJ327714 DOF327714 DYB327714 EHX327714 ERT327714 FBP327714 FLL327714 FVH327714 GFD327714 GOZ327714 GYV327714 HIR327714 HSN327714 ICJ327714 IMF327714 IWB327714 JFX327714 JPT327714 JZP327714 KJL327714 KTH327714 LDD327714 LMZ327714 LWV327714 MGR327714 MQN327714 NAJ327714 NKF327714 NUB327714 ODX327714 ONT327714 OXP327714 PHL327714 PRH327714 QBD327714 QKZ327714 QUV327714 RER327714 RON327714 RYJ327714 SIF327714 SSB327714 TBX327714 TLT327714 TVP327714 UFL327714 UPH327714 UZD327714 VIZ327714 VSV327714 WCR327714 WMN327714 WWJ327714 AA393250 JX393250 TT393250 ADP393250 ANL393250 AXH393250 BHD393250 BQZ393250 CAV393250 CKR393250 CUN393250 DEJ393250 DOF393250 DYB393250 EHX393250 ERT393250 FBP393250 FLL393250 FVH393250 GFD393250 GOZ393250 GYV393250 HIR393250 HSN393250 ICJ393250 IMF393250 IWB393250 JFX393250 JPT393250 JZP393250 KJL393250 KTH393250 LDD393250 LMZ393250 LWV393250 MGR393250 MQN393250 NAJ393250 NKF393250 NUB393250 ODX393250 ONT393250 OXP393250 PHL393250 PRH393250 QBD393250 QKZ393250 QUV393250 RER393250 RON393250 RYJ393250 SIF393250 SSB393250 TBX393250 TLT393250 TVP393250 UFL393250 UPH393250 UZD393250 VIZ393250 VSV393250 WCR393250 WMN393250 WWJ393250 AA458786 JX458786 TT458786 ADP458786 ANL458786 AXH458786 BHD458786 BQZ458786 CAV458786 CKR458786 CUN458786 DEJ458786 DOF458786 DYB458786 EHX458786 ERT458786 FBP458786 FLL458786 FVH458786 GFD458786 GOZ458786 GYV458786 HIR458786 HSN458786 ICJ458786 IMF458786 IWB458786 JFX458786 JPT458786 JZP458786 KJL458786 KTH458786 LDD458786 LMZ458786 LWV458786 MGR458786 MQN458786 NAJ458786 NKF458786 NUB458786 ODX458786 ONT458786 OXP458786 PHL458786 PRH458786 QBD458786 QKZ458786 QUV458786 RER458786 RON458786 RYJ458786 SIF458786 SSB458786 TBX458786 TLT458786 TVP458786 UFL458786 UPH458786 UZD458786 VIZ458786 VSV458786 WCR458786 WMN458786 WWJ458786 AA524322 JX524322 TT524322 ADP524322 ANL524322 AXH524322 BHD524322 BQZ524322 CAV524322 CKR524322 CUN524322 DEJ524322 DOF524322 DYB524322 EHX524322 ERT524322 FBP524322 FLL524322 FVH524322 GFD524322 GOZ524322 GYV524322 HIR524322 HSN524322 ICJ524322 IMF524322 IWB524322 JFX524322 JPT524322 JZP524322 KJL524322 KTH524322 LDD524322 LMZ524322 LWV524322 MGR524322 MQN524322 NAJ524322 NKF524322 NUB524322 ODX524322 ONT524322 OXP524322 PHL524322 PRH524322 QBD524322 QKZ524322 QUV524322 RER524322 RON524322 RYJ524322 SIF524322 SSB524322 TBX524322 TLT524322 TVP524322 UFL524322 UPH524322 UZD524322 VIZ524322 VSV524322 WCR524322 WMN524322 WWJ524322 AA589858 JX589858 TT589858 ADP589858 ANL589858 AXH589858 BHD589858 BQZ589858 CAV589858 CKR589858 CUN589858 DEJ589858 DOF589858 DYB589858 EHX589858 ERT589858 FBP589858 FLL589858 FVH589858 GFD589858 GOZ589858 GYV589858 HIR589858 HSN589858 ICJ589858 IMF589858 IWB589858 JFX589858 JPT589858 JZP589858 KJL589858 KTH589858 LDD589858 LMZ589858 LWV589858 MGR589858 MQN589858 NAJ589858 NKF589858 NUB589858 ODX589858 ONT589858 OXP589858 PHL589858 PRH589858 QBD589858 QKZ589858 QUV589858 RER589858 RON589858 RYJ589858 SIF589858 SSB589858 TBX589858 TLT589858 TVP589858 UFL589858 UPH589858 UZD589858 VIZ589858 VSV589858 WCR589858 WMN589858 WWJ589858 AA655394 JX655394 TT655394 ADP655394 ANL655394 AXH655394 BHD655394 BQZ655394 CAV655394 CKR655394 CUN655394 DEJ655394 DOF655394 DYB655394 EHX655394 ERT655394 FBP655394 FLL655394 FVH655394 GFD655394 GOZ655394 GYV655394 HIR655394 HSN655394 ICJ655394 IMF655394 IWB655394 JFX655394 JPT655394 JZP655394 KJL655394 KTH655394 LDD655394 LMZ655394 LWV655394 MGR655394 MQN655394 NAJ655394 NKF655394 NUB655394 ODX655394 ONT655394 OXP655394 PHL655394 PRH655394 QBD655394 QKZ655394 QUV655394 RER655394 RON655394 RYJ655394 SIF655394 SSB655394 TBX655394 TLT655394 TVP655394 UFL655394 UPH655394 UZD655394 VIZ655394 VSV655394 WCR655394 WMN655394 WWJ655394 AA720930 JX720930 TT720930 ADP720930 ANL720930 AXH720930 BHD720930 BQZ720930 CAV720930 CKR720930 CUN720930 DEJ720930 DOF720930 DYB720930 EHX720930 ERT720930 FBP720930 FLL720930 FVH720930 GFD720930 GOZ720930 GYV720930 HIR720930 HSN720930 ICJ720930 IMF720930 IWB720930 JFX720930 JPT720930 JZP720930 KJL720930 KTH720930 LDD720930 LMZ720930 LWV720930 MGR720930 MQN720930 NAJ720930 NKF720930 NUB720930 ODX720930 ONT720930 OXP720930 PHL720930 PRH720930 QBD720930 QKZ720930 QUV720930 RER720930 RON720930 RYJ720930 SIF720930 SSB720930 TBX720930 TLT720930 TVP720930 UFL720930 UPH720930 UZD720930 VIZ720930 VSV720930 WCR720930 WMN720930 WWJ720930 AA786466 JX786466 TT786466 ADP786466 ANL786466 AXH786466 BHD786466 BQZ786466 CAV786466 CKR786466 CUN786466 DEJ786466 DOF786466 DYB786466 EHX786466 ERT786466 FBP786466 FLL786466 FVH786466 GFD786466 GOZ786466 GYV786466 HIR786466 HSN786466 ICJ786466 IMF786466 IWB786466 JFX786466 JPT786466 JZP786466 KJL786466 KTH786466 LDD786466 LMZ786466 LWV786466 MGR786466 MQN786466 NAJ786466 NKF786466 NUB786466 ODX786466 ONT786466 OXP786466 PHL786466 PRH786466 QBD786466 QKZ786466 QUV786466 RER786466 RON786466 RYJ786466 SIF786466 SSB786466 TBX786466 TLT786466 TVP786466 UFL786466 UPH786466 UZD786466 VIZ786466 VSV786466 WCR786466 WMN786466 WWJ786466 AA852002 JX852002 TT852002 ADP852002 ANL852002 AXH852002 BHD852002 BQZ852002 CAV852002 CKR852002 CUN852002 DEJ852002 DOF852002 DYB852002 EHX852002 ERT852002 FBP852002 FLL852002 FVH852002 GFD852002 GOZ852002 GYV852002 HIR852002 HSN852002 ICJ852002 IMF852002 IWB852002 JFX852002 JPT852002 JZP852002 KJL852002 KTH852002 LDD852002 LMZ852002 LWV852002 MGR852002 MQN852002 NAJ852002 NKF852002 NUB852002 ODX852002 ONT852002 OXP852002 PHL852002 PRH852002 QBD852002 QKZ852002 QUV852002 RER852002 RON852002 RYJ852002 SIF852002 SSB852002 TBX852002 TLT852002 TVP852002 UFL852002 UPH852002 UZD852002 VIZ852002 VSV852002 WCR852002 WMN852002 WWJ852002 AA917538 JX917538 TT917538 ADP917538 ANL917538 AXH917538 BHD917538 BQZ917538 CAV917538 CKR917538 CUN917538 DEJ917538 DOF917538 DYB917538 EHX917538 ERT917538 FBP917538 FLL917538 FVH917538 GFD917538 GOZ917538 GYV917538 HIR917538 HSN917538 ICJ917538 IMF917538 IWB917538 JFX917538 JPT917538 JZP917538 KJL917538 KTH917538 LDD917538 LMZ917538 LWV917538 MGR917538 MQN917538 NAJ917538 NKF917538 NUB917538 ODX917538 ONT917538 OXP917538 PHL917538 PRH917538 QBD917538 QKZ917538 QUV917538 RER917538 RON917538 RYJ917538 SIF917538 SSB917538 TBX917538 TLT917538 TVP917538 UFL917538 UPH917538 UZD917538 VIZ917538 VSV917538 WCR917538 WMN917538 WWJ917538 AA983074 JX983074 TT983074 ADP983074 ANL983074 AXH983074 BHD983074 BQZ983074 CAV983074 CKR983074 CUN983074 DEJ983074 DOF983074 DYB983074 EHX983074 ERT983074 FBP983074 FLL983074 FVH983074 GFD983074 GOZ983074 GYV983074 HIR983074 HSN983074 ICJ983074 IMF983074 IWB983074 JFX983074 JPT983074 JZP983074 KJL983074 KTH983074 LDD983074 LMZ983074 LWV983074 MGR983074 MQN983074 NAJ983074 NKF983074 NUB983074 ODX983074 ONT983074 OXP983074 PHL983074 PRH983074 QBD983074 QKZ983074 QUV983074 RER983074 RON983074 RYJ983074 SIF983074 SSB983074 TBX983074 TLT983074 TVP983074 UFL983074 UPH983074 UZD983074 VIZ983074 VSV983074 WCR983074 WMN983074 WWJ983074 Q852006:AD852017 JN852006:KA852017 TJ852006:TW852017 ADF852006:ADS852017 ANB852006:ANO852017 AWX852006:AXK852017 BGT852006:BHG852017 BQP852006:BRC852017 CAL852006:CAY852017 CKH852006:CKU852017 CUD852006:CUQ852017 DDZ852006:DEM852017 DNV852006:DOI852017 DXR852006:DYE852017 EHN852006:EIA852017 ERJ852006:ERW852017 FBF852006:FBS852017 FLB852006:FLO852017 FUX852006:FVK852017 GET852006:GFG852017 GOP852006:GPC852017 GYL852006:GYY852017 HIH852006:HIU852017 HSD852006:HSQ852017 IBZ852006:ICM852017 ILV852006:IMI852017 IVR852006:IWE852017 JFN852006:JGA852017 JPJ852006:JPW852017 JZF852006:JZS852017 KJB852006:KJO852017 KSX852006:KTK852017 LCT852006:LDG852017 LMP852006:LNC852017 LWL852006:LWY852017 MGH852006:MGU852017 MQD852006:MQQ852017 MZZ852006:NAM852017 NJV852006:NKI852017 NTR852006:NUE852017 ODN852006:OEA852017 ONJ852006:ONW852017 OXF852006:OXS852017 PHB852006:PHO852017 PQX852006:PRK852017 QAT852006:QBG852017 QKP852006:QLC852017 QUL852006:QUY852017 REH852006:REU852017 ROD852006:ROQ852017 RXZ852006:RYM852017 SHV852006:SII852017 SRR852006:SSE852017 TBN852006:TCA852017 TLJ852006:TLW852017 TVF852006:TVS852017 UFB852006:UFO852017 UOX852006:UPK852017 UYT852006:UZG852017 VIP852006:VJC852017 VSL852006:VSY852017 WCH852006:WCU852017 WMD852006:WMQ852017 WVZ852006:WWM852017 Q65570 JN65570 TJ65570 ADF65570 ANB65570 AWX65570 BGT65570 BQP65570 CAL65570 CKH65570 CUD65570 DDZ65570 DNV65570 DXR65570 EHN65570 ERJ65570 FBF65570 FLB65570 FUX65570 GET65570 GOP65570 GYL65570 HIH65570 HSD65570 IBZ65570 ILV65570 IVR65570 JFN65570 JPJ65570 JZF65570 KJB65570 KSX65570 LCT65570 LMP65570 LWL65570 MGH65570 MQD65570 MZZ65570 NJV65570 NTR65570 ODN65570 ONJ65570 OXF65570 PHB65570 PQX65570 QAT65570 QKP65570 QUL65570 REH65570 ROD65570 RXZ65570 SHV65570 SRR65570 TBN65570 TLJ65570 TVF65570 UFB65570 UOX65570 UYT65570 VIP65570 VSL65570 WCH65570 WMD65570 WVZ65570 Q131106 JN131106 TJ131106 ADF131106 ANB131106 AWX131106 BGT131106 BQP131106 CAL131106 CKH131106 CUD131106 DDZ131106 DNV131106 DXR131106 EHN131106 ERJ131106 FBF131106 FLB131106 FUX131106 GET131106 GOP131106 GYL131106 HIH131106 HSD131106 IBZ131106 ILV131106 IVR131106 JFN131106 JPJ131106 JZF131106 KJB131106 KSX131106 LCT131106 LMP131106 LWL131106 MGH131106 MQD131106 MZZ131106 NJV131106 NTR131106 ODN131106 ONJ131106 OXF131106 PHB131106 PQX131106 QAT131106 QKP131106 QUL131106 REH131106 ROD131106 RXZ131106 SHV131106 SRR131106 TBN131106 TLJ131106 TVF131106 UFB131106 UOX131106 UYT131106 VIP131106 VSL131106 WCH131106 WMD131106 WVZ131106 Q196642 JN196642 TJ196642 ADF196642 ANB196642 AWX196642 BGT196642 BQP196642 CAL196642 CKH196642 CUD196642 DDZ196642 DNV196642 DXR196642 EHN196642 ERJ196642 FBF196642 FLB196642 FUX196642 GET196642 GOP196642 GYL196642 HIH196642 HSD196642 IBZ196642 ILV196642 IVR196642 JFN196642 JPJ196642 JZF196642 KJB196642 KSX196642 LCT196642 LMP196642 LWL196642 MGH196642 MQD196642 MZZ196642 NJV196642 NTR196642 ODN196642 ONJ196642 OXF196642 PHB196642 PQX196642 QAT196642 QKP196642 QUL196642 REH196642 ROD196642 RXZ196642 SHV196642 SRR196642 TBN196642 TLJ196642 TVF196642 UFB196642 UOX196642 UYT196642 VIP196642 VSL196642 WCH196642 WMD196642 WVZ196642 Q262178 JN262178 TJ262178 ADF262178 ANB262178 AWX262178 BGT262178 BQP262178 CAL262178 CKH262178 CUD262178 DDZ262178 DNV262178 DXR262178 EHN262178 ERJ262178 FBF262178 FLB262178 FUX262178 GET262178 GOP262178 GYL262178 HIH262178 HSD262178 IBZ262178 ILV262178 IVR262178 JFN262178 JPJ262178 JZF262178 KJB262178 KSX262178 LCT262178 LMP262178 LWL262178 MGH262178 MQD262178 MZZ262178 NJV262178 NTR262178 ODN262178 ONJ262178 OXF262178 PHB262178 PQX262178 QAT262178 QKP262178 QUL262178 REH262178 ROD262178 RXZ262178 SHV262178 SRR262178 TBN262178 TLJ262178 TVF262178 UFB262178 UOX262178 UYT262178 VIP262178 VSL262178 WCH262178 WMD262178 WVZ262178 Q327714 JN327714 TJ327714 ADF327714 ANB327714 AWX327714 BGT327714 BQP327714 CAL327714 CKH327714 CUD327714 DDZ327714 DNV327714 DXR327714 EHN327714 ERJ327714 FBF327714 FLB327714 FUX327714 GET327714 GOP327714 GYL327714 HIH327714 HSD327714 IBZ327714 ILV327714 IVR327714 JFN327714 JPJ327714 JZF327714 KJB327714 KSX327714 LCT327714 LMP327714 LWL327714 MGH327714 MQD327714 MZZ327714 NJV327714 NTR327714 ODN327714 ONJ327714 OXF327714 PHB327714 PQX327714 QAT327714 QKP327714 QUL327714 REH327714 ROD327714 RXZ327714 SHV327714 SRR327714 TBN327714 TLJ327714 TVF327714 UFB327714 UOX327714 UYT327714 VIP327714 VSL327714 WCH327714 WMD327714 WVZ327714 Q393250 JN393250 TJ393250 ADF393250 ANB393250 AWX393250 BGT393250 BQP393250 CAL393250 CKH393250 CUD393250 DDZ393250 DNV393250 DXR393250 EHN393250 ERJ393250 FBF393250 FLB393250 FUX393250 GET393250 GOP393250 GYL393250 HIH393250 HSD393250 IBZ393250 ILV393250 IVR393250 JFN393250 JPJ393250 JZF393250 KJB393250 KSX393250 LCT393250 LMP393250 LWL393250 MGH393250 MQD393250 MZZ393250 NJV393250 NTR393250 ODN393250 ONJ393250 OXF393250 PHB393250 PQX393250 QAT393250 QKP393250 QUL393250 REH393250 ROD393250 RXZ393250 SHV393250 SRR393250 TBN393250 TLJ393250 TVF393250 UFB393250 UOX393250 UYT393250 VIP393250 VSL393250 WCH393250 WMD393250 WVZ393250 Q458786 JN458786 TJ458786 ADF458786 ANB458786 AWX458786 BGT458786 BQP458786 CAL458786 CKH458786 CUD458786 DDZ458786 DNV458786 DXR458786 EHN458786 ERJ458786 FBF458786 FLB458786 FUX458786 GET458786 GOP458786 GYL458786 HIH458786 HSD458786 IBZ458786 ILV458786 IVR458786 JFN458786 JPJ458786 JZF458786 KJB458786 KSX458786 LCT458786 LMP458786 LWL458786 MGH458786 MQD458786 MZZ458786 NJV458786 NTR458786 ODN458786 ONJ458786 OXF458786 PHB458786 PQX458786 QAT458786 QKP458786 QUL458786 REH458786 ROD458786 RXZ458786 SHV458786 SRR458786 TBN458786 TLJ458786 TVF458786 UFB458786 UOX458786 UYT458786 VIP458786 VSL458786 WCH458786 WMD458786 WVZ458786 Q524322 JN524322 TJ524322 ADF524322 ANB524322 AWX524322 BGT524322 BQP524322 CAL524322 CKH524322 CUD524322 DDZ524322 DNV524322 DXR524322 EHN524322 ERJ524322 FBF524322 FLB524322 FUX524322 GET524322 GOP524322 GYL524322 HIH524322 HSD524322 IBZ524322 ILV524322 IVR524322 JFN524322 JPJ524322 JZF524322 KJB524322 KSX524322 LCT524322 LMP524322 LWL524322 MGH524322 MQD524322 MZZ524322 NJV524322 NTR524322 ODN524322 ONJ524322 OXF524322 PHB524322 PQX524322 QAT524322 QKP524322 QUL524322 REH524322 ROD524322 RXZ524322 SHV524322 SRR524322 TBN524322 TLJ524322 TVF524322 UFB524322 UOX524322 UYT524322 VIP524322 VSL524322 WCH524322 WMD524322 WVZ524322 Q589858 JN589858 TJ589858 ADF589858 ANB589858 AWX589858 BGT589858 BQP589858 CAL589858 CKH589858 CUD589858 DDZ589858 DNV589858 DXR589858 EHN589858 ERJ589858 FBF589858 FLB589858 FUX589858 GET589858 GOP589858 GYL589858 HIH589858 HSD589858 IBZ589858 ILV589858 IVR589858 JFN589858 JPJ589858 JZF589858 KJB589858 KSX589858 LCT589858 LMP589858 LWL589858 MGH589858 MQD589858 MZZ589858 NJV589858 NTR589858 ODN589858 ONJ589858 OXF589858 PHB589858 PQX589858 QAT589858 QKP589858 QUL589858 REH589858 ROD589858 RXZ589858 SHV589858 SRR589858 TBN589858 TLJ589858 TVF589858 UFB589858 UOX589858 UYT589858 VIP589858 VSL589858 WCH589858 WMD589858 WVZ589858 Q655394 JN655394 TJ655394 ADF655394 ANB655394 AWX655394 BGT655394 BQP655394 CAL655394 CKH655394 CUD655394 DDZ655394 DNV655394 DXR655394 EHN655394 ERJ655394 FBF655394 FLB655394 FUX655394 GET655394 GOP655394 GYL655394 HIH655394 HSD655394 IBZ655394 ILV655394 IVR655394 JFN655394 JPJ655394 JZF655394 KJB655394 KSX655394 LCT655394 LMP655394 LWL655394 MGH655394 MQD655394 MZZ655394 NJV655394 NTR655394 ODN655394 ONJ655394 OXF655394 PHB655394 PQX655394 QAT655394 QKP655394 QUL655394 REH655394 ROD655394 RXZ655394 SHV655394 SRR655394 TBN655394 TLJ655394 TVF655394 UFB655394 UOX655394 UYT655394 VIP655394 VSL655394 WCH655394 WMD655394 WVZ655394 Q720930 JN720930 TJ720930 ADF720930 ANB720930 AWX720930 BGT720930 BQP720930 CAL720930 CKH720930 CUD720930 DDZ720930 DNV720930 DXR720930 EHN720930 ERJ720930 FBF720930 FLB720930 FUX720930 GET720930 GOP720930 GYL720930 HIH720930 HSD720930 IBZ720930 ILV720930 IVR720930 JFN720930 JPJ720930 JZF720930 KJB720930 KSX720930 LCT720930 LMP720930 LWL720930 MGH720930 MQD720930 MZZ720930 NJV720930 NTR720930 ODN720930 ONJ720930 OXF720930 PHB720930 PQX720930 QAT720930 QKP720930 QUL720930 REH720930 ROD720930 RXZ720930 SHV720930 SRR720930 TBN720930 TLJ720930 TVF720930 UFB720930 UOX720930 UYT720930 VIP720930 VSL720930 WCH720930 WMD720930 WVZ720930 Q786466 JN786466 TJ786466 ADF786466 ANB786466 AWX786466 BGT786466 BQP786466 CAL786466 CKH786466 CUD786466 DDZ786466 DNV786466 DXR786466 EHN786466 ERJ786466 FBF786466 FLB786466 FUX786466 GET786466 GOP786466 GYL786466 HIH786466 HSD786466 IBZ786466 ILV786466 IVR786466 JFN786466 JPJ786466 JZF786466 KJB786466 KSX786466 LCT786466 LMP786466 LWL786466 MGH786466 MQD786466 MZZ786466 NJV786466 NTR786466 ODN786466 ONJ786466 OXF786466 PHB786466 PQX786466 QAT786466 QKP786466 QUL786466 REH786466 ROD786466 RXZ786466 SHV786466 SRR786466 TBN786466 TLJ786466 TVF786466 UFB786466 UOX786466 UYT786466 VIP786466 VSL786466 WCH786466 WMD786466 WVZ786466 Q852002 JN852002 TJ852002 ADF852002 ANB852002 AWX852002 BGT852002 BQP852002 CAL852002 CKH852002 CUD852002 DDZ852002 DNV852002 DXR852002 EHN852002 ERJ852002 FBF852002 FLB852002 FUX852002 GET852002 GOP852002 GYL852002 HIH852002 HSD852002 IBZ852002 ILV852002 IVR852002 JFN852002 JPJ852002 JZF852002 KJB852002 KSX852002 LCT852002 LMP852002 LWL852002 MGH852002 MQD852002 MZZ852002 NJV852002 NTR852002 ODN852002 ONJ852002 OXF852002 PHB852002 PQX852002 QAT852002 QKP852002 QUL852002 REH852002 ROD852002 RXZ852002 SHV852002 SRR852002 TBN852002 TLJ852002 TVF852002 UFB852002 UOX852002 UYT852002 VIP852002 VSL852002 WCH852002 WMD852002 WVZ852002 Q917538 JN917538 TJ917538 ADF917538 ANB917538 AWX917538 BGT917538 BQP917538 CAL917538 CKH917538 CUD917538 DDZ917538 DNV917538 DXR917538 EHN917538 ERJ917538 FBF917538 FLB917538 FUX917538 GET917538 GOP917538 GYL917538 HIH917538 HSD917538 IBZ917538 ILV917538 IVR917538 JFN917538 JPJ917538 JZF917538 KJB917538 KSX917538 LCT917538 LMP917538 LWL917538 MGH917538 MQD917538 MZZ917538 NJV917538 NTR917538 ODN917538 ONJ917538 OXF917538 PHB917538 PQX917538 QAT917538 QKP917538 QUL917538 REH917538 ROD917538 RXZ917538 SHV917538 SRR917538 TBN917538 TLJ917538 TVF917538 UFB917538 UOX917538 UYT917538 VIP917538 VSL917538 WCH917538 WMD917538 WVZ917538 Q983074 JN983074 TJ983074 ADF983074 ANB983074 AWX983074 BGT983074 BQP983074 CAL983074 CKH983074 CUD983074 DDZ983074 DNV983074 DXR983074 EHN983074 ERJ983074 FBF983074 FLB983074 FUX983074 GET983074 GOP983074 GYL983074 HIH983074 HSD983074 IBZ983074 ILV983074 IVR983074 JFN983074 JPJ983074 JZF983074 KJB983074 KSX983074 LCT983074 LMP983074 LWL983074 MGH983074 MQD983074 MZZ983074 NJV983074 NTR983074 ODN983074 ONJ983074 OXF983074 PHB983074 PQX983074 QAT983074 QKP983074 QUL983074 REH983074 ROD983074 RXZ983074 SHV983074 SRR983074 TBN983074 TLJ983074 TVF983074 UFB983074 UOX983074 UYT983074 VIP983074 VSL983074 WCH983074 WMD983074 WVZ983074 Q917542:AD917553 JN917542:KA917553 TJ917542:TW917553 ADF917542:ADS917553 ANB917542:ANO917553 AWX917542:AXK917553 BGT917542:BHG917553 BQP917542:BRC917553 CAL917542:CAY917553 CKH917542:CKU917553 CUD917542:CUQ917553 DDZ917542:DEM917553 DNV917542:DOI917553 DXR917542:DYE917553 EHN917542:EIA917553 ERJ917542:ERW917553 FBF917542:FBS917553 FLB917542:FLO917553 FUX917542:FVK917553 GET917542:GFG917553 GOP917542:GPC917553 GYL917542:GYY917553 HIH917542:HIU917553 HSD917542:HSQ917553 IBZ917542:ICM917553 ILV917542:IMI917553 IVR917542:IWE917553 JFN917542:JGA917553 JPJ917542:JPW917553 JZF917542:JZS917553 KJB917542:KJO917553 KSX917542:KTK917553 LCT917542:LDG917553 LMP917542:LNC917553 LWL917542:LWY917553 MGH917542:MGU917553 MQD917542:MQQ917553 MZZ917542:NAM917553 NJV917542:NKI917553 NTR917542:NUE917553 ODN917542:OEA917553 ONJ917542:ONW917553 OXF917542:OXS917553 PHB917542:PHO917553 PQX917542:PRK917553 QAT917542:QBG917553 QKP917542:QLC917553 QUL917542:QUY917553 REH917542:REU917553 ROD917542:ROQ917553 RXZ917542:RYM917553 SHV917542:SII917553 SRR917542:SSE917553 TBN917542:TCA917553 TLJ917542:TLW917553 TVF917542:TVS917553 UFB917542:UFO917553 UOX917542:UPK917553 UYT917542:UZG917553 VIP917542:VJC917553 VSL917542:VSY917553 WCH917542:WCU917553 WMD917542:WMQ917553 WVZ917542:WWM917553 W65570 JT65570 TP65570 ADL65570 ANH65570 AXD65570 BGZ65570 BQV65570 CAR65570 CKN65570 CUJ65570 DEF65570 DOB65570 DXX65570 EHT65570 ERP65570 FBL65570 FLH65570 FVD65570 GEZ65570 GOV65570 GYR65570 HIN65570 HSJ65570 ICF65570 IMB65570 IVX65570 JFT65570 JPP65570 JZL65570 KJH65570 KTD65570 LCZ65570 LMV65570 LWR65570 MGN65570 MQJ65570 NAF65570 NKB65570 NTX65570 ODT65570 ONP65570 OXL65570 PHH65570 PRD65570 QAZ65570 QKV65570 QUR65570 REN65570 ROJ65570 RYF65570 SIB65570 SRX65570 TBT65570 TLP65570 TVL65570 UFH65570 UPD65570 UYZ65570 VIV65570 VSR65570 WCN65570 WMJ65570 WWF65570 W131106 JT131106 TP131106 ADL131106 ANH131106 AXD131106 BGZ131106 BQV131106 CAR131106 CKN131106 CUJ131106 DEF131106 DOB131106 DXX131106 EHT131106 ERP131106 FBL131106 FLH131106 FVD131106 GEZ131106 GOV131106 GYR131106 HIN131106 HSJ131106 ICF131106 IMB131106 IVX131106 JFT131106 JPP131106 JZL131106 KJH131106 KTD131106 LCZ131106 LMV131106 LWR131106 MGN131106 MQJ131106 NAF131106 NKB131106 NTX131106 ODT131106 ONP131106 OXL131106 PHH131106 PRD131106 QAZ131106 QKV131106 QUR131106 REN131106 ROJ131106 RYF131106 SIB131106 SRX131106 TBT131106 TLP131106 TVL131106 UFH131106 UPD131106 UYZ131106 VIV131106 VSR131106 WCN131106 WMJ131106 WWF131106 W196642 JT196642 TP196642 ADL196642 ANH196642 AXD196642 BGZ196642 BQV196642 CAR196642 CKN196642 CUJ196642 DEF196642 DOB196642 DXX196642 EHT196642 ERP196642 FBL196642 FLH196642 FVD196642 GEZ196642 GOV196642 GYR196642 HIN196642 HSJ196642 ICF196642 IMB196642 IVX196642 JFT196642 JPP196642 JZL196642 KJH196642 KTD196642 LCZ196642 LMV196642 LWR196642 MGN196642 MQJ196642 NAF196642 NKB196642 NTX196642 ODT196642 ONP196642 OXL196642 PHH196642 PRD196642 QAZ196642 QKV196642 QUR196642 REN196642 ROJ196642 RYF196642 SIB196642 SRX196642 TBT196642 TLP196642 TVL196642 UFH196642 UPD196642 UYZ196642 VIV196642 VSR196642 WCN196642 WMJ196642 WWF196642 W262178 JT262178 TP262178 ADL262178 ANH262178 AXD262178 BGZ262178 BQV262178 CAR262178 CKN262178 CUJ262178 DEF262178 DOB262178 DXX262178 EHT262178 ERP262178 FBL262178 FLH262178 FVD262178 GEZ262178 GOV262178 GYR262178 HIN262178 HSJ262178 ICF262178 IMB262178 IVX262178 JFT262178 JPP262178 JZL262178 KJH262178 KTD262178 LCZ262178 LMV262178 LWR262178 MGN262178 MQJ262178 NAF262178 NKB262178 NTX262178 ODT262178 ONP262178 OXL262178 PHH262178 PRD262178 QAZ262178 QKV262178 QUR262178 REN262178 ROJ262178 RYF262178 SIB262178 SRX262178 TBT262178 TLP262178 TVL262178 UFH262178 UPD262178 UYZ262178 VIV262178 VSR262178 WCN262178 WMJ262178 WWF262178 W327714 JT327714 TP327714 ADL327714 ANH327714 AXD327714 BGZ327714 BQV327714 CAR327714 CKN327714 CUJ327714 DEF327714 DOB327714 DXX327714 EHT327714 ERP327714 FBL327714 FLH327714 FVD327714 GEZ327714 GOV327714 GYR327714 HIN327714 HSJ327714 ICF327714 IMB327714 IVX327714 JFT327714 JPP327714 JZL327714 KJH327714 KTD327714 LCZ327714 LMV327714 LWR327714 MGN327714 MQJ327714 NAF327714 NKB327714 NTX327714 ODT327714 ONP327714 OXL327714 PHH327714 PRD327714 QAZ327714 QKV327714 QUR327714 REN327714 ROJ327714 RYF327714 SIB327714 SRX327714 TBT327714 TLP327714 TVL327714 UFH327714 UPD327714 UYZ327714 VIV327714 VSR327714 WCN327714 WMJ327714 WWF327714 W393250 JT393250 TP393250 ADL393250 ANH393250 AXD393250 BGZ393250 BQV393250 CAR393250 CKN393250 CUJ393250 DEF393250 DOB393250 DXX393250 EHT393250 ERP393250 FBL393250 FLH393250 FVD393250 GEZ393250 GOV393250 GYR393250 HIN393250 HSJ393250 ICF393250 IMB393250 IVX393250 JFT393250 JPP393250 JZL393250 KJH393250 KTD393250 LCZ393250 LMV393250 LWR393250 MGN393250 MQJ393250 NAF393250 NKB393250 NTX393250 ODT393250 ONP393250 OXL393250 PHH393250 PRD393250 QAZ393250 QKV393250 QUR393250 REN393250 ROJ393250 RYF393250 SIB393250 SRX393250 TBT393250 TLP393250 TVL393250 UFH393250 UPD393250 UYZ393250 VIV393250 VSR393250 WCN393250 WMJ393250 WWF393250 W458786 JT458786 TP458786 ADL458786 ANH458786 AXD458786 BGZ458786 BQV458786 CAR458786 CKN458786 CUJ458786 DEF458786 DOB458786 DXX458786 EHT458786 ERP458786 FBL458786 FLH458786 FVD458786 GEZ458786 GOV458786 GYR458786 HIN458786 HSJ458786 ICF458786 IMB458786 IVX458786 JFT458786 JPP458786 JZL458786 KJH458786 KTD458786 LCZ458786 LMV458786 LWR458786 MGN458786 MQJ458786 NAF458786 NKB458786 NTX458786 ODT458786 ONP458786 OXL458786 PHH458786 PRD458786 QAZ458786 QKV458786 QUR458786 REN458786 ROJ458786 RYF458786 SIB458786 SRX458786 TBT458786 TLP458786 TVL458786 UFH458786 UPD458786 UYZ458786 VIV458786 VSR458786 WCN458786 WMJ458786 WWF458786 W524322 JT524322 TP524322 ADL524322 ANH524322 AXD524322 BGZ524322 BQV524322 CAR524322 CKN524322 CUJ524322 DEF524322 DOB524322 DXX524322 EHT524322 ERP524322 FBL524322 FLH524322 FVD524322 GEZ524322 GOV524322 GYR524322 HIN524322 HSJ524322 ICF524322 IMB524322 IVX524322 JFT524322 JPP524322 JZL524322 KJH524322 KTD524322 LCZ524322 LMV524322 LWR524322 MGN524322 MQJ524322 NAF524322 NKB524322 NTX524322 ODT524322 ONP524322 OXL524322 PHH524322 PRD524322 QAZ524322 QKV524322 QUR524322 REN524322 ROJ524322 RYF524322 SIB524322 SRX524322 TBT524322 TLP524322 TVL524322 UFH524322 UPD524322 UYZ524322 VIV524322 VSR524322 WCN524322 WMJ524322 WWF524322 W589858 JT589858 TP589858 ADL589858 ANH589858 AXD589858 BGZ589858 BQV589858 CAR589858 CKN589858 CUJ589858 DEF589858 DOB589858 DXX589858 EHT589858 ERP589858 FBL589858 FLH589858 FVD589858 GEZ589858 GOV589858 GYR589858 HIN589858 HSJ589858 ICF589858 IMB589858 IVX589858 JFT589858 JPP589858 JZL589858 KJH589858 KTD589858 LCZ589858 LMV589858 LWR589858 MGN589858 MQJ589858 NAF589858 NKB589858 NTX589858 ODT589858 ONP589858 OXL589858 PHH589858 PRD589858 QAZ589858 QKV589858 QUR589858 REN589858 ROJ589858 RYF589858 SIB589858 SRX589858 TBT589858 TLP589858 TVL589858 UFH589858 UPD589858 UYZ589858 VIV589858 VSR589858 WCN589858 WMJ589858 WWF589858 W655394 JT655394 TP655394 ADL655394 ANH655394 AXD655394 BGZ655394 BQV655394 CAR655394 CKN655394 CUJ655394 DEF655394 DOB655394 DXX655394 EHT655394 ERP655394 FBL655394 FLH655394 FVD655394 GEZ655394 GOV655394 GYR655394 HIN655394 HSJ655394 ICF655394 IMB655394 IVX655394 JFT655394 JPP655394 JZL655394 KJH655394 KTD655394 LCZ655394 LMV655394 LWR655394 MGN655394 MQJ655394 NAF655394 NKB655394 NTX655394 ODT655394 ONP655394 OXL655394 PHH655394 PRD655394 QAZ655394 QKV655394 QUR655394 REN655394 ROJ655394 RYF655394 SIB655394 SRX655394 TBT655394 TLP655394 TVL655394 UFH655394 UPD655394 UYZ655394 VIV655394 VSR655394 WCN655394 WMJ655394 WWF655394 W720930 JT720930 TP720930 ADL720930 ANH720930 AXD720930 BGZ720930 BQV720930 CAR720930 CKN720930 CUJ720930 DEF720930 DOB720930 DXX720930 EHT720930 ERP720930 FBL720930 FLH720930 FVD720930 GEZ720930 GOV720930 GYR720930 HIN720930 HSJ720930 ICF720930 IMB720930 IVX720930 JFT720930 JPP720930 JZL720930 KJH720930 KTD720930 LCZ720930 LMV720930 LWR720930 MGN720930 MQJ720930 NAF720930 NKB720930 NTX720930 ODT720930 ONP720930 OXL720930 PHH720930 PRD720930 QAZ720930 QKV720930 QUR720930 REN720930 ROJ720930 RYF720930 SIB720930 SRX720930 TBT720930 TLP720930 TVL720930 UFH720930 UPD720930 UYZ720930 VIV720930 VSR720930 WCN720930 WMJ720930 WWF720930 W786466 JT786466 TP786466 ADL786466 ANH786466 AXD786466 BGZ786466 BQV786466 CAR786466 CKN786466 CUJ786466 DEF786466 DOB786466 DXX786466 EHT786466 ERP786466 FBL786466 FLH786466 FVD786466 GEZ786466 GOV786466 GYR786466 HIN786466 HSJ786466 ICF786466 IMB786466 IVX786466 JFT786466 JPP786466 JZL786466 KJH786466 KTD786466 LCZ786466 LMV786466 LWR786466 MGN786466 MQJ786466 NAF786466 NKB786466 NTX786466 ODT786466 ONP786466 OXL786466 PHH786466 PRD786466 QAZ786466 QKV786466 QUR786466 REN786466 ROJ786466 RYF786466 SIB786466 SRX786466 TBT786466 TLP786466 TVL786466 UFH786466 UPD786466 UYZ786466 VIV786466 VSR786466 WCN786466 WMJ786466 WWF786466 W852002 JT852002 TP852002 ADL852002 ANH852002 AXD852002 BGZ852002 BQV852002 CAR852002 CKN852002 CUJ852002 DEF852002 DOB852002 DXX852002 EHT852002 ERP852002 FBL852002 FLH852002 FVD852002 GEZ852002 GOV852002 GYR852002 HIN852002 HSJ852002 ICF852002 IMB852002 IVX852002 JFT852002 JPP852002 JZL852002 KJH852002 KTD852002 LCZ852002 LMV852002 LWR852002 MGN852002 MQJ852002 NAF852002 NKB852002 NTX852002 ODT852002 ONP852002 OXL852002 PHH852002 PRD852002 QAZ852002 QKV852002 QUR852002 REN852002 ROJ852002 RYF852002 SIB852002 SRX852002 TBT852002 TLP852002 TVL852002 UFH852002 UPD852002 UYZ852002 VIV852002 VSR852002 WCN852002 WMJ852002 WWF852002 W917538 JT917538 TP917538 ADL917538 ANH917538 AXD917538 BGZ917538 BQV917538 CAR917538 CKN917538 CUJ917538 DEF917538 DOB917538 DXX917538 EHT917538 ERP917538 FBL917538 FLH917538 FVD917538 GEZ917538 GOV917538 GYR917538 HIN917538 HSJ917538 ICF917538 IMB917538 IVX917538 JFT917538 JPP917538 JZL917538 KJH917538 KTD917538 LCZ917538 LMV917538 LWR917538 MGN917538 MQJ917538 NAF917538 NKB917538 NTX917538 ODT917538 ONP917538 OXL917538 PHH917538 PRD917538 QAZ917538 QKV917538 QUR917538 REN917538 ROJ917538 RYF917538 SIB917538 SRX917538 TBT917538 TLP917538 TVL917538 UFH917538 UPD917538 UYZ917538 VIV917538 VSR917538 WCN917538 WMJ917538 WWF917538 W983074 JT983074 TP983074 ADL983074 ANH983074 AXD983074 BGZ983074 BQV983074 CAR983074 CKN983074 CUJ983074 DEF983074 DOB983074 DXX983074 EHT983074 ERP983074 FBL983074 FLH983074 FVD983074 GEZ983074 GOV983074 GYR983074 HIN983074 HSJ983074 ICF983074 IMB983074 IVX983074 JFT983074 JPP983074 JZL983074 KJH983074 KTD983074 LCZ983074 LMV983074 LWR983074 MGN983074 MQJ983074 NAF983074 NKB983074 NTX983074 ODT983074 ONP983074 OXL983074 PHH983074 PRD983074 QAZ983074 QKV983074 QUR983074 REN983074 ROJ983074 RYF983074 SIB983074 SRX983074 TBT983074 TLP983074 TVL983074 UFH983074 UPD983074 UYZ983074 VIV983074 VSR983074 WCN983074 WMJ983074 WWF983074 Q983078:AD983089 JN983078:KA983089 TJ983078:TW983089 ADF983078:ADS983089 ANB983078:ANO983089 AWX983078:AXK983089 BGT983078:BHG983089 BQP983078:BRC983089 CAL983078:CAY983089 CKH983078:CKU983089 CUD983078:CUQ983089 DDZ983078:DEM983089 DNV983078:DOI983089 DXR983078:DYE983089 EHN983078:EIA983089 ERJ983078:ERW983089 FBF983078:FBS983089 FLB983078:FLO983089 FUX983078:FVK983089 GET983078:GFG983089 GOP983078:GPC983089 GYL983078:GYY983089 HIH983078:HIU983089 HSD983078:HSQ983089 IBZ983078:ICM983089 ILV983078:IMI983089 IVR983078:IWE983089 JFN983078:JGA983089 JPJ983078:JPW983089 JZF983078:JZS983089 KJB983078:KJO983089 KSX983078:KTK983089 LCT983078:LDG983089 LMP983078:LNC983089 LWL983078:LWY983089 MGH983078:MGU983089 MQD983078:MQQ983089 MZZ983078:NAM983089 NJV983078:NKI983089 NTR983078:NUE983089 ODN983078:OEA983089 ONJ983078:ONW983089 OXF983078:OXS983089 PHB983078:PHO983089 PQX983078:PRK983089 QAT983078:QBG983089 QKP983078:QLC983089 QUL983078:QUY983089 REH983078:REU983089 ROD983078:ROQ983089 RXZ983078:RYM983089 SHV983078:SII983089 SRR983078:SSE983089 TBN983078:TCA983089 TLJ983078:TLW983089 TVF983078:TVS983089 UFB983078:UFO983089 UOX983078:UPK983089 UYT983078:UZG983089 VIP983078:VJC983089 VSL983078:VSY983089 WCH983078:WCU983089 WMD983078:WMQ983089 WVZ983078:WWM983089 Q65574:AD65585 JN65574:KA65585 TJ65574:TW65585 ADF65574:ADS65585 ANB65574:ANO65585 AWX65574:AXK65585 BGT65574:BHG65585 BQP65574:BRC65585 CAL65574:CAY65585 CKH65574:CKU65585 CUD65574:CUQ65585 DDZ65574:DEM65585 DNV65574:DOI65585 DXR65574:DYE65585 EHN65574:EIA65585 ERJ65574:ERW65585 FBF65574:FBS65585 FLB65574:FLO65585 FUX65574:FVK65585 GET65574:GFG65585 GOP65574:GPC65585 GYL65574:GYY65585 HIH65574:HIU65585 HSD65574:HSQ65585 IBZ65574:ICM65585 ILV65574:IMI65585 IVR65574:IWE65585 JFN65574:JGA65585 JPJ65574:JPW65585 JZF65574:JZS65585 KJB65574:KJO65585 KSX65574:KTK65585 LCT65574:LDG65585 LMP65574:LNC65585 LWL65574:LWY65585 MGH65574:MGU65585 MQD65574:MQQ65585 MZZ65574:NAM65585 NJV65574:NKI65585 NTR65574:NUE65585 ODN65574:OEA65585 ONJ65574:ONW65585 OXF65574:OXS65585 PHB65574:PHO65585 PQX65574:PRK65585 QAT65574:QBG65585 QKP65574:QLC65585 QUL65574:QUY65585 REH65574:REU65585 ROD65574:ROQ65585 RXZ65574:RYM65585 SHV65574:SII65585 SRR65574:SSE65585 TBN65574:TCA65585 TLJ65574:TLW65585 TVF65574:TVS65585 UFB65574:UFO65585 UOX65574:UPK65585 UYT65574:UZG65585 VIP65574:VJC65585 VSL65574:VSY65585 WCH65574:WCU65585 WMD65574:WMQ65585 WVZ65574:WWM65585 Q131110:AD131121 JN131110:KA131121 TJ131110:TW131121 ADF131110:ADS131121 ANB131110:ANO131121 AWX131110:AXK131121 BGT131110:BHG131121 BQP131110:BRC131121 CAL131110:CAY131121 CKH131110:CKU131121 CUD131110:CUQ131121 DDZ131110:DEM131121 DNV131110:DOI131121 DXR131110:DYE131121 EHN131110:EIA131121 ERJ131110:ERW131121 FBF131110:FBS131121 FLB131110:FLO131121 FUX131110:FVK131121 GET131110:GFG131121 GOP131110:GPC131121 GYL131110:GYY131121 HIH131110:HIU131121 HSD131110:HSQ131121 IBZ131110:ICM131121 ILV131110:IMI131121 IVR131110:IWE131121 JFN131110:JGA131121 JPJ131110:JPW131121 JZF131110:JZS131121 KJB131110:KJO131121 KSX131110:KTK131121 LCT131110:LDG131121 LMP131110:LNC131121 LWL131110:LWY131121 MGH131110:MGU131121 MQD131110:MQQ131121 MZZ131110:NAM131121 NJV131110:NKI131121 NTR131110:NUE131121 ODN131110:OEA131121 ONJ131110:ONW131121 OXF131110:OXS131121 PHB131110:PHO131121 PQX131110:PRK131121 QAT131110:QBG131121 QKP131110:QLC131121 QUL131110:QUY131121 REH131110:REU131121 ROD131110:ROQ131121 RXZ131110:RYM131121 SHV131110:SII131121 SRR131110:SSE131121 TBN131110:TCA131121 TLJ131110:TLW131121 TVF131110:TVS131121 UFB131110:UFO131121 UOX131110:UPK131121 UYT131110:UZG131121 VIP131110:VJC131121 VSL131110:VSY131121 WCH131110:WCU131121 WMD131110:WMQ131121 WVZ131110:WWM131121 Q196646:AD196657 JN196646:KA196657 TJ196646:TW196657 ADF196646:ADS196657 ANB196646:ANO196657 AWX196646:AXK196657 BGT196646:BHG196657 BQP196646:BRC196657 CAL196646:CAY196657 CKH196646:CKU196657 CUD196646:CUQ196657 DDZ196646:DEM196657 DNV196646:DOI196657 DXR196646:DYE196657 EHN196646:EIA196657 ERJ196646:ERW196657 FBF196646:FBS196657 FLB196646:FLO196657 FUX196646:FVK196657 GET196646:GFG196657 GOP196646:GPC196657 GYL196646:GYY196657 HIH196646:HIU196657 HSD196646:HSQ196657 IBZ196646:ICM196657 ILV196646:IMI196657 IVR196646:IWE196657 JFN196646:JGA196657 JPJ196646:JPW196657 JZF196646:JZS196657 KJB196646:KJO196657 KSX196646:KTK196657 LCT196646:LDG196657 LMP196646:LNC196657 LWL196646:LWY196657 MGH196646:MGU196657 MQD196646:MQQ196657 MZZ196646:NAM196657 NJV196646:NKI196657 NTR196646:NUE196657 ODN196646:OEA196657 ONJ196646:ONW196657 OXF196646:OXS196657 PHB196646:PHO196657 PQX196646:PRK196657 QAT196646:QBG196657 QKP196646:QLC196657 QUL196646:QUY196657 REH196646:REU196657 ROD196646:ROQ196657 RXZ196646:RYM196657 SHV196646:SII196657 SRR196646:SSE196657 TBN196646:TCA196657 TLJ196646:TLW196657 TVF196646:TVS196657 UFB196646:UFO196657 UOX196646:UPK196657 UYT196646:UZG196657 VIP196646:VJC196657 VSL196646:VSY196657 WCH196646:WCU196657 WMD196646:WMQ196657 WVZ196646:WWM196657 Q262182:AD262193 JN262182:KA262193 TJ262182:TW262193 ADF262182:ADS262193 ANB262182:ANO262193 AWX262182:AXK262193 BGT262182:BHG262193 BQP262182:BRC262193 CAL262182:CAY262193 CKH262182:CKU262193 CUD262182:CUQ262193 DDZ262182:DEM262193 DNV262182:DOI262193 DXR262182:DYE262193 EHN262182:EIA262193 ERJ262182:ERW262193 FBF262182:FBS262193 FLB262182:FLO262193 FUX262182:FVK262193 GET262182:GFG262193 GOP262182:GPC262193 GYL262182:GYY262193 HIH262182:HIU262193 HSD262182:HSQ262193 IBZ262182:ICM262193 ILV262182:IMI262193 IVR262182:IWE262193 JFN262182:JGA262193 JPJ262182:JPW262193 JZF262182:JZS262193 KJB262182:KJO262193 KSX262182:KTK262193 LCT262182:LDG262193 LMP262182:LNC262193 LWL262182:LWY262193 MGH262182:MGU262193 MQD262182:MQQ262193 MZZ262182:NAM262193 NJV262182:NKI262193 NTR262182:NUE262193 ODN262182:OEA262193 ONJ262182:ONW262193 OXF262182:OXS262193 PHB262182:PHO262193 PQX262182:PRK262193 QAT262182:QBG262193 QKP262182:QLC262193 QUL262182:QUY262193 REH262182:REU262193 ROD262182:ROQ262193 RXZ262182:RYM262193 SHV262182:SII262193 SRR262182:SSE262193 TBN262182:TCA262193 TLJ262182:TLW262193 TVF262182:TVS262193 UFB262182:UFO262193 UOX262182:UPK262193 UYT262182:UZG262193 VIP262182:VJC262193 VSL262182:VSY262193 WCH262182:WCU262193 WMD262182:WMQ262193 WVZ262182:WWM262193 Q327718:AD327729 JN327718:KA327729 TJ327718:TW327729 ADF327718:ADS327729 ANB327718:ANO327729 AWX327718:AXK327729 BGT327718:BHG327729 BQP327718:BRC327729 CAL327718:CAY327729 CKH327718:CKU327729 CUD327718:CUQ327729 DDZ327718:DEM327729 DNV327718:DOI327729 DXR327718:DYE327729 EHN327718:EIA327729 ERJ327718:ERW327729 FBF327718:FBS327729 FLB327718:FLO327729 FUX327718:FVK327729 GET327718:GFG327729 GOP327718:GPC327729 GYL327718:GYY327729 HIH327718:HIU327729 HSD327718:HSQ327729 IBZ327718:ICM327729 ILV327718:IMI327729 IVR327718:IWE327729 JFN327718:JGA327729 JPJ327718:JPW327729 JZF327718:JZS327729 KJB327718:KJO327729 KSX327718:KTK327729 LCT327718:LDG327729 LMP327718:LNC327729 LWL327718:LWY327729 MGH327718:MGU327729 MQD327718:MQQ327729 MZZ327718:NAM327729 NJV327718:NKI327729 NTR327718:NUE327729 ODN327718:OEA327729 ONJ327718:ONW327729 OXF327718:OXS327729 PHB327718:PHO327729 PQX327718:PRK327729 QAT327718:QBG327729 QKP327718:QLC327729 QUL327718:QUY327729 REH327718:REU327729 ROD327718:ROQ327729 RXZ327718:RYM327729 SHV327718:SII327729 SRR327718:SSE327729 TBN327718:TCA327729 TLJ327718:TLW327729 TVF327718:TVS327729 UFB327718:UFO327729 UOX327718:UPK327729 UYT327718:UZG327729 VIP327718:VJC327729 VSL327718:VSY327729 WCH327718:WCU327729 WMD327718:WMQ327729 WVZ327718:WWM327729 Q393254:AD393265 JN393254:KA393265 TJ393254:TW393265 ADF393254:ADS393265 ANB393254:ANO393265 AWX393254:AXK393265 BGT393254:BHG393265 BQP393254:BRC393265 CAL393254:CAY393265 CKH393254:CKU393265 CUD393254:CUQ393265 DDZ393254:DEM393265 DNV393254:DOI393265 DXR393254:DYE393265 EHN393254:EIA393265 ERJ393254:ERW393265 FBF393254:FBS393265 FLB393254:FLO393265 FUX393254:FVK393265 GET393254:GFG393265 GOP393254:GPC393265 GYL393254:GYY393265 HIH393254:HIU393265 HSD393254:HSQ393265 IBZ393254:ICM393265 ILV393254:IMI393265 IVR393254:IWE393265 JFN393254:JGA393265 JPJ393254:JPW393265 JZF393254:JZS393265 KJB393254:KJO393265 KSX393254:KTK393265 LCT393254:LDG393265 LMP393254:LNC393265 LWL393254:LWY393265 MGH393254:MGU393265 MQD393254:MQQ393265 MZZ393254:NAM393265 NJV393254:NKI393265 NTR393254:NUE393265 ODN393254:OEA393265 ONJ393254:ONW393265 OXF393254:OXS393265 PHB393254:PHO393265 PQX393254:PRK393265 QAT393254:QBG393265 QKP393254:QLC393265 QUL393254:QUY393265 REH393254:REU393265 ROD393254:ROQ393265 RXZ393254:RYM393265 SHV393254:SII393265 SRR393254:SSE393265 TBN393254:TCA393265 TLJ393254:TLW393265 TVF393254:TVS393265 UFB393254:UFO393265 UOX393254:UPK393265 UYT393254:UZG393265 VIP393254:VJC393265 VSL393254:VSY393265 WCH393254:WCU393265 WMD393254:WMQ393265 WVZ393254:WWM393265 Q458790:AD458801 JN458790:KA458801 TJ458790:TW458801 ADF458790:ADS458801 ANB458790:ANO458801 AWX458790:AXK458801 BGT458790:BHG458801 BQP458790:BRC458801 CAL458790:CAY458801 CKH458790:CKU458801 CUD458790:CUQ458801 DDZ458790:DEM458801 DNV458790:DOI458801 DXR458790:DYE458801 EHN458790:EIA458801 ERJ458790:ERW458801 FBF458790:FBS458801 FLB458790:FLO458801 FUX458790:FVK458801 GET458790:GFG458801 GOP458790:GPC458801 GYL458790:GYY458801 HIH458790:HIU458801 HSD458790:HSQ458801 IBZ458790:ICM458801 ILV458790:IMI458801 IVR458790:IWE458801 JFN458790:JGA458801 JPJ458790:JPW458801 JZF458790:JZS458801 KJB458790:KJO458801 KSX458790:KTK458801 LCT458790:LDG458801 LMP458790:LNC458801 LWL458790:LWY458801 MGH458790:MGU458801 MQD458790:MQQ458801 MZZ458790:NAM458801 NJV458790:NKI458801 NTR458790:NUE458801 ODN458790:OEA458801 ONJ458790:ONW458801 OXF458790:OXS458801 PHB458790:PHO458801 PQX458790:PRK458801 QAT458790:QBG458801 QKP458790:QLC458801 QUL458790:QUY458801 REH458790:REU458801 ROD458790:ROQ458801 RXZ458790:RYM458801 SHV458790:SII458801 SRR458790:SSE458801 TBN458790:TCA458801 TLJ458790:TLW458801 TVF458790:TVS458801 UFB458790:UFO458801 UOX458790:UPK458801 UYT458790:UZG458801 VIP458790:VJC458801 VSL458790:VSY458801 WCH458790:WCU458801 WMD458790:WMQ458801 WVZ458790:WWM458801 Q524326:AD524337 JN524326:KA524337 TJ524326:TW524337 ADF524326:ADS524337 ANB524326:ANO524337 AWX524326:AXK524337 BGT524326:BHG524337 BQP524326:BRC524337 CAL524326:CAY524337 CKH524326:CKU524337 CUD524326:CUQ524337 DDZ524326:DEM524337 DNV524326:DOI524337 DXR524326:DYE524337 EHN524326:EIA524337 ERJ524326:ERW524337 FBF524326:FBS524337 FLB524326:FLO524337 FUX524326:FVK524337 GET524326:GFG524337 GOP524326:GPC524337 GYL524326:GYY524337 HIH524326:HIU524337 HSD524326:HSQ524337 IBZ524326:ICM524337 ILV524326:IMI524337 IVR524326:IWE524337 JFN524326:JGA524337 JPJ524326:JPW524337 JZF524326:JZS524337 KJB524326:KJO524337 KSX524326:KTK524337 LCT524326:LDG524337 LMP524326:LNC524337 LWL524326:LWY524337 MGH524326:MGU524337 MQD524326:MQQ524337 MZZ524326:NAM524337 NJV524326:NKI524337 NTR524326:NUE524337 ODN524326:OEA524337 ONJ524326:ONW524337 OXF524326:OXS524337 PHB524326:PHO524337 PQX524326:PRK524337 QAT524326:QBG524337 QKP524326:QLC524337 QUL524326:QUY524337 REH524326:REU524337 ROD524326:ROQ524337 RXZ524326:RYM524337 SHV524326:SII524337 SRR524326:SSE524337 TBN524326:TCA524337 TLJ524326:TLW524337 TVF524326:TVS524337 UFB524326:UFO524337 UOX524326:UPK524337 UYT524326:UZG524337 VIP524326:VJC524337 VSL524326:VSY524337 WCH524326:WCU524337 WMD524326:WMQ524337 WVZ524326:WWM524337 Q589862:AD589873 JN589862:KA589873 TJ589862:TW589873 ADF589862:ADS589873 ANB589862:ANO589873 AWX589862:AXK589873 BGT589862:BHG589873 BQP589862:BRC589873 CAL589862:CAY589873 CKH589862:CKU589873 CUD589862:CUQ589873 DDZ589862:DEM589873 DNV589862:DOI589873 DXR589862:DYE589873 EHN589862:EIA589873 ERJ589862:ERW589873 FBF589862:FBS589873 FLB589862:FLO589873 FUX589862:FVK589873 GET589862:GFG589873 GOP589862:GPC589873 GYL589862:GYY589873 HIH589862:HIU589873 HSD589862:HSQ589873 IBZ589862:ICM589873 ILV589862:IMI589873 IVR589862:IWE589873 JFN589862:JGA589873 JPJ589862:JPW589873 JZF589862:JZS589873 KJB589862:KJO589873 KSX589862:KTK589873 LCT589862:LDG589873 LMP589862:LNC589873 LWL589862:LWY589873 MGH589862:MGU589873 MQD589862:MQQ589873 MZZ589862:NAM589873 NJV589862:NKI589873 NTR589862:NUE589873 ODN589862:OEA589873 ONJ589862:ONW589873 OXF589862:OXS589873 PHB589862:PHO589873 PQX589862:PRK589873 QAT589862:QBG589873 QKP589862:QLC589873 QUL589862:QUY589873 REH589862:REU589873 ROD589862:ROQ589873 RXZ589862:RYM589873 SHV589862:SII589873 SRR589862:SSE589873 TBN589862:TCA589873 TLJ589862:TLW589873 TVF589862:TVS589873 UFB589862:UFO589873 UOX589862:UPK589873 UYT589862:UZG589873 VIP589862:VJC589873 VSL589862:VSY589873 WCH589862:WCU589873 WMD589862:WMQ589873 WVZ589862:WWM589873 Q655398:AD655409 JN655398:KA655409 TJ655398:TW655409 ADF655398:ADS655409 ANB655398:ANO655409 AWX655398:AXK655409 BGT655398:BHG655409 BQP655398:BRC655409 CAL655398:CAY655409 CKH655398:CKU655409 CUD655398:CUQ655409 DDZ655398:DEM655409 DNV655398:DOI655409 DXR655398:DYE655409 EHN655398:EIA655409 ERJ655398:ERW655409 FBF655398:FBS655409 FLB655398:FLO655409 FUX655398:FVK655409 GET655398:GFG655409 GOP655398:GPC655409 GYL655398:GYY655409 HIH655398:HIU655409 HSD655398:HSQ655409 IBZ655398:ICM655409 ILV655398:IMI655409 IVR655398:IWE655409 JFN655398:JGA655409 JPJ655398:JPW655409 JZF655398:JZS655409 KJB655398:KJO655409 KSX655398:KTK655409 LCT655398:LDG655409 LMP655398:LNC655409 LWL655398:LWY655409 MGH655398:MGU655409 MQD655398:MQQ655409 MZZ655398:NAM655409 NJV655398:NKI655409 NTR655398:NUE655409 ODN655398:OEA655409 ONJ655398:ONW655409 OXF655398:OXS655409 PHB655398:PHO655409 PQX655398:PRK655409 QAT655398:QBG655409 QKP655398:QLC655409 QUL655398:QUY655409 REH655398:REU655409 ROD655398:ROQ655409 RXZ655398:RYM655409 SHV655398:SII655409 SRR655398:SSE655409 TBN655398:TCA655409 TLJ655398:TLW655409 TVF655398:TVS655409 UFB655398:UFO655409 UOX655398:UPK655409 UYT655398:UZG655409 VIP655398:VJC655409 VSL655398:VSY655409 WCH655398:WCU655409 WMD655398:WMQ655409 WVZ655398:WWM655409 Q720934:AD720945 JN720934:KA720945 TJ720934:TW720945 ADF720934:ADS720945 ANB720934:ANO720945 AWX720934:AXK720945 BGT720934:BHG720945 BQP720934:BRC720945 CAL720934:CAY720945 CKH720934:CKU720945 CUD720934:CUQ720945 DDZ720934:DEM720945 DNV720934:DOI720945 DXR720934:DYE720945 EHN720934:EIA720945 ERJ720934:ERW720945 FBF720934:FBS720945 FLB720934:FLO720945 FUX720934:FVK720945 GET720934:GFG720945 GOP720934:GPC720945 GYL720934:GYY720945 HIH720934:HIU720945 HSD720934:HSQ720945 IBZ720934:ICM720945 ILV720934:IMI720945 IVR720934:IWE720945 JFN720934:JGA720945 JPJ720934:JPW720945 JZF720934:JZS720945 KJB720934:KJO720945 KSX720934:KTK720945 LCT720934:LDG720945 LMP720934:LNC720945 LWL720934:LWY720945 MGH720934:MGU720945 MQD720934:MQQ720945 MZZ720934:NAM720945 NJV720934:NKI720945 NTR720934:NUE720945 ODN720934:OEA720945 ONJ720934:ONW720945 OXF720934:OXS720945 PHB720934:PHO720945 PQX720934:PRK720945 QAT720934:QBG720945 QKP720934:QLC720945 QUL720934:QUY720945 REH720934:REU720945 ROD720934:ROQ720945 RXZ720934:RYM720945 SHV720934:SII720945 SRR720934:SSE720945 TBN720934:TCA720945 TLJ720934:TLW720945 TVF720934:TVS720945 UFB720934:UFO720945 UOX720934:UPK720945 UYT720934:UZG720945 VIP720934:VJC720945 VSL720934:VSY720945 WCH720934:WCU720945 WMD720934:WMQ720945 WVZ720934:WWM720945 JX34 TT34 ADP34 ANL34 AXH34 BHD34 BQZ34 CAV34 CKR34 CUN34 DEJ34 DOF34 DYB34 EHX34 ERT34 FBP34 FLL34 FVH34 GFD34 GOZ34 GYV34 HIR34 HSN34 ICJ34 IMF34 IWB34 JFX34 JPT34 JZP34 KJL34 KTH34 LDD34 LMZ34 LWV34 MGR34 MQN34 NAJ34 NKF34 NUB34 ODX34 ONT34 OXP34 PHL34 PRH34 QBD34 QKZ34 QUV34 RER34 RON34 RYJ34 SIF34 SSB34 TBX34 TLT34 TVP34 UFL34 UPH34 UZD34 VIZ34 VSV34 WCR34 WMN34 WWJ34 JN34 TJ34 ADF34 ANB34 AWX34 BGT34 BQP34 CAL34 CKH34 CUD34 DDZ34 DNV34 DXR34 EHN34 ERJ34 FBF34 FLB34 FUX34 GET34 GOP34 GYL34 HIH34 HSD34 IBZ34 ILV34 IVR34 JFN34 JPJ34 JZF34 KJB34 KSX34 LCT34 LMP34 LWL34 MGH34 MQD34 MZZ34 NJV34 NTR34 ODN34 ONJ34 OXF34 PHB34 PQX34 QAT34 QKP34 QUL34 REH34 ROD34 RXZ34 SHV34 SRR34 TBN34 TLJ34 TVF34 UFB34 UOX34 UYT34 VIP34 VSL34 WCH34 WMD34 WVZ34 JT34 TP34 ADL34 ANH34 AXD34 BGZ34 BQV34 CAR34 CKN34 CUJ34 DEF34 DOB34 DXX34 EHT34 ERP34 FBL34 FLH34 FVD34 GEZ34 GOV34 GYR34 HIN34 HSJ34 ICF34 IMB34 IVX34 JFT34 JPP34 JZL34 KJH34 KTD34 LCZ34 LMV34 LWR34 MGN34 MQJ34 NAF34 NKB34 NTX34 ODT34 ONP34 OXL34 PHH34 PRD34 QAZ34 QKV34 QUR34 REN34 ROJ34 RYF34 SIB34 SRX34 TBT34 TLP34 TVL34 UFH34 UPD34 UYZ34 VIV34 VSR34 WCN34 WMJ34 WWF34 JN38:KA49 TJ38:TW49 ADF38:ADS49 ANB38:ANO49 AWX38:AXK49 BGT38:BHG49 BQP38:BRC49 CAL38:CAY49 CKH38:CKU49 CUD38:CUQ49 DDZ38:DEM49 DNV38:DOI49 DXR38:DYE49 EHN38:EIA49 ERJ38:ERW49 FBF38:FBS49 FLB38:FLO49 FUX38:FVK49 GET38:GFG49 GOP38:GPC49 GYL38:GYY49 HIH38:HIU49 HSD38:HSQ49 IBZ38:ICM49 ILV38:IMI49 IVR38:IWE49 JFN38:JGA49 JPJ38:JPW49 JZF38:JZS49 KJB38:KJO49 KSX38:KTK49 LCT38:LDG49 LMP38:LNC49 LWL38:LWY49 MGH38:MGU49 MQD38:MQQ49 MZZ38:NAM49 NJV38:NKI49 NTR38:NUE49 ODN38:OEA49 ONJ38:ONW49 OXF38:OXS49 PHB38:PHO49 PQX38:PRK49 QAT38:QBG49 QKP38:QLC49 QUL38:QUY49 REH38:REU49 ROD38:ROQ49 RXZ38:RYM49 SHV38:SII49 SRR38:SSE49 TBN38:TCA49 TLJ38:TLW49 TVF38:TVS49 UFB38:UFO49 UOX38:UPK49 UYT38:UZG49 VIP38:VJC49 VSL38:VSY49 WCH38:WCU49 WMD38:WMQ49 WVZ38:WWM49 W34 AA34 Q34 Q38:AD49" xr:uid="{B97A2D73-6148-48D1-88A6-3990843531B1}">
      <formula1>2000</formula1>
    </dataValidation>
  </dataValidations>
  <printOptions horizontalCentered="1"/>
  <pageMargins left="0.19685039370078741" right="0.19685039370078741" top="0.19685039370078741" bottom="0.19685039370078741" header="0" footer="0"/>
  <pageSetup scale="31" fitToHeight="0" orientation="landscape" r:id="rId1"/>
  <rowBreaks count="1" manualBreakCount="1">
    <brk id="41" max="29" man="1"/>
  </rowBreak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8432E-2378-4504-91D6-036845131148}">
  <sheetPr>
    <tabColor rgb="FF00B0F0"/>
    <pageSetUpPr fitToPage="1"/>
  </sheetPr>
  <dimension ref="A1:BN48"/>
  <sheetViews>
    <sheetView topLeftCell="AZ1" zoomScale="90" zoomScaleNormal="90" workbookViewId="0">
      <selection activeCell="U15" sqref="U15"/>
    </sheetView>
  </sheetViews>
  <sheetFormatPr baseColWidth="10" defaultColWidth="11.42578125" defaultRowHeight="15"/>
  <cols>
    <col min="3" max="9" width="11.42578125" style="404"/>
    <col min="11" max="11" width="11.42578125" style="404"/>
    <col min="12" max="13" width="11.85546875" style="404" bestFit="1" customWidth="1"/>
    <col min="14" max="15" width="11.42578125" style="404"/>
    <col min="17" max="18" width="11.42578125" style="404"/>
    <col min="28" max="28" width="11.42578125" style="404"/>
    <col min="35" max="35" width="12.5703125" customWidth="1"/>
    <col min="38" max="38" width="12.42578125" customWidth="1"/>
    <col min="39" max="39" width="13.85546875" customWidth="1"/>
    <col min="40" max="40" width="12.7109375" bestFit="1" customWidth="1"/>
    <col min="41" max="41" width="16.42578125" bestFit="1" customWidth="1"/>
    <col min="42" max="45" width="0" hidden="1" customWidth="1"/>
    <col min="46" max="46" width="6.85546875" customWidth="1"/>
    <col min="47" max="47" width="8" customWidth="1"/>
    <col min="48" max="48" width="18.85546875" style="517" bestFit="1" customWidth="1"/>
    <col min="49" max="50" width="18.140625" style="517" bestFit="1" customWidth="1"/>
    <col min="51" max="51" width="18.5703125" style="517" bestFit="1" customWidth="1"/>
    <col min="52" max="52" width="4.28515625" style="520" customWidth="1"/>
    <col min="53" max="53" width="18.7109375" style="517" bestFit="1" customWidth="1"/>
    <col min="54" max="54" width="18.140625" style="517" bestFit="1" customWidth="1"/>
    <col min="55" max="55" width="17.5703125" style="517" bestFit="1" customWidth="1"/>
    <col min="56" max="56" width="19.140625" style="517" bestFit="1" customWidth="1"/>
    <col min="57" max="57" width="4.140625" style="520" customWidth="1"/>
    <col min="58" max="58" width="16.42578125" style="517" bestFit="1" customWidth="1"/>
    <col min="59" max="59" width="12.5703125" style="456" customWidth="1"/>
    <col min="60" max="61" width="12.5703125" customWidth="1"/>
    <col min="62" max="66" width="14.42578125" bestFit="1" customWidth="1"/>
  </cols>
  <sheetData>
    <row r="1" spans="1:66">
      <c r="AV1" s="1165" t="s">
        <v>653</v>
      </c>
      <c r="AW1" s="1165"/>
      <c r="AX1" s="1165"/>
      <c r="AY1" s="1165"/>
      <c r="BA1" s="1165" t="s">
        <v>654</v>
      </c>
      <c r="BB1" s="1165"/>
      <c r="BC1" s="1165"/>
      <c r="BD1" s="1165"/>
    </row>
    <row r="2" spans="1:66" ht="60">
      <c r="A2" s="278" t="s">
        <v>655</v>
      </c>
      <c r="B2" s="278" t="s">
        <v>656</v>
      </c>
      <c r="C2" s="508" t="s">
        <v>657</v>
      </c>
      <c r="D2" s="481" t="s">
        <v>658</v>
      </c>
      <c r="E2" s="481" t="s">
        <v>659</v>
      </c>
      <c r="F2" s="481" t="s">
        <v>660</v>
      </c>
      <c r="G2" s="481" t="s">
        <v>661</v>
      </c>
      <c r="H2" s="481" t="s">
        <v>662</v>
      </c>
      <c r="I2" s="481" t="s">
        <v>663</v>
      </c>
      <c r="J2" s="481" t="s">
        <v>664</v>
      </c>
      <c r="K2" s="482" t="s">
        <v>665</v>
      </c>
      <c r="L2" s="481" t="s">
        <v>659</v>
      </c>
      <c r="M2" s="481" t="s">
        <v>660</v>
      </c>
      <c r="N2" s="481" t="s">
        <v>666</v>
      </c>
      <c r="O2" s="481" t="s">
        <v>667</v>
      </c>
      <c r="P2" s="481" t="s">
        <v>605</v>
      </c>
      <c r="Q2" s="481" t="s">
        <v>668</v>
      </c>
      <c r="R2" s="481" t="s">
        <v>669</v>
      </c>
      <c r="S2" s="481" t="s">
        <v>670</v>
      </c>
      <c r="T2" s="481" t="s">
        <v>671</v>
      </c>
      <c r="U2" s="481" t="s">
        <v>672</v>
      </c>
      <c r="V2" s="481" t="s">
        <v>673</v>
      </c>
      <c r="W2" s="481" t="s">
        <v>674</v>
      </c>
      <c r="X2" s="481" t="s">
        <v>675</v>
      </c>
      <c r="Y2" s="481" t="s">
        <v>676</v>
      </c>
      <c r="Z2" s="481" t="s">
        <v>677</v>
      </c>
      <c r="AA2" s="481" t="s">
        <v>678</v>
      </c>
      <c r="AB2" s="481" t="s">
        <v>679</v>
      </c>
      <c r="AC2" s="481" t="s">
        <v>605</v>
      </c>
      <c r="AD2" s="481" t="s">
        <v>680</v>
      </c>
      <c r="AE2" s="481" t="s">
        <v>681</v>
      </c>
      <c r="AF2" s="481" t="s">
        <v>682</v>
      </c>
      <c r="AG2" s="481" t="s">
        <v>683</v>
      </c>
      <c r="AH2" s="481" t="s">
        <v>684</v>
      </c>
      <c r="AI2" s="481" t="s">
        <v>685</v>
      </c>
      <c r="AJ2" s="481" t="s">
        <v>686</v>
      </c>
      <c r="AK2" s="481" t="s">
        <v>687</v>
      </c>
      <c r="AL2" s="481" t="s">
        <v>688</v>
      </c>
      <c r="AM2" s="481" t="s">
        <v>689</v>
      </c>
      <c r="AN2" s="481" t="s">
        <v>690</v>
      </c>
      <c r="AO2" s="481" t="s">
        <v>691</v>
      </c>
      <c r="AP2" s="481" t="s">
        <v>692</v>
      </c>
      <c r="AQ2" s="481" t="s">
        <v>693</v>
      </c>
      <c r="AR2" s="481" t="s">
        <v>694</v>
      </c>
      <c r="AS2" s="481" t="s">
        <v>695</v>
      </c>
      <c r="AT2" s="72"/>
      <c r="AU2" s="435"/>
      <c r="AV2" s="513" t="s">
        <v>408</v>
      </c>
      <c r="AW2" s="513" t="s">
        <v>409</v>
      </c>
      <c r="AX2" s="513" t="s">
        <v>410</v>
      </c>
      <c r="AY2" s="521"/>
      <c r="AZ2" s="522"/>
      <c r="BA2" s="513" t="s">
        <v>408</v>
      </c>
      <c r="BB2" s="513" t="s">
        <v>409</v>
      </c>
      <c r="BC2" s="513" t="s">
        <v>410</v>
      </c>
      <c r="BD2" s="521"/>
      <c r="BE2" s="522"/>
      <c r="BF2" s="522"/>
      <c r="BG2" s="471"/>
      <c r="BH2" s="72"/>
      <c r="BJ2" s="435" t="s">
        <v>696</v>
      </c>
      <c r="BK2" s="435" t="s">
        <v>697</v>
      </c>
      <c r="BL2" s="435" t="s">
        <v>190</v>
      </c>
      <c r="BM2" s="435" t="s">
        <v>698</v>
      </c>
      <c r="BN2" s="435" t="s">
        <v>699</v>
      </c>
    </row>
    <row r="3" spans="1:66">
      <c r="A3" s="279" t="s">
        <v>700</v>
      </c>
      <c r="B3" s="279">
        <v>7673</v>
      </c>
      <c r="C3" s="505" t="s">
        <v>701</v>
      </c>
      <c r="D3" s="506" t="s">
        <v>702</v>
      </c>
      <c r="E3" s="509">
        <v>44562</v>
      </c>
      <c r="F3" s="509">
        <v>44620</v>
      </c>
      <c r="G3" s="506" t="s">
        <v>703</v>
      </c>
      <c r="H3" s="509">
        <v>44562</v>
      </c>
      <c r="I3" s="506" t="s">
        <v>704</v>
      </c>
      <c r="J3" s="477" t="s">
        <v>705</v>
      </c>
      <c r="K3" s="506" t="s">
        <v>706</v>
      </c>
      <c r="L3" s="509">
        <v>44230</v>
      </c>
      <c r="M3" s="509">
        <v>44561</v>
      </c>
      <c r="N3" s="506" t="s">
        <v>707</v>
      </c>
      <c r="O3" s="506" t="s">
        <v>708</v>
      </c>
      <c r="P3" s="477" t="s">
        <v>709</v>
      </c>
      <c r="Q3" s="506" t="s">
        <v>710</v>
      </c>
      <c r="R3" s="506" t="s">
        <v>711</v>
      </c>
      <c r="S3" s="477" t="s">
        <v>712</v>
      </c>
      <c r="T3" s="477" t="s">
        <v>713</v>
      </c>
      <c r="U3" s="477" t="s">
        <v>414</v>
      </c>
      <c r="V3" s="477" t="s">
        <v>714</v>
      </c>
      <c r="W3" s="477" t="s">
        <v>715</v>
      </c>
      <c r="X3" s="477" t="s">
        <v>716</v>
      </c>
      <c r="Y3" s="477" t="s">
        <v>717</v>
      </c>
      <c r="Z3" s="477" t="s">
        <v>718</v>
      </c>
      <c r="AA3" s="477" t="s">
        <v>719</v>
      </c>
      <c r="AB3" s="506" t="s">
        <v>720</v>
      </c>
      <c r="AC3" s="477" t="s">
        <v>721</v>
      </c>
      <c r="AD3" s="477" t="s">
        <v>722</v>
      </c>
      <c r="AE3" s="477" t="s">
        <v>723</v>
      </c>
      <c r="AF3" s="477" t="s">
        <v>724</v>
      </c>
      <c r="AG3" s="477" t="s">
        <v>725</v>
      </c>
      <c r="AH3" s="477" t="s">
        <v>726</v>
      </c>
      <c r="AI3" s="479">
        <v>5250000</v>
      </c>
      <c r="AJ3" s="479">
        <v>0</v>
      </c>
      <c r="AK3" s="479">
        <v>0</v>
      </c>
      <c r="AL3" s="479">
        <v>5250000</v>
      </c>
      <c r="AM3" s="479">
        <v>3500000</v>
      </c>
      <c r="AN3" s="479">
        <f>AI3-AJ3-AK3-AM3</f>
        <v>1750000</v>
      </c>
      <c r="AO3" s="477" t="s">
        <v>727</v>
      </c>
      <c r="AP3" s="477" t="s">
        <v>702</v>
      </c>
      <c r="AQ3" s="477" t="s">
        <v>728</v>
      </c>
      <c r="AR3" s="477" t="s">
        <v>702</v>
      </c>
      <c r="AS3" s="478">
        <v>44564</v>
      </c>
      <c r="AT3" s="476"/>
      <c r="AU3" s="480" t="s">
        <v>408</v>
      </c>
      <c r="AV3" s="514">
        <f>AL3</f>
        <v>5250000</v>
      </c>
      <c r="AW3" s="514">
        <v>0</v>
      </c>
      <c r="AX3" s="514">
        <v>0</v>
      </c>
      <c r="AY3" s="523">
        <f t="shared" ref="AY3:AY14" si="0">SUM(AV3:AX3)</f>
        <v>5250000</v>
      </c>
      <c r="AZ3" s="519"/>
      <c r="BA3" s="681">
        <f>AM3</f>
        <v>3500000</v>
      </c>
      <c r="BB3" s="514">
        <v>0</v>
      </c>
      <c r="BC3" s="514">
        <v>0</v>
      </c>
      <c r="BD3" s="523">
        <f t="shared" ref="BD3:BD14" si="1">SUM(BA3:BC3)</f>
        <v>3500000</v>
      </c>
      <c r="BE3" s="519"/>
      <c r="BF3" s="523">
        <f t="shared" ref="BF3:BF14" si="2">BD3-AM3</f>
        <v>0</v>
      </c>
      <c r="BG3" s="457"/>
      <c r="BH3" s="276"/>
      <c r="BJ3" s="484"/>
      <c r="BK3" s="484"/>
      <c r="BL3" s="484"/>
      <c r="BM3" s="484"/>
      <c r="BN3" s="484"/>
    </row>
    <row r="4" spans="1:66">
      <c r="A4" s="279" t="s">
        <v>729</v>
      </c>
      <c r="B4" s="279">
        <v>7673</v>
      </c>
      <c r="C4" s="505" t="s">
        <v>701</v>
      </c>
      <c r="D4" s="506" t="s">
        <v>702</v>
      </c>
      <c r="E4" s="509">
        <v>44562</v>
      </c>
      <c r="F4" s="509">
        <v>44620</v>
      </c>
      <c r="G4" s="506" t="s">
        <v>703</v>
      </c>
      <c r="H4" s="509">
        <v>44562</v>
      </c>
      <c r="I4" s="506" t="s">
        <v>730</v>
      </c>
      <c r="J4" s="477" t="s">
        <v>731</v>
      </c>
      <c r="K4" s="506" t="s">
        <v>732</v>
      </c>
      <c r="L4" s="509">
        <v>44561</v>
      </c>
      <c r="M4" s="509">
        <v>44561</v>
      </c>
      <c r="N4" s="506" t="s">
        <v>733</v>
      </c>
      <c r="O4" s="506" t="s">
        <v>708</v>
      </c>
      <c r="P4" s="477" t="s">
        <v>709</v>
      </c>
      <c r="Q4" s="506" t="s">
        <v>734</v>
      </c>
      <c r="R4" s="506" t="s">
        <v>735</v>
      </c>
      <c r="S4" s="477" t="s">
        <v>736</v>
      </c>
      <c r="T4" s="477" t="s">
        <v>713</v>
      </c>
      <c r="U4" s="477" t="s">
        <v>414</v>
      </c>
      <c r="V4" s="477" t="s">
        <v>714</v>
      </c>
      <c r="W4" s="477" t="s">
        <v>715</v>
      </c>
      <c r="X4" s="477" t="s">
        <v>716</v>
      </c>
      <c r="Y4" s="477" t="s">
        <v>717</v>
      </c>
      <c r="Z4" s="477" t="s">
        <v>737</v>
      </c>
      <c r="AA4" s="477" t="s">
        <v>738</v>
      </c>
      <c r="AB4" s="506" t="s">
        <v>720</v>
      </c>
      <c r="AC4" s="477" t="s">
        <v>721</v>
      </c>
      <c r="AD4" s="477" t="s">
        <v>739</v>
      </c>
      <c r="AE4" s="477" t="s">
        <v>723</v>
      </c>
      <c r="AF4" s="477" t="s">
        <v>740</v>
      </c>
      <c r="AG4" s="477" t="s">
        <v>239</v>
      </c>
      <c r="AH4" s="477" t="s">
        <v>726</v>
      </c>
      <c r="AI4" s="479">
        <v>2833333</v>
      </c>
      <c r="AJ4" s="479">
        <v>0</v>
      </c>
      <c r="AK4" s="479">
        <v>0</v>
      </c>
      <c r="AL4" s="479">
        <v>2833333</v>
      </c>
      <c r="AM4" s="479">
        <v>2833333</v>
      </c>
      <c r="AN4" s="479">
        <f t="shared" ref="AN4:AN14" si="3">AI4-AJ4-AK4-AM4</f>
        <v>0</v>
      </c>
      <c r="AO4" s="477" t="s">
        <v>741</v>
      </c>
      <c r="AP4" s="477" t="s">
        <v>702</v>
      </c>
      <c r="AQ4" s="477" t="s">
        <v>742</v>
      </c>
      <c r="AR4" s="477" t="s">
        <v>702</v>
      </c>
      <c r="AS4" s="478">
        <v>44564</v>
      </c>
      <c r="AT4" s="476"/>
      <c r="AU4" s="480" t="s">
        <v>410</v>
      </c>
      <c r="AV4" s="514">
        <v>0</v>
      </c>
      <c r="AW4" s="514">
        <v>0</v>
      </c>
      <c r="AX4" s="514">
        <v>2833333</v>
      </c>
      <c r="AY4" s="523">
        <f t="shared" si="0"/>
        <v>2833333</v>
      </c>
      <c r="AZ4" s="519"/>
      <c r="BA4" s="514">
        <v>0</v>
      </c>
      <c r="BB4" s="514">
        <v>0</v>
      </c>
      <c r="BC4" s="514">
        <f>AM4</f>
        <v>2833333</v>
      </c>
      <c r="BD4" s="523">
        <f t="shared" si="1"/>
        <v>2833333</v>
      </c>
      <c r="BE4" s="519"/>
      <c r="BF4" s="523">
        <f t="shared" si="2"/>
        <v>0</v>
      </c>
      <c r="BG4" s="457"/>
      <c r="BH4" s="276"/>
      <c r="BJ4" s="484">
        <v>2833333</v>
      </c>
      <c r="BK4" s="484"/>
      <c r="BL4" s="484"/>
      <c r="BM4" s="484"/>
      <c r="BN4" s="484"/>
    </row>
    <row r="5" spans="1:66">
      <c r="A5" s="279" t="s">
        <v>743</v>
      </c>
      <c r="B5" s="279">
        <v>7673</v>
      </c>
      <c r="C5" s="505" t="s">
        <v>701</v>
      </c>
      <c r="D5" s="506" t="s">
        <v>702</v>
      </c>
      <c r="E5" s="509">
        <v>44562</v>
      </c>
      <c r="F5" s="509">
        <v>44620</v>
      </c>
      <c r="G5" s="506" t="s">
        <v>703</v>
      </c>
      <c r="H5" s="509">
        <v>44562</v>
      </c>
      <c r="I5" s="506" t="s">
        <v>744</v>
      </c>
      <c r="J5" s="477" t="s">
        <v>745</v>
      </c>
      <c r="K5" s="506" t="s">
        <v>746</v>
      </c>
      <c r="L5" s="509">
        <v>44378</v>
      </c>
      <c r="M5" s="509">
        <v>44561</v>
      </c>
      <c r="N5" s="506" t="s">
        <v>747</v>
      </c>
      <c r="O5" s="506" t="s">
        <v>708</v>
      </c>
      <c r="P5" s="477" t="s">
        <v>709</v>
      </c>
      <c r="Q5" s="506" t="s">
        <v>748</v>
      </c>
      <c r="R5" s="506" t="s">
        <v>749</v>
      </c>
      <c r="S5" s="477" t="s">
        <v>750</v>
      </c>
      <c r="T5" s="477" t="s">
        <v>713</v>
      </c>
      <c r="U5" s="477" t="s">
        <v>414</v>
      </c>
      <c r="V5" s="477" t="s">
        <v>714</v>
      </c>
      <c r="W5" s="477" t="s">
        <v>715</v>
      </c>
      <c r="X5" s="477" t="s">
        <v>751</v>
      </c>
      <c r="Y5" s="477" t="s">
        <v>492</v>
      </c>
      <c r="Z5" s="477" t="s">
        <v>737</v>
      </c>
      <c r="AA5" s="477" t="s">
        <v>738</v>
      </c>
      <c r="AB5" s="506" t="s">
        <v>720</v>
      </c>
      <c r="AC5" s="477" t="s">
        <v>721</v>
      </c>
      <c r="AD5" s="477" t="s">
        <v>752</v>
      </c>
      <c r="AE5" s="477" t="s">
        <v>753</v>
      </c>
      <c r="AF5" s="477" t="s">
        <v>754</v>
      </c>
      <c r="AG5" s="477" t="s">
        <v>755</v>
      </c>
      <c r="AH5" s="477" t="s">
        <v>726</v>
      </c>
      <c r="AI5" s="479">
        <v>253060895</v>
      </c>
      <c r="AJ5" s="479">
        <v>0</v>
      </c>
      <c r="AK5" s="479">
        <v>0</v>
      </c>
      <c r="AL5" s="479">
        <v>253060895</v>
      </c>
      <c r="AM5" s="479">
        <f>88461332+57070608</f>
        <v>145531940</v>
      </c>
      <c r="AN5" s="479">
        <f t="shared" si="3"/>
        <v>107528955</v>
      </c>
      <c r="AO5" s="477" t="s">
        <v>756</v>
      </c>
      <c r="AP5" s="477" t="s">
        <v>702</v>
      </c>
      <c r="AQ5" s="477" t="s">
        <v>757</v>
      </c>
      <c r="AR5" s="477" t="s">
        <v>702</v>
      </c>
      <c r="AS5" s="478">
        <v>44564</v>
      </c>
      <c r="AT5" s="476"/>
      <c r="AU5" s="480" t="s">
        <v>408</v>
      </c>
      <c r="AV5" s="514">
        <f>AL5*94%</f>
        <v>237877241.29999998</v>
      </c>
      <c r="AW5" s="514">
        <v>0</v>
      </c>
      <c r="AX5" s="514">
        <f>AL5*6%</f>
        <v>15183653.699999999</v>
      </c>
      <c r="AY5" s="523">
        <f t="shared" si="0"/>
        <v>253060894.99999997</v>
      </c>
      <c r="AZ5" s="519"/>
      <c r="BA5" s="681">
        <f>AM5*94%</f>
        <v>136800023.59999999</v>
      </c>
      <c r="BB5" s="514">
        <v>0</v>
      </c>
      <c r="BC5" s="681">
        <f>AM5*6%</f>
        <v>8731916.4000000004</v>
      </c>
      <c r="BD5" s="523">
        <f t="shared" si="1"/>
        <v>145531940</v>
      </c>
      <c r="BE5" s="519"/>
      <c r="BF5" s="523">
        <f t="shared" si="2"/>
        <v>0</v>
      </c>
      <c r="BG5" s="457"/>
      <c r="BH5" s="276"/>
      <c r="BI5" s="384"/>
      <c r="BJ5" s="484"/>
      <c r="BK5" s="484">
        <f>BF5/4</f>
        <v>0</v>
      </c>
      <c r="BL5" s="484">
        <v>3795913.4249999998</v>
      </c>
      <c r="BM5" s="484">
        <f>3795913.425+3795913.425</f>
        <v>7591826.8499999996</v>
      </c>
      <c r="BN5" s="484"/>
    </row>
    <row r="6" spans="1:66">
      <c r="A6" s="279" t="s">
        <v>758</v>
      </c>
      <c r="B6" s="279">
        <v>7673</v>
      </c>
      <c r="C6" s="505" t="s">
        <v>701</v>
      </c>
      <c r="D6" s="506" t="s">
        <v>702</v>
      </c>
      <c r="E6" s="509">
        <v>44562</v>
      </c>
      <c r="F6" s="509">
        <v>44620</v>
      </c>
      <c r="G6" s="506" t="s">
        <v>703</v>
      </c>
      <c r="H6" s="509">
        <v>44562</v>
      </c>
      <c r="I6" s="506" t="s">
        <v>730</v>
      </c>
      <c r="J6" s="477" t="s">
        <v>731</v>
      </c>
      <c r="K6" s="506" t="s">
        <v>759</v>
      </c>
      <c r="L6" s="509">
        <v>44561</v>
      </c>
      <c r="M6" s="509">
        <v>44561</v>
      </c>
      <c r="N6" s="506" t="s">
        <v>733</v>
      </c>
      <c r="O6" s="506" t="s">
        <v>708</v>
      </c>
      <c r="P6" s="477" t="s">
        <v>709</v>
      </c>
      <c r="Q6" s="506" t="s">
        <v>760</v>
      </c>
      <c r="R6" s="506" t="s">
        <v>761</v>
      </c>
      <c r="S6" s="477" t="s">
        <v>762</v>
      </c>
      <c r="T6" s="477" t="s">
        <v>713</v>
      </c>
      <c r="U6" s="477" t="s">
        <v>414</v>
      </c>
      <c r="V6" s="477" t="s">
        <v>714</v>
      </c>
      <c r="W6" s="477" t="s">
        <v>715</v>
      </c>
      <c r="X6" s="477" t="s">
        <v>716</v>
      </c>
      <c r="Y6" s="477" t="s">
        <v>717</v>
      </c>
      <c r="Z6" s="477" t="s">
        <v>737</v>
      </c>
      <c r="AA6" s="477" t="s">
        <v>738</v>
      </c>
      <c r="AB6" s="506" t="s">
        <v>720</v>
      </c>
      <c r="AC6" s="477" t="s">
        <v>721</v>
      </c>
      <c r="AD6" s="477" t="s">
        <v>763</v>
      </c>
      <c r="AE6" s="477" t="s">
        <v>723</v>
      </c>
      <c r="AF6" s="477" t="s">
        <v>764</v>
      </c>
      <c r="AG6" s="477" t="s">
        <v>235</v>
      </c>
      <c r="AH6" s="477" t="s">
        <v>726</v>
      </c>
      <c r="AI6" s="479">
        <v>1700000</v>
      </c>
      <c r="AJ6" s="479">
        <v>0</v>
      </c>
      <c r="AK6" s="479">
        <v>0</v>
      </c>
      <c r="AL6" s="479">
        <v>1700000</v>
      </c>
      <c r="AM6" s="479">
        <v>1700000</v>
      </c>
      <c r="AN6" s="479">
        <f t="shared" si="3"/>
        <v>0</v>
      </c>
      <c r="AO6" s="477" t="s">
        <v>765</v>
      </c>
      <c r="AP6" s="477" t="s">
        <v>702</v>
      </c>
      <c r="AQ6" s="477" t="s">
        <v>766</v>
      </c>
      <c r="AR6" s="477" t="s">
        <v>702</v>
      </c>
      <c r="AS6" s="478">
        <v>44564</v>
      </c>
      <c r="AT6" s="476"/>
      <c r="AU6" s="480" t="s">
        <v>410</v>
      </c>
      <c r="AV6" s="514">
        <v>0</v>
      </c>
      <c r="AW6" s="514">
        <v>0</v>
      </c>
      <c r="AX6" s="514">
        <v>1700000</v>
      </c>
      <c r="AY6" s="523">
        <f t="shared" si="0"/>
        <v>1700000</v>
      </c>
      <c r="AZ6" s="519"/>
      <c r="BA6" s="514">
        <v>0</v>
      </c>
      <c r="BB6" s="514">
        <v>0</v>
      </c>
      <c r="BC6" s="514">
        <v>1700000</v>
      </c>
      <c r="BD6" s="523">
        <f t="shared" si="1"/>
        <v>1700000</v>
      </c>
      <c r="BE6" s="519"/>
      <c r="BF6" s="523">
        <f t="shared" si="2"/>
        <v>0</v>
      </c>
      <c r="BG6" s="457"/>
      <c r="BH6" s="276"/>
      <c r="BJ6" s="484">
        <v>1700000</v>
      </c>
      <c r="BK6" s="484"/>
      <c r="BL6" s="484"/>
      <c r="BM6" s="484"/>
      <c r="BN6" s="484"/>
    </row>
    <row r="7" spans="1:66">
      <c r="A7" s="279" t="s">
        <v>767</v>
      </c>
      <c r="B7" s="279">
        <v>7673</v>
      </c>
      <c r="C7" s="505" t="s">
        <v>701</v>
      </c>
      <c r="D7" s="506" t="s">
        <v>702</v>
      </c>
      <c r="E7" s="509">
        <v>44562</v>
      </c>
      <c r="F7" s="509">
        <v>44620</v>
      </c>
      <c r="G7" s="506" t="s">
        <v>703</v>
      </c>
      <c r="H7" s="509">
        <v>44562</v>
      </c>
      <c r="I7" s="506" t="s">
        <v>768</v>
      </c>
      <c r="J7" s="477" t="s">
        <v>769</v>
      </c>
      <c r="K7" s="506" t="s">
        <v>770</v>
      </c>
      <c r="L7" s="509">
        <v>44411</v>
      </c>
      <c r="M7" s="509">
        <v>44561</v>
      </c>
      <c r="N7" s="506" t="s">
        <v>771</v>
      </c>
      <c r="O7" s="506" t="s">
        <v>708</v>
      </c>
      <c r="P7" s="477" t="s">
        <v>709</v>
      </c>
      <c r="Q7" s="506" t="s">
        <v>772</v>
      </c>
      <c r="R7" s="506" t="s">
        <v>773</v>
      </c>
      <c r="S7" s="477" t="s">
        <v>774</v>
      </c>
      <c r="T7" s="477" t="s">
        <v>713</v>
      </c>
      <c r="U7" s="477" t="s">
        <v>414</v>
      </c>
      <c r="V7" s="477" t="s">
        <v>714</v>
      </c>
      <c r="W7" s="477" t="s">
        <v>715</v>
      </c>
      <c r="X7" s="477" t="s">
        <v>751</v>
      </c>
      <c r="Y7" s="477" t="s">
        <v>492</v>
      </c>
      <c r="Z7" s="477" t="s">
        <v>737</v>
      </c>
      <c r="AA7" s="477" t="s">
        <v>738</v>
      </c>
      <c r="AB7" s="506" t="s">
        <v>775</v>
      </c>
      <c r="AC7" s="477" t="s">
        <v>776</v>
      </c>
      <c r="AD7" s="477" t="s">
        <v>777</v>
      </c>
      <c r="AE7" s="477" t="s">
        <v>753</v>
      </c>
      <c r="AF7" s="477" t="s">
        <v>778</v>
      </c>
      <c r="AG7" s="477" t="s">
        <v>779</v>
      </c>
      <c r="AH7" s="477" t="s">
        <v>726</v>
      </c>
      <c r="AI7" s="479">
        <v>2712013</v>
      </c>
      <c r="AJ7" s="479">
        <v>0</v>
      </c>
      <c r="AK7" s="479">
        <v>0</v>
      </c>
      <c r="AL7" s="479">
        <v>2712013</v>
      </c>
      <c r="AM7" s="479">
        <v>2712013</v>
      </c>
      <c r="AN7" s="479">
        <f t="shared" si="3"/>
        <v>0</v>
      </c>
      <c r="AO7" s="477" t="s">
        <v>780</v>
      </c>
      <c r="AP7" s="477" t="s">
        <v>702</v>
      </c>
      <c r="AQ7" s="477" t="s">
        <v>781</v>
      </c>
      <c r="AR7" s="477" t="s">
        <v>702</v>
      </c>
      <c r="AS7" s="478">
        <v>44564</v>
      </c>
      <c r="AT7" s="476"/>
      <c r="AU7" s="480" t="s">
        <v>410</v>
      </c>
      <c r="AV7" s="514">
        <v>0</v>
      </c>
      <c r="AW7" s="514">
        <v>0</v>
      </c>
      <c r="AX7" s="514">
        <v>2712013</v>
      </c>
      <c r="AY7" s="523">
        <f t="shared" si="0"/>
        <v>2712013</v>
      </c>
      <c r="AZ7" s="519"/>
      <c r="BA7" s="514">
        <v>0</v>
      </c>
      <c r="BB7" s="514">
        <v>0</v>
      </c>
      <c r="BC7" s="514">
        <v>2712013</v>
      </c>
      <c r="BD7" s="523">
        <f t="shared" si="1"/>
        <v>2712013</v>
      </c>
      <c r="BE7" s="519"/>
      <c r="BF7" s="523">
        <f t="shared" si="2"/>
        <v>0</v>
      </c>
      <c r="BG7" s="457"/>
      <c r="BH7" s="276"/>
      <c r="BJ7" s="484"/>
      <c r="BK7" s="484"/>
      <c r="BL7" s="484">
        <v>2712013</v>
      </c>
      <c r="BM7" s="484"/>
      <c r="BN7" s="484"/>
    </row>
    <row r="8" spans="1:66" s="276" customFormat="1">
      <c r="A8" s="532" t="s">
        <v>782</v>
      </c>
      <c r="B8" s="532">
        <v>7673</v>
      </c>
      <c r="C8" s="533" t="s">
        <v>701</v>
      </c>
      <c r="D8" s="534" t="s">
        <v>702</v>
      </c>
      <c r="E8" s="535">
        <v>44562</v>
      </c>
      <c r="F8" s="535">
        <v>44620</v>
      </c>
      <c r="G8" s="534" t="s">
        <v>703</v>
      </c>
      <c r="H8" s="535">
        <v>44562</v>
      </c>
      <c r="I8" s="534" t="s">
        <v>744</v>
      </c>
      <c r="J8" s="536" t="s">
        <v>745</v>
      </c>
      <c r="K8" s="534" t="s">
        <v>783</v>
      </c>
      <c r="L8" s="535">
        <v>44477</v>
      </c>
      <c r="M8" s="535">
        <v>44561</v>
      </c>
      <c r="N8" s="534" t="s">
        <v>784</v>
      </c>
      <c r="O8" s="534" t="s">
        <v>708</v>
      </c>
      <c r="P8" s="536" t="s">
        <v>709</v>
      </c>
      <c r="Q8" s="534" t="s">
        <v>785</v>
      </c>
      <c r="R8" s="534" t="s">
        <v>786</v>
      </c>
      <c r="S8" s="536" t="s">
        <v>787</v>
      </c>
      <c r="T8" s="536" t="s">
        <v>713</v>
      </c>
      <c r="U8" s="536" t="s">
        <v>414</v>
      </c>
      <c r="V8" s="536" t="s">
        <v>714</v>
      </c>
      <c r="W8" s="536" t="s">
        <v>715</v>
      </c>
      <c r="X8" s="536" t="s">
        <v>751</v>
      </c>
      <c r="Y8" s="536" t="s">
        <v>492</v>
      </c>
      <c r="Z8" s="536" t="s">
        <v>737</v>
      </c>
      <c r="AA8" s="536" t="s">
        <v>738</v>
      </c>
      <c r="AB8" s="534" t="s">
        <v>720</v>
      </c>
      <c r="AC8" s="536" t="s">
        <v>721</v>
      </c>
      <c r="AD8" s="536" t="s">
        <v>788</v>
      </c>
      <c r="AE8" s="536" t="s">
        <v>753</v>
      </c>
      <c r="AF8" s="536" t="s">
        <v>789</v>
      </c>
      <c r="AG8" s="536" t="s">
        <v>790</v>
      </c>
      <c r="AH8" s="536" t="s">
        <v>726</v>
      </c>
      <c r="AI8" s="537">
        <v>24000003</v>
      </c>
      <c r="AJ8" s="537">
        <v>0</v>
      </c>
      <c r="AK8" s="537">
        <v>0</v>
      </c>
      <c r="AL8" s="537">
        <v>24000003</v>
      </c>
      <c r="AM8" s="537">
        <v>24000003</v>
      </c>
      <c r="AN8" s="537">
        <f t="shared" si="3"/>
        <v>0</v>
      </c>
      <c r="AO8" s="536" t="s">
        <v>791</v>
      </c>
      <c r="AP8" s="536" t="s">
        <v>702</v>
      </c>
      <c r="AQ8" s="536" t="s">
        <v>792</v>
      </c>
      <c r="AR8" s="536" t="s">
        <v>702</v>
      </c>
      <c r="AS8" s="538">
        <v>44564</v>
      </c>
      <c r="AU8" s="532" t="s">
        <v>409</v>
      </c>
      <c r="AV8" s="539">
        <v>0</v>
      </c>
      <c r="AW8" s="514">
        <f>AL8</f>
        <v>24000003</v>
      </c>
      <c r="AX8" s="539">
        <v>0</v>
      </c>
      <c r="AY8" s="523">
        <f t="shared" si="0"/>
        <v>24000003</v>
      </c>
      <c r="AZ8" s="519"/>
      <c r="BA8" s="539">
        <v>0</v>
      </c>
      <c r="BB8" s="539">
        <f>AM8</f>
        <v>24000003</v>
      </c>
      <c r="BC8" s="539">
        <v>0</v>
      </c>
      <c r="BD8" s="523">
        <f t="shared" si="1"/>
        <v>24000003</v>
      </c>
      <c r="BE8" s="519"/>
      <c r="BF8" s="523">
        <f t="shared" si="2"/>
        <v>0</v>
      </c>
      <c r="BG8" s="457"/>
      <c r="BJ8" s="540"/>
      <c r="BK8" s="540"/>
      <c r="BL8" s="540"/>
      <c r="BM8" s="540"/>
      <c r="BN8" s="540"/>
    </row>
    <row r="9" spans="1:66" s="276" customFormat="1">
      <c r="A9" s="532" t="s">
        <v>793</v>
      </c>
      <c r="B9" s="532">
        <v>7673</v>
      </c>
      <c r="C9" s="533" t="s">
        <v>701</v>
      </c>
      <c r="D9" s="534" t="s">
        <v>702</v>
      </c>
      <c r="E9" s="535">
        <v>44562</v>
      </c>
      <c r="F9" s="535">
        <v>44620</v>
      </c>
      <c r="G9" s="534" t="s">
        <v>703</v>
      </c>
      <c r="H9" s="535">
        <v>44562</v>
      </c>
      <c r="I9" s="534" t="s">
        <v>794</v>
      </c>
      <c r="J9" s="536" t="s">
        <v>795</v>
      </c>
      <c r="K9" s="534" t="s">
        <v>796</v>
      </c>
      <c r="L9" s="535">
        <v>44525</v>
      </c>
      <c r="M9" s="535">
        <v>44561</v>
      </c>
      <c r="N9" s="534" t="s">
        <v>797</v>
      </c>
      <c r="O9" s="534" t="s">
        <v>708</v>
      </c>
      <c r="P9" s="536" t="s">
        <v>709</v>
      </c>
      <c r="Q9" s="534" t="s">
        <v>798</v>
      </c>
      <c r="R9" s="534" t="s">
        <v>799</v>
      </c>
      <c r="S9" s="536" t="s">
        <v>800</v>
      </c>
      <c r="T9" s="536" t="s">
        <v>713</v>
      </c>
      <c r="U9" s="536" t="s">
        <v>414</v>
      </c>
      <c r="V9" s="536" t="s">
        <v>714</v>
      </c>
      <c r="W9" s="536" t="s">
        <v>715</v>
      </c>
      <c r="X9" s="536" t="s">
        <v>801</v>
      </c>
      <c r="Y9" s="536" t="s">
        <v>802</v>
      </c>
      <c r="Z9" s="536" t="s">
        <v>737</v>
      </c>
      <c r="AA9" s="536" t="s">
        <v>738</v>
      </c>
      <c r="AB9" s="534" t="s">
        <v>720</v>
      </c>
      <c r="AC9" s="536" t="s">
        <v>721</v>
      </c>
      <c r="AD9" s="536" t="s">
        <v>803</v>
      </c>
      <c r="AE9" s="536" t="s">
        <v>753</v>
      </c>
      <c r="AF9" s="536" t="s">
        <v>804</v>
      </c>
      <c r="AG9" s="536" t="s">
        <v>805</v>
      </c>
      <c r="AH9" s="536" t="s">
        <v>726</v>
      </c>
      <c r="AI9" s="537">
        <v>84577253</v>
      </c>
      <c r="AJ9" s="537">
        <v>0</v>
      </c>
      <c r="AK9" s="537">
        <v>0</v>
      </c>
      <c r="AL9" s="537">
        <v>84577253</v>
      </c>
      <c r="AM9" s="537">
        <v>0</v>
      </c>
      <c r="AN9" s="537">
        <f t="shared" si="3"/>
        <v>84577253</v>
      </c>
      <c r="AO9" s="536" t="s">
        <v>806</v>
      </c>
      <c r="AP9" s="536" t="s">
        <v>702</v>
      </c>
      <c r="AQ9" s="536" t="s">
        <v>807</v>
      </c>
      <c r="AR9" s="536" t="s">
        <v>702</v>
      </c>
      <c r="AS9" s="538">
        <v>44564</v>
      </c>
      <c r="AU9" s="532" t="s">
        <v>408</v>
      </c>
      <c r="AV9" s="514">
        <f t="shared" ref="AV9:AV14" si="4">AL9</f>
        <v>84577253</v>
      </c>
      <c r="AW9" s="539">
        <v>0</v>
      </c>
      <c r="AX9" s="539">
        <v>0</v>
      </c>
      <c r="AY9" s="523">
        <f t="shared" si="0"/>
        <v>84577253</v>
      </c>
      <c r="AZ9" s="519"/>
      <c r="BA9" s="539">
        <v>0</v>
      </c>
      <c r="BB9" s="539">
        <v>0</v>
      </c>
      <c r="BC9" s="539">
        <v>0</v>
      </c>
      <c r="BD9" s="523">
        <f t="shared" si="1"/>
        <v>0</v>
      </c>
      <c r="BE9" s="519"/>
      <c r="BF9" s="523">
        <f t="shared" si="2"/>
        <v>0</v>
      </c>
      <c r="BG9" s="457"/>
      <c r="BJ9" s="540"/>
      <c r="BK9" s="540"/>
      <c r="BL9" s="540"/>
      <c r="BM9" s="540"/>
      <c r="BN9" s="540"/>
    </row>
    <row r="10" spans="1:66">
      <c r="A10" s="279" t="s">
        <v>808</v>
      </c>
      <c r="B10" s="279">
        <v>7673</v>
      </c>
      <c r="C10" s="505" t="s">
        <v>701</v>
      </c>
      <c r="D10" s="506" t="s">
        <v>702</v>
      </c>
      <c r="E10" s="509">
        <v>44562</v>
      </c>
      <c r="F10" s="509">
        <v>44620</v>
      </c>
      <c r="G10" s="506" t="s">
        <v>703</v>
      </c>
      <c r="H10" s="509">
        <v>44562</v>
      </c>
      <c r="I10" s="506" t="s">
        <v>809</v>
      </c>
      <c r="J10" s="477" t="s">
        <v>810</v>
      </c>
      <c r="K10" s="506" t="s">
        <v>811</v>
      </c>
      <c r="L10" s="509">
        <v>44530</v>
      </c>
      <c r="M10" s="509">
        <v>44561</v>
      </c>
      <c r="N10" s="506" t="s">
        <v>812</v>
      </c>
      <c r="O10" s="506" t="s">
        <v>708</v>
      </c>
      <c r="P10" s="477" t="s">
        <v>709</v>
      </c>
      <c r="Q10" s="506" t="s">
        <v>813</v>
      </c>
      <c r="R10" s="506" t="s">
        <v>814</v>
      </c>
      <c r="S10" s="477" t="s">
        <v>815</v>
      </c>
      <c r="T10" s="477" t="s">
        <v>713</v>
      </c>
      <c r="U10" s="477" t="s">
        <v>414</v>
      </c>
      <c r="V10" s="477" t="s">
        <v>714</v>
      </c>
      <c r="W10" s="477" t="s">
        <v>715</v>
      </c>
      <c r="X10" s="477" t="s">
        <v>816</v>
      </c>
      <c r="Y10" s="477" t="s">
        <v>817</v>
      </c>
      <c r="Z10" s="477" t="s">
        <v>737</v>
      </c>
      <c r="AA10" s="477" t="s">
        <v>738</v>
      </c>
      <c r="AB10" s="506" t="s">
        <v>818</v>
      </c>
      <c r="AC10" s="477" t="s">
        <v>819</v>
      </c>
      <c r="AD10" s="477" t="s">
        <v>820</v>
      </c>
      <c r="AE10" s="477" t="s">
        <v>753</v>
      </c>
      <c r="AF10" s="477" t="s">
        <v>821</v>
      </c>
      <c r="AG10" s="477" t="s">
        <v>822</v>
      </c>
      <c r="AH10" s="477" t="s">
        <v>726</v>
      </c>
      <c r="AI10" s="479">
        <v>16000000</v>
      </c>
      <c r="AJ10" s="479">
        <v>0</v>
      </c>
      <c r="AK10" s="479">
        <v>0</v>
      </c>
      <c r="AL10" s="479">
        <v>16000000</v>
      </c>
      <c r="AM10" s="479">
        <f>3514700+2946700</f>
        <v>6461400</v>
      </c>
      <c r="AN10" s="479">
        <f t="shared" si="3"/>
        <v>9538600</v>
      </c>
      <c r="AO10" s="477" t="s">
        <v>823</v>
      </c>
      <c r="AP10" s="477" t="s">
        <v>702</v>
      </c>
      <c r="AQ10" s="477" t="s">
        <v>824</v>
      </c>
      <c r="AR10" s="477" t="s">
        <v>702</v>
      </c>
      <c r="AS10" s="478">
        <v>44564</v>
      </c>
      <c r="AT10" s="476"/>
      <c r="AU10" s="480" t="s">
        <v>408</v>
      </c>
      <c r="AV10" s="514">
        <f t="shared" si="4"/>
        <v>16000000</v>
      </c>
      <c r="AW10" s="514">
        <v>0</v>
      </c>
      <c r="AX10" s="514">
        <v>0</v>
      </c>
      <c r="AY10" s="523">
        <f t="shared" si="0"/>
        <v>16000000</v>
      </c>
      <c r="AZ10" s="519"/>
      <c r="BA10" s="681">
        <f>3514700+2946700</f>
        <v>6461400</v>
      </c>
      <c r="BB10" s="514">
        <v>0</v>
      </c>
      <c r="BC10" s="514">
        <v>0</v>
      </c>
      <c r="BD10" s="523">
        <f t="shared" si="1"/>
        <v>6461400</v>
      </c>
      <c r="BE10" s="519"/>
      <c r="BF10" s="523">
        <f t="shared" si="2"/>
        <v>0</v>
      </c>
      <c r="BG10" s="457"/>
      <c r="BH10" s="276"/>
      <c r="BJ10" s="484"/>
      <c r="BK10" s="484"/>
      <c r="BL10" s="484"/>
      <c r="BM10" s="484"/>
      <c r="BN10" s="484"/>
    </row>
    <row r="11" spans="1:66" s="276" customFormat="1">
      <c r="A11" s="532" t="s">
        <v>825</v>
      </c>
      <c r="B11" s="532">
        <v>7673</v>
      </c>
      <c r="C11" s="533" t="s">
        <v>701</v>
      </c>
      <c r="D11" s="534" t="s">
        <v>702</v>
      </c>
      <c r="E11" s="535">
        <v>44562</v>
      </c>
      <c r="F11" s="535">
        <v>44620</v>
      </c>
      <c r="G11" s="534" t="s">
        <v>703</v>
      </c>
      <c r="H11" s="535">
        <v>44562</v>
      </c>
      <c r="I11" s="534" t="s">
        <v>794</v>
      </c>
      <c r="J11" s="536" t="s">
        <v>795</v>
      </c>
      <c r="K11" s="534">
        <v>963</v>
      </c>
      <c r="L11" s="535">
        <v>44554</v>
      </c>
      <c r="M11" s="535">
        <v>44561</v>
      </c>
      <c r="N11" s="534" t="s">
        <v>826</v>
      </c>
      <c r="O11" s="534" t="s">
        <v>708</v>
      </c>
      <c r="P11" s="536" t="s">
        <v>709</v>
      </c>
      <c r="Q11" s="534" t="s">
        <v>827</v>
      </c>
      <c r="R11" s="534">
        <v>1634</v>
      </c>
      <c r="S11" s="536" t="s">
        <v>828</v>
      </c>
      <c r="T11" s="536" t="s">
        <v>713</v>
      </c>
      <c r="U11" s="536" t="s">
        <v>414</v>
      </c>
      <c r="V11" s="536" t="s">
        <v>714</v>
      </c>
      <c r="W11" s="536" t="s">
        <v>715</v>
      </c>
      <c r="X11" s="536" t="s">
        <v>751</v>
      </c>
      <c r="Y11" s="536" t="s">
        <v>492</v>
      </c>
      <c r="Z11" s="536" t="s">
        <v>737</v>
      </c>
      <c r="AA11" s="536" t="s">
        <v>738</v>
      </c>
      <c r="AB11" s="534" t="s">
        <v>829</v>
      </c>
      <c r="AC11" s="536" t="s">
        <v>830</v>
      </c>
      <c r="AD11" s="536" t="s">
        <v>831</v>
      </c>
      <c r="AE11" s="536" t="s">
        <v>753</v>
      </c>
      <c r="AF11" s="536" t="s">
        <v>832</v>
      </c>
      <c r="AG11" s="536" t="s">
        <v>833</v>
      </c>
      <c r="AH11" s="536" t="s">
        <v>726</v>
      </c>
      <c r="AI11" s="537">
        <v>31500000</v>
      </c>
      <c r="AJ11" s="537">
        <v>0</v>
      </c>
      <c r="AK11" s="537">
        <v>0</v>
      </c>
      <c r="AL11" s="537">
        <v>31500000</v>
      </c>
      <c r="AM11" s="537">
        <v>31500000</v>
      </c>
      <c r="AN11" s="537">
        <f t="shared" si="3"/>
        <v>0</v>
      </c>
      <c r="AO11" s="536" t="s">
        <v>834</v>
      </c>
      <c r="AP11" s="536" t="s">
        <v>702</v>
      </c>
      <c r="AQ11" s="536" t="s">
        <v>835</v>
      </c>
      <c r="AR11" s="536" t="s">
        <v>702</v>
      </c>
      <c r="AS11" s="538">
        <v>44564</v>
      </c>
      <c r="AU11" s="532" t="s">
        <v>408</v>
      </c>
      <c r="AV11" s="539">
        <f t="shared" si="4"/>
        <v>31500000</v>
      </c>
      <c r="AW11" s="539">
        <v>0</v>
      </c>
      <c r="AX11" s="539">
        <v>0</v>
      </c>
      <c r="AY11" s="523">
        <f t="shared" si="0"/>
        <v>31500000</v>
      </c>
      <c r="AZ11" s="519"/>
      <c r="BA11" s="514">
        <v>31500000</v>
      </c>
      <c r="BB11" s="514">
        <v>0</v>
      </c>
      <c r="BC11" s="514">
        <v>0</v>
      </c>
      <c r="BD11" s="523">
        <f t="shared" si="1"/>
        <v>31500000</v>
      </c>
      <c r="BE11" s="519"/>
      <c r="BF11" s="523">
        <f t="shared" si="2"/>
        <v>0</v>
      </c>
      <c r="BG11" s="457"/>
      <c r="BJ11" s="540"/>
      <c r="BK11" s="540"/>
      <c r="BL11" s="540"/>
      <c r="BM11" s="540"/>
      <c r="BN11" s="540"/>
    </row>
    <row r="12" spans="1:66">
      <c r="A12" s="279" t="s">
        <v>836</v>
      </c>
      <c r="B12" s="279">
        <v>7673</v>
      </c>
      <c r="C12" s="505" t="s">
        <v>701</v>
      </c>
      <c r="D12" s="506" t="s">
        <v>702</v>
      </c>
      <c r="E12" s="509">
        <v>44562</v>
      </c>
      <c r="F12" s="509">
        <v>44620</v>
      </c>
      <c r="G12" s="506" t="s">
        <v>703</v>
      </c>
      <c r="H12" s="509">
        <v>44562</v>
      </c>
      <c r="I12" s="506" t="s">
        <v>829</v>
      </c>
      <c r="J12" s="477" t="s">
        <v>837</v>
      </c>
      <c r="K12" s="506">
        <v>78092</v>
      </c>
      <c r="L12" s="509">
        <v>44490</v>
      </c>
      <c r="M12" s="509">
        <v>44497</v>
      </c>
      <c r="N12" s="506" t="s">
        <v>826</v>
      </c>
      <c r="O12" s="506" t="s">
        <v>708</v>
      </c>
      <c r="P12" s="477" t="s">
        <v>709</v>
      </c>
      <c r="Q12" s="506" t="s">
        <v>838</v>
      </c>
      <c r="R12" s="506" t="s">
        <v>839</v>
      </c>
      <c r="S12" s="477" t="s">
        <v>840</v>
      </c>
      <c r="T12" s="477" t="s">
        <v>713</v>
      </c>
      <c r="U12" s="477" t="s">
        <v>414</v>
      </c>
      <c r="V12" s="477" t="s">
        <v>714</v>
      </c>
      <c r="W12" s="477" t="s">
        <v>715</v>
      </c>
      <c r="X12" s="477" t="s">
        <v>816</v>
      </c>
      <c r="Y12" s="477" t="s">
        <v>817</v>
      </c>
      <c r="Z12" s="477" t="s">
        <v>737</v>
      </c>
      <c r="AA12" s="477" t="s">
        <v>738</v>
      </c>
      <c r="AB12" s="506" t="s">
        <v>829</v>
      </c>
      <c r="AC12" s="477" t="s">
        <v>830</v>
      </c>
      <c r="AD12" s="477" t="s">
        <v>841</v>
      </c>
      <c r="AE12" s="477" t="s">
        <v>753</v>
      </c>
      <c r="AF12" s="477" t="s">
        <v>842</v>
      </c>
      <c r="AG12" s="477" t="s">
        <v>843</v>
      </c>
      <c r="AH12" s="477" t="s">
        <v>726</v>
      </c>
      <c r="AI12" s="479">
        <v>4759996</v>
      </c>
      <c r="AJ12" s="479">
        <v>4759996</v>
      </c>
      <c r="AK12" s="479">
        <v>0</v>
      </c>
      <c r="AL12" s="479">
        <f>AI12-AJ12</f>
        <v>0</v>
      </c>
      <c r="AM12" s="479">
        <v>0</v>
      </c>
      <c r="AN12" s="479">
        <f t="shared" si="3"/>
        <v>0</v>
      </c>
      <c r="AO12" s="477" t="s">
        <v>844</v>
      </c>
      <c r="AP12" s="477" t="s">
        <v>702</v>
      </c>
      <c r="AQ12" s="477" t="s">
        <v>845</v>
      </c>
      <c r="AR12" s="477" t="s">
        <v>702</v>
      </c>
      <c r="AS12" s="478">
        <v>44564</v>
      </c>
      <c r="AT12" s="476"/>
      <c r="AU12" s="480" t="s">
        <v>408</v>
      </c>
      <c r="AV12" s="514">
        <f t="shared" si="4"/>
        <v>0</v>
      </c>
      <c r="AW12" s="514">
        <v>0</v>
      </c>
      <c r="AX12" s="514">
        <v>0</v>
      </c>
      <c r="AY12" s="523">
        <f t="shared" si="0"/>
        <v>0</v>
      </c>
      <c r="AZ12" s="519"/>
      <c r="BA12" s="514">
        <v>0</v>
      </c>
      <c r="BB12" s="514">
        <v>0</v>
      </c>
      <c r="BC12" s="514">
        <v>0</v>
      </c>
      <c r="BD12" s="523">
        <f t="shared" si="1"/>
        <v>0</v>
      </c>
      <c r="BE12" s="519"/>
      <c r="BF12" s="523">
        <f t="shared" si="2"/>
        <v>0</v>
      </c>
      <c r="BG12" s="457"/>
      <c r="BH12" s="276"/>
      <c r="BJ12" s="484"/>
      <c r="BK12" s="484"/>
      <c r="BL12" s="484"/>
      <c r="BM12" s="484"/>
      <c r="BN12" s="484"/>
    </row>
    <row r="13" spans="1:66">
      <c r="A13" s="279" t="s">
        <v>846</v>
      </c>
      <c r="B13" s="279">
        <v>7673</v>
      </c>
      <c r="C13" s="505" t="s">
        <v>701</v>
      </c>
      <c r="D13" s="506" t="s">
        <v>702</v>
      </c>
      <c r="E13" s="509">
        <v>44562</v>
      </c>
      <c r="F13" s="509">
        <v>44620</v>
      </c>
      <c r="G13" s="506" t="s">
        <v>703</v>
      </c>
      <c r="H13" s="509">
        <v>44562</v>
      </c>
      <c r="I13" s="506" t="s">
        <v>829</v>
      </c>
      <c r="J13" s="477" t="s">
        <v>837</v>
      </c>
      <c r="K13" s="506" t="s">
        <v>847</v>
      </c>
      <c r="L13" s="509">
        <v>44557</v>
      </c>
      <c r="M13" s="509">
        <v>44561</v>
      </c>
      <c r="N13" s="506" t="s">
        <v>848</v>
      </c>
      <c r="O13" s="506" t="s">
        <v>708</v>
      </c>
      <c r="P13" s="477" t="s">
        <v>709</v>
      </c>
      <c r="Q13" s="506" t="s">
        <v>849</v>
      </c>
      <c r="R13" s="506" t="s">
        <v>850</v>
      </c>
      <c r="S13" s="477" t="s">
        <v>851</v>
      </c>
      <c r="T13" s="477" t="s">
        <v>713</v>
      </c>
      <c r="U13" s="477" t="s">
        <v>414</v>
      </c>
      <c r="V13" s="477" t="s">
        <v>714</v>
      </c>
      <c r="W13" s="477" t="s">
        <v>715</v>
      </c>
      <c r="X13" s="477" t="s">
        <v>852</v>
      </c>
      <c r="Y13" s="477" t="s">
        <v>853</v>
      </c>
      <c r="Z13" s="477" t="s">
        <v>737</v>
      </c>
      <c r="AA13" s="477" t="s">
        <v>738</v>
      </c>
      <c r="AB13" s="506" t="s">
        <v>854</v>
      </c>
      <c r="AC13" s="477" t="s">
        <v>855</v>
      </c>
      <c r="AD13" s="477" t="s">
        <v>856</v>
      </c>
      <c r="AE13" s="477" t="s">
        <v>753</v>
      </c>
      <c r="AF13" s="477" t="s">
        <v>857</v>
      </c>
      <c r="AG13" s="477" t="s">
        <v>858</v>
      </c>
      <c r="AH13" s="477" t="s">
        <v>726</v>
      </c>
      <c r="AI13" s="479">
        <v>130507157</v>
      </c>
      <c r="AJ13" s="479">
        <v>0</v>
      </c>
      <c r="AK13" s="479">
        <v>0</v>
      </c>
      <c r="AL13" s="479">
        <v>130507157</v>
      </c>
      <c r="AM13" s="479">
        <v>130507157</v>
      </c>
      <c r="AN13" s="479">
        <f t="shared" si="3"/>
        <v>0</v>
      </c>
      <c r="AO13" s="477" t="s">
        <v>859</v>
      </c>
      <c r="AP13" s="477" t="s">
        <v>702</v>
      </c>
      <c r="AQ13" s="477" t="s">
        <v>860</v>
      </c>
      <c r="AR13" s="477" t="s">
        <v>702</v>
      </c>
      <c r="AS13" s="478">
        <v>44564</v>
      </c>
      <c r="AT13" s="476"/>
      <c r="AU13" s="480" t="s">
        <v>861</v>
      </c>
      <c r="AV13" s="514">
        <f t="shared" si="4"/>
        <v>130507157</v>
      </c>
      <c r="AW13" s="514">
        <v>0</v>
      </c>
      <c r="AX13" s="514">
        <v>0</v>
      </c>
      <c r="AY13" s="523">
        <f t="shared" si="0"/>
        <v>130507157</v>
      </c>
      <c r="AZ13" s="519"/>
      <c r="BA13" s="514">
        <f>120066584.44+10440572.56</f>
        <v>130507157</v>
      </c>
      <c r="BB13" s="514">
        <v>0</v>
      </c>
      <c r="BC13" s="514"/>
      <c r="BD13" s="523">
        <f t="shared" si="1"/>
        <v>130507157</v>
      </c>
      <c r="BE13" s="519"/>
      <c r="BF13" s="523">
        <f t="shared" si="2"/>
        <v>0</v>
      </c>
      <c r="BG13" s="457"/>
      <c r="BH13" s="276"/>
      <c r="BJ13" s="484"/>
      <c r="BK13" s="484"/>
      <c r="BL13" s="484"/>
      <c r="BM13" s="484"/>
      <c r="BN13" s="484"/>
    </row>
    <row r="14" spans="1:66">
      <c r="A14" s="279" t="s">
        <v>862</v>
      </c>
      <c r="B14" s="279">
        <v>7673</v>
      </c>
      <c r="C14" s="505" t="s">
        <v>701</v>
      </c>
      <c r="D14" s="506" t="s">
        <v>702</v>
      </c>
      <c r="E14" s="509">
        <v>44562</v>
      </c>
      <c r="F14" s="509">
        <v>44620</v>
      </c>
      <c r="G14" s="506" t="s">
        <v>703</v>
      </c>
      <c r="H14" s="509">
        <v>44562</v>
      </c>
      <c r="I14" s="506" t="s">
        <v>744</v>
      </c>
      <c r="J14" s="477" t="s">
        <v>745</v>
      </c>
      <c r="K14" s="506" t="s">
        <v>863</v>
      </c>
      <c r="L14" s="509">
        <v>44319</v>
      </c>
      <c r="M14" s="509">
        <v>44377</v>
      </c>
      <c r="N14" s="506" t="s">
        <v>864</v>
      </c>
      <c r="O14" s="506" t="s">
        <v>708</v>
      </c>
      <c r="P14" s="477" t="s">
        <v>709</v>
      </c>
      <c r="Q14" s="506" t="s">
        <v>865</v>
      </c>
      <c r="R14" s="506" t="s">
        <v>866</v>
      </c>
      <c r="S14" s="477" t="s">
        <v>867</v>
      </c>
      <c r="T14" s="477" t="s">
        <v>713</v>
      </c>
      <c r="U14" s="477" t="s">
        <v>414</v>
      </c>
      <c r="V14" s="477" t="s">
        <v>714</v>
      </c>
      <c r="W14" s="477" t="s">
        <v>715</v>
      </c>
      <c r="X14" s="477" t="s">
        <v>751</v>
      </c>
      <c r="Y14" s="477" t="s">
        <v>492</v>
      </c>
      <c r="Z14" s="477" t="s">
        <v>737</v>
      </c>
      <c r="AA14" s="477" t="s">
        <v>738</v>
      </c>
      <c r="AB14" s="506" t="s">
        <v>720</v>
      </c>
      <c r="AC14" s="477" t="s">
        <v>721</v>
      </c>
      <c r="AD14" s="477" t="s">
        <v>752</v>
      </c>
      <c r="AE14" s="477" t="s">
        <v>753</v>
      </c>
      <c r="AF14" s="477" t="s">
        <v>754</v>
      </c>
      <c r="AG14" s="477" t="s">
        <v>755</v>
      </c>
      <c r="AH14" s="477" t="s">
        <v>726</v>
      </c>
      <c r="AI14" s="479">
        <v>4167765</v>
      </c>
      <c r="AJ14" s="479">
        <v>4167765</v>
      </c>
      <c r="AK14" s="479">
        <v>0</v>
      </c>
      <c r="AL14" s="479">
        <f>AI14-AJ14</f>
        <v>0</v>
      </c>
      <c r="AM14" s="479">
        <v>0</v>
      </c>
      <c r="AN14" s="479">
        <f t="shared" si="3"/>
        <v>0</v>
      </c>
      <c r="AO14" s="477" t="s">
        <v>868</v>
      </c>
      <c r="AP14" s="477" t="s">
        <v>702</v>
      </c>
      <c r="AQ14" s="477" t="s">
        <v>869</v>
      </c>
      <c r="AR14" s="477" t="s">
        <v>702</v>
      </c>
      <c r="AS14" s="478">
        <v>44564</v>
      </c>
      <c r="AT14" s="476"/>
      <c r="AU14" s="480" t="s">
        <v>408</v>
      </c>
      <c r="AV14" s="514">
        <f t="shared" si="4"/>
        <v>0</v>
      </c>
      <c r="AW14" s="514">
        <v>0</v>
      </c>
      <c r="AX14" s="514">
        <v>0</v>
      </c>
      <c r="AY14" s="523">
        <f t="shared" si="0"/>
        <v>0</v>
      </c>
      <c r="AZ14" s="519"/>
      <c r="BA14" s="514">
        <v>0</v>
      </c>
      <c r="BB14" s="514">
        <v>0</v>
      </c>
      <c r="BC14" s="514">
        <v>0</v>
      </c>
      <c r="BD14" s="523">
        <f t="shared" si="1"/>
        <v>0</v>
      </c>
      <c r="BE14" s="519"/>
      <c r="BF14" s="523">
        <f t="shared" si="2"/>
        <v>0</v>
      </c>
      <c r="BG14" s="457"/>
      <c r="BH14" s="276"/>
      <c r="BJ14" s="484"/>
      <c r="BK14" s="484"/>
      <c r="BL14" s="484"/>
      <c r="BM14" s="484"/>
      <c r="BN14" s="484"/>
    </row>
    <row r="15" spans="1:66" s="276" customFormat="1">
      <c r="A15" s="541"/>
      <c r="B15" s="541"/>
      <c r="C15" s="533"/>
      <c r="D15" s="533"/>
      <c r="E15" s="533"/>
      <c r="F15" s="533"/>
      <c r="G15" s="533"/>
      <c r="H15" s="533"/>
      <c r="I15" s="533"/>
      <c r="J15" s="541"/>
      <c r="K15" s="533"/>
      <c r="L15" s="533"/>
      <c r="M15" s="533"/>
      <c r="N15" s="533"/>
      <c r="O15" s="533"/>
      <c r="P15" s="541"/>
      <c r="Q15" s="533"/>
      <c r="R15" s="533"/>
      <c r="S15" s="541"/>
      <c r="T15" s="541"/>
      <c r="U15" s="541"/>
      <c r="V15" s="541"/>
      <c r="W15" s="541"/>
      <c r="X15" s="541"/>
      <c r="Y15" s="541"/>
      <c r="Z15" s="541"/>
      <c r="AA15" s="541"/>
      <c r="AB15" s="533"/>
      <c r="AC15" s="541"/>
      <c r="AD15" s="541"/>
      <c r="AE15" s="541"/>
      <c r="AF15" s="541"/>
      <c r="AG15" s="541"/>
      <c r="AH15" s="541"/>
      <c r="AI15" s="542">
        <f t="shared" ref="AI15:AN15" si="5">SUM(AI3:AI14)</f>
        <v>561068415</v>
      </c>
      <c r="AJ15" s="542">
        <f t="shared" si="5"/>
        <v>8927761</v>
      </c>
      <c r="AK15" s="542">
        <f t="shared" si="5"/>
        <v>0</v>
      </c>
      <c r="AL15" s="542">
        <f>SUM(AL3:AL14)</f>
        <v>552140654</v>
      </c>
      <c r="AM15" s="542">
        <f t="shared" si="5"/>
        <v>348745846</v>
      </c>
      <c r="AN15" s="542">
        <f t="shared" si="5"/>
        <v>203394808</v>
      </c>
      <c r="AO15" s="541"/>
      <c r="AP15" s="541"/>
      <c r="AQ15" s="541"/>
      <c r="AR15" s="541"/>
      <c r="AS15" s="541"/>
      <c r="AT15" s="541"/>
      <c r="AU15" s="541"/>
      <c r="AV15" s="543"/>
      <c r="AW15" s="543"/>
      <c r="AX15" s="543"/>
      <c r="AY15" s="543"/>
      <c r="AZ15" s="544"/>
      <c r="BA15" s="543"/>
      <c r="BB15" s="543"/>
      <c r="BC15" s="543"/>
      <c r="BD15" s="543"/>
      <c r="BE15" s="544"/>
      <c r="BF15" s="543"/>
      <c r="BG15" s="457"/>
      <c r="BJ15" s="540"/>
      <c r="BK15" s="540"/>
      <c r="BL15" s="540"/>
      <c r="BM15" s="540"/>
      <c r="BN15" s="540"/>
    </row>
    <row r="16" spans="1:66">
      <c r="A16" s="280"/>
      <c r="B16" s="280"/>
      <c r="C16" s="505"/>
      <c r="D16" s="505"/>
      <c r="E16" s="505"/>
      <c r="F16" s="505"/>
      <c r="G16" s="505"/>
      <c r="H16" s="505"/>
      <c r="I16" s="505"/>
      <c r="J16" s="280"/>
      <c r="K16" s="505"/>
      <c r="L16" s="505"/>
      <c r="M16" s="505"/>
      <c r="N16" s="505"/>
      <c r="O16" s="505"/>
      <c r="P16" s="280"/>
      <c r="Q16" s="505"/>
      <c r="R16" s="505"/>
      <c r="S16" s="280"/>
      <c r="T16" s="280"/>
      <c r="U16" s="280"/>
      <c r="V16" s="280"/>
      <c r="W16" s="280"/>
      <c r="X16" s="280"/>
      <c r="Y16" s="280"/>
      <c r="Z16" s="280"/>
      <c r="AA16" s="280"/>
      <c r="AB16" s="505"/>
      <c r="AC16" s="280"/>
      <c r="AD16" s="280"/>
      <c r="AE16" s="280"/>
      <c r="AF16" s="280"/>
      <c r="AG16" s="280"/>
      <c r="AH16" s="280"/>
      <c r="AI16" s="280"/>
      <c r="AJ16" s="280"/>
      <c r="AK16" s="280"/>
      <c r="AL16" s="280"/>
      <c r="AM16" s="280"/>
      <c r="AN16" s="280"/>
      <c r="AO16" s="280"/>
      <c r="AP16" s="280"/>
      <c r="AQ16" s="280"/>
      <c r="AR16" s="281">
        <v>5753056358</v>
      </c>
      <c r="AS16" s="280"/>
      <c r="AT16" s="280"/>
      <c r="AU16" s="280"/>
      <c r="AV16" s="516">
        <f>SUM(AV3:AV14)</f>
        <v>505711651.29999995</v>
      </c>
      <c r="AW16" s="516">
        <f t="shared" ref="AW16:AY16" si="6">SUM(AW3:AW14)</f>
        <v>24000003</v>
      </c>
      <c r="AX16" s="516">
        <f t="shared" si="6"/>
        <v>22428999.699999999</v>
      </c>
      <c r="AY16" s="516">
        <f t="shared" si="6"/>
        <v>552140654</v>
      </c>
      <c r="AZ16" s="524"/>
      <c r="BA16" s="516">
        <f>SUM(BA3:BA14)</f>
        <v>308768580.60000002</v>
      </c>
      <c r="BB16" s="516">
        <f t="shared" ref="BB16:BD16" si="7">SUM(BB3:BB14)</f>
        <v>24000003</v>
      </c>
      <c r="BC16" s="516">
        <f t="shared" si="7"/>
        <v>15977262.4</v>
      </c>
      <c r="BD16" s="516">
        <f t="shared" si="7"/>
        <v>348745846</v>
      </c>
      <c r="BE16" s="524">
        <f t="shared" ref="BE16:BF16" si="8">SUM(BE3:BE15)</f>
        <v>0</v>
      </c>
      <c r="BF16" s="515">
        <f t="shared" si="8"/>
        <v>0</v>
      </c>
      <c r="BG16" s="457"/>
      <c r="BJ16" s="484">
        <f>SUM(BJ3:BJ15)</f>
        <v>4533333</v>
      </c>
      <c r="BK16" s="484">
        <f>SUM(BK3:BK15)</f>
        <v>0</v>
      </c>
      <c r="BL16" s="484">
        <f>SUM(BL3:BL15)</f>
        <v>6507926.4249999998</v>
      </c>
      <c r="BM16" s="484">
        <f>SUM(BM3:BM15)</f>
        <v>7591826.8499999996</v>
      </c>
      <c r="BN16" s="484">
        <f>SUM(BN3:BN15)</f>
        <v>0</v>
      </c>
    </row>
    <row r="18" spans="39:59">
      <c r="AM18" s="384">
        <f>AM5-145531940</f>
        <v>0</v>
      </c>
      <c r="AN18" s="338">
        <v>0.94</v>
      </c>
      <c r="AO18" s="682">
        <f>AM18*AN18</f>
        <v>0</v>
      </c>
      <c r="BD18" s="515"/>
      <c r="BE18" s="524"/>
      <c r="BF18" s="515"/>
      <c r="BG18" s="457"/>
    </row>
    <row r="19" spans="39:59">
      <c r="AN19" s="338">
        <v>0.06</v>
      </c>
      <c r="AO19" s="682">
        <f>AM18*AN19</f>
        <v>0</v>
      </c>
      <c r="BE19" s="524"/>
      <c r="BF19" s="515"/>
    </row>
    <row r="32" spans="39:59">
      <c r="AV32" s="1164" t="s">
        <v>653</v>
      </c>
      <c r="AW32" s="1164"/>
      <c r="AX32" s="1164"/>
      <c r="BA32" s="1164" t="s">
        <v>654</v>
      </c>
      <c r="BB32" s="1164"/>
      <c r="BC32" s="1164"/>
    </row>
    <row r="33" spans="1:59" s="72" customFormat="1" ht="60">
      <c r="D33" s="481" t="s">
        <v>658</v>
      </c>
      <c r="E33" s="481" t="s">
        <v>659</v>
      </c>
      <c r="F33" s="481" t="s">
        <v>660</v>
      </c>
      <c r="G33" s="481" t="s">
        <v>661</v>
      </c>
      <c r="H33" s="481" t="s">
        <v>662</v>
      </c>
      <c r="I33" s="481" t="s">
        <v>663</v>
      </c>
      <c r="J33" s="481" t="s">
        <v>664</v>
      </c>
      <c r="K33" s="482" t="s">
        <v>665</v>
      </c>
      <c r="L33" s="481" t="s">
        <v>659</v>
      </c>
      <c r="M33" s="481" t="s">
        <v>660</v>
      </c>
      <c r="N33" s="481" t="s">
        <v>666</v>
      </c>
      <c r="O33" s="481" t="s">
        <v>667</v>
      </c>
      <c r="P33" s="481" t="s">
        <v>605</v>
      </c>
      <c r="Q33" s="481" t="s">
        <v>668</v>
      </c>
      <c r="R33" s="481" t="s">
        <v>669</v>
      </c>
      <c r="S33" s="481" t="s">
        <v>670</v>
      </c>
      <c r="T33" s="481" t="s">
        <v>671</v>
      </c>
      <c r="U33" s="481" t="s">
        <v>672</v>
      </c>
      <c r="V33" s="481" t="s">
        <v>673</v>
      </c>
      <c r="W33" s="481" t="s">
        <v>674</v>
      </c>
      <c r="X33" s="481" t="s">
        <v>675</v>
      </c>
      <c r="Y33" s="481" t="s">
        <v>676</v>
      </c>
      <c r="Z33" s="481" t="s">
        <v>677</v>
      </c>
      <c r="AA33" s="481" t="s">
        <v>678</v>
      </c>
      <c r="AB33" s="481" t="s">
        <v>679</v>
      </c>
      <c r="AC33" s="481" t="s">
        <v>605</v>
      </c>
      <c r="AD33" s="481" t="s">
        <v>680</v>
      </c>
      <c r="AE33" s="481" t="s">
        <v>681</v>
      </c>
      <c r="AF33" s="481" t="s">
        <v>682</v>
      </c>
      <c r="AG33" s="481" t="s">
        <v>683</v>
      </c>
      <c r="AH33" s="481" t="s">
        <v>684</v>
      </c>
      <c r="AI33" s="481" t="s">
        <v>685</v>
      </c>
      <c r="AJ33" s="481" t="s">
        <v>686</v>
      </c>
      <c r="AK33" s="481" t="s">
        <v>687</v>
      </c>
      <c r="AL33" s="481" t="s">
        <v>688</v>
      </c>
      <c r="AM33" s="481" t="s">
        <v>689</v>
      </c>
      <c r="AN33" s="481" t="s">
        <v>690</v>
      </c>
      <c r="AO33" s="481" t="s">
        <v>691</v>
      </c>
      <c r="AP33" s="481" t="s">
        <v>692</v>
      </c>
      <c r="AQ33" s="481" t="s">
        <v>693</v>
      </c>
      <c r="AR33" s="481" t="s">
        <v>694</v>
      </c>
      <c r="AS33" s="481" t="s">
        <v>695</v>
      </c>
      <c r="AU33" s="435"/>
      <c r="AV33" s="513" t="s">
        <v>408</v>
      </c>
      <c r="AW33" s="513" t="s">
        <v>409</v>
      </c>
      <c r="AX33" s="513" t="s">
        <v>410</v>
      </c>
      <c r="AY33" s="522"/>
      <c r="AZ33" s="525"/>
      <c r="BA33" s="513" t="s">
        <v>408</v>
      </c>
      <c r="BB33" s="513" t="s">
        <v>409</v>
      </c>
      <c r="BC33" s="513" t="s">
        <v>410</v>
      </c>
      <c r="BD33" s="522"/>
      <c r="BE33" s="525"/>
      <c r="BF33" s="522"/>
      <c r="BG33" s="471"/>
    </row>
    <row r="34" spans="1:59" s="276" customFormat="1">
      <c r="A34" s="476"/>
      <c r="B34" s="476">
        <f>K34-K3</f>
        <v>0</v>
      </c>
      <c r="C34" s="511"/>
      <c r="D34" s="506" t="s">
        <v>702</v>
      </c>
      <c r="E34" s="509">
        <v>44562</v>
      </c>
      <c r="F34" s="509">
        <v>44620</v>
      </c>
      <c r="G34" s="506" t="s">
        <v>703</v>
      </c>
      <c r="H34" s="509">
        <v>44562</v>
      </c>
      <c r="I34" s="506" t="s">
        <v>704</v>
      </c>
      <c r="J34" s="477" t="s">
        <v>705</v>
      </c>
      <c r="K34" s="506" t="s">
        <v>706</v>
      </c>
      <c r="L34" s="509">
        <v>44230</v>
      </c>
      <c r="M34" s="509">
        <v>44561</v>
      </c>
      <c r="N34" s="506" t="s">
        <v>707</v>
      </c>
      <c r="O34" s="506" t="s">
        <v>708</v>
      </c>
      <c r="P34" s="477" t="s">
        <v>709</v>
      </c>
      <c r="Q34" s="506" t="s">
        <v>710</v>
      </c>
      <c r="R34" s="506" t="s">
        <v>711</v>
      </c>
      <c r="S34" s="477" t="s">
        <v>712</v>
      </c>
      <c r="T34" s="477" t="s">
        <v>713</v>
      </c>
      <c r="U34" s="477" t="s">
        <v>414</v>
      </c>
      <c r="V34" s="477" t="s">
        <v>714</v>
      </c>
      <c r="W34" s="477" t="s">
        <v>715</v>
      </c>
      <c r="X34" s="477" t="s">
        <v>716</v>
      </c>
      <c r="Y34" s="477" t="s">
        <v>717</v>
      </c>
      <c r="Z34" s="477" t="s">
        <v>718</v>
      </c>
      <c r="AA34" s="477" t="s">
        <v>719</v>
      </c>
      <c r="AB34" s="506" t="s">
        <v>720</v>
      </c>
      <c r="AC34" s="477" t="s">
        <v>721</v>
      </c>
      <c r="AD34" s="477" t="s">
        <v>722</v>
      </c>
      <c r="AE34" s="477" t="s">
        <v>723</v>
      </c>
      <c r="AF34" s="477" t="s">
        <v>724</v>
      </c>
      <c r="AG34" s="477" t="s">
        <v>725</v>
      </c>
      <c r="AH34" s="477" t="s">
        <v>726</v>
      </c>
      <c r="AI34" s="479">
        <v>5250000</v>
      </c>
      <c r="AJ34" s="479">
        <v>0</v>
      </c>
      <c r="AK34" s="479">
        <v>0</v>
      </c>
      <c r="AL34" s="479">
        <v>5250000</v>
      </c>
      <c r="AM34" s="479">
        <v>0</v>
      </c>
      <c r="AN34" s="479">
        <f>AI34-AJ34-AK34-AM34</f>
        <v>5250000</v>
      </c>
      <c r="AO34" s="477" t="s">
        <v>727</v>
      </c>
      <c r="AP34" s="477" t="s">
        <v>702</v>
      </c>
      <c r="AQ34" s="477" t="s">
        <v>728</v>
      </c>
      <c r="AR34" s="477" t="s">
        <v>702</v>
      </c>
      <c r="AS34" s="478">
        <v>44564</v>
      </c>
      <c r="AT34" s="476"/>
      <c r="AU34" s="480" t="s">
        <v>408</v>
      </c>
      <c r="AV34" s="514">
        <f>AL34</f>
        <v>5250000</v>
      </c>
      <c r="AW34" s="514">
        <v>0</v>
      </c>
      <c r="AX34" s="514">
        <v>0</v>
      </c>
      <c r="AY34" s="523">
        <f t="shared" ref="AY34:AY45" si="9">SUM(AV34:AX34)</f>
        <v>5250000</v>
      </c>
      <c r="AZ34" s="526"/>
      <c r="BA34" s="514">
        <f>AM34</f>
        <v>0</v>
      </c>
      <c r="BB34" s="514">
        <v>0</v>
      </c>
      <c r="BC34" s="514">
        <v>0</v>
      </c>
      <c r="BD34" s="523">
        <f t="shared" ref="BD34:BD47" si="10">SUM(BA34:BC34)</f>
        <v>0</v>
      </c>
      <c r="BE34" s="526"/>
      <c r="BF34" s="523">
        <f>BD34-AM34</f>
        <v>0</v>
      </c>
      <c r="BG34" s="457"/>
    </row>
    <row r="35" spans="1:59" s="276" customFormat="1">
      <c r="A35" s="476"/>
      <c r="B35" s="476">
        <f t="shared" ref="B35:B45" si="11">K35-K4</f>
        <v>0</v>
      </c>
      <c r="C35" s="511"/>
      <c r="D35" s="506" t="s">
        <v>702</v>
      </c>
      <c r="E35" s="509">
        <v>44562</v>
      </c>
      <c r="F35" s="509">
        <v>44620</v>
      </c>
      <c r="G35" s="506" t="s">
        <v>703</v>
      </c>
      <c r="H35" s="509">
        <v>44562</v>
      </c>
      <c r="I35" s="506" t="s">
        <v>730</v>
      </c>
      <c r="J35" s="477" t="s">
        <v>731</v>
      </c>
      <c r="K35" s="506" t="s">
        <v>732</v>
      </c>
      <c r="L35" s="509">
        <v>44561</v>
      </c>
      <c r="M35" s="509">
        <v>44561</v>
      </c>
      <c r="N35" s="506" t="s">
        <v>733</v>
      </c>
      <c r="O35" s="506" t="s">
        <v>708</v>
      </c>
      <c r="P35" s="477" t="s">
        <v>709</v>
      </c>
      <c r="Q35" s="506" t="s">
        <v>734</v>
      </c>
      <c r="R35" s="506" t="s">
        <v>735</v>
      </c>
      <c r="S35" s="477" t="s">
        <v>736</v>
      </c>
      <c r="T35" s="477" t="s">
        <v>713</v>
      </c>
      <c r="U35" s="477" t="s">
        <v>414</v>
      </c>
      <c r="V35" s="477" t="s">
        <v>714</v>
      </c>
      <c r="W35" s="477" t="s">
        <v>715</v>
      </c>
      <c r="X35" s="477" t="s">
        <v>716</v>
      </c>
      <c r="Y35" s="477" t="s">
        <v>717</v>
      </c>
      <c r="Z35" s="477" t="s">
        <v>737</v>
      </c>
      <c r="AA35" s="477" t="s">
        <v>738</v>
      </c>
      <c r="AB35" s="506" t="s">
        <v>720</v>
      </c>
      <c r="AC35" s="477" t="s">
        <v>721</v>
      </c>
      <c r="AD35" s="477" t="s">
        <v>739</v>
      </c>
      <c r="AE35" s="477" t="s">
        <v>723</v>
      </c>
      <c r="AF35" s="477" t="s">
        <v>740</v>
      </c>
      <c r="AG35" s="477" t="s">
        <v>239</v>
      </c>
      <c r="AH35" s="477" t="s">
        <v>726</v>
      </c>
      <c r="AI35" s="479">
        <v>2833333</v>
      </c>
      <c r="AJ35" s="479">
        <v>0</v>
      </c>
      <c r="AK35" s="479">
        <v>0</v>
      </c>
      <c r="AL35" s="479">
        <v>2833333</v>
      </c>
      <c r="AM35" s="479">
        <v>2833333</v>
      </c>
      <c r="AN35" s="479">
        <f t="shared" ref="AN35:AN45" si="12">AI35-AJ35-AK35-AM35</f>
        <v>0</v>
      </c>
      <c r="AO35" s="477" t="s">
        <v>741</v>
      </c>
      <c r="AP35" s="477" t="s">
        <v>702</v>
      </c>
      <c r="AQ35" s="477" t="s">
        <v>742</v>
      </c>
      <c r="AR35" s="477" t="s">
        <v>702</v>
      </c>
      <c r="AS35" s="478">
        <v>44564</v>
      </c>
      <c r="AT35" s="476"/>
      <c r="AU35" s="480" t="s">
        <v>410</v>
      </c>
      <c r="AV35" s="514">
        <v>0</v>
      </c>
      <c r="AW35" s="514">
        <v>0</v>
      </c>
      <c r="AX35" s="514">
        <v>2833333</v>
      </c>
      <c r="AY35" s="523">
        <f t="shared" si="9"/>
        <v>2833333</v>
      </c>
      <c r="AZ35" s="526"/>
      <c r="BA35" s="514">
        <v>0</v>
      </c>
      <c r="BB35" s="514">
        <v>0</v>
      </c>
      <c r="BC35" s="514">
        <f>AM35</f>
        <v>2833333</v>
      </c>
      <c r="BD35" s="523">
        <f t="shared" si="10"/>
        <v>2833333</v>
      </c>
      <c r="BE35" s="526"/>
      <c r="BF35" s="523">
        <f t="shared" ref="BF35:BF45" si="13">BD35-AM35</f>
        <v>0</v>
      </c>
      <c r="BG35" s="457"/>
    </row>
    <row r="36" spans="1:59" s="276" customFormat="1">
      <c r="A36" s="476"/>
      <c r="B36" s="476">
        <f t="shared" si="11"/>
        <v>0</v>
      </c>
      <c r="C36" s="511"/>
      <c r="D36" s="506" t="s">
        <v>702</v>
      </c>
      <c r="E36" s="509">
        <v>44562</v>
      </c>
      <c r="F36" s="509">
        <v>44620</v>
      </c>
      <c r="G36" s="506" t="s">
        <v>703</v>
      </c>
      <c r="H36" s="509">
        <v>44562</v>
      </c>
      <c r="I36" s="506" t="s">
        <v>744</v>
      </c>
      <c r="J36" s="477" t="s">
        <v>745</v>
      </c>
      <c r="K36" s="506" t="s">
        <v>746</v>
      </c>
      <c r="L36" s="509">
        <v>44378</v>
      </c>
      <c r="M36" s="509">
        <v>44561</v>
      </c>
      <c r="N36" s="506" t="s">
        <v>747</v>
      </c>
      <c r="O36" s="506" t="s">
        <v>708</v>
      </c>
      <c r="P36" s="477" t="s">
        <v>709</v>
      </c>
      <c r="Q36" s="506" t="s">
        <v>748</v>
      </c>
      <c r="R36" s="506" t="s">
        <v>749</v>
      </c>
      <c r="S36" s="477" t="s">
        <v>750</v>
      </c>
      <c r="T36" s="477" t="s">
        <v>713</v>
      </c>
      <c r="U36" s="477" t="s">
        <v>414</v>
      </c>
      <c r="V36" s="477" t="s">
        <v>714</v>
      </c>
      <c r="W36" s="477" t="s">
        <v>715</v>
      </c>
      <c r="X36" s="477" t="s">
        <v>751</v>
      </c>
      <c r="Y36" s="477" t="s">
        <v>492</v>
      </c>
      <c r="Z36" s="477" t="s">
        <v>737</v>
      </c>
      <c r="AA36" s="477" t="s">
        <v>738</v>
      </c>
      <c r="AB36" s="506" t="s">
        <v>720</v>
      </c>
      <c r="AC36" s="477" t="s">
        <v>721</v>
      </c>
      <c r="AD36" s="477" t="s">
        <v>752</v>
      </c>
      <c r="AE36" s="477" t="s">
        <v>753</v>
      </c>
      <c r="AF36" s="477" t="s">
        <v>754</v>
      </c>
      <c r="AG36" s="477" t="s">
        <v>755</v>
      </c>
      <c r="AH36" s="477" t="s">
        <v>726</v>
      </c>
      <c r="AI36" s="479">
        <v>253060895</v>
      </c>
      <c r="AJ36" s="479">
        <v>0</v>
      </c>
      <c r="AK36" s="479">
        <v>0</v>
      </c>
      <c r="AL36" s="479">
        <v>253060895</v>
      </c>
      <c r="AM36" s="479">
        <v>88461332</v>
      </c>
      <c r="AN36" s="479">
        <f t="shared" si="12"/>
        <v>164599563</v>
      </c>
      <c r="AO36" s="477" t="s">
        <v>756</v>
      </c>
      <c r="AP36" s="477" t="s">
        <v>702</v>
      </c>
      <c r="AQ36" s="477" t="s">
        <v>757</v>
      </c>
      <c r="AR36" s="477" t="s">
        <v>702</v>
      </c>
      <c r="AS36" s="478">
        <v>44564</v>
      </c>
      <c r="AT36" s="476"/>
      <c r="AU36" s="480" t="s">
        <v>408</v>
      </c>
      <c r="AV36" s="514">
        <f>AL36*94%</f>
        <v>237877241.29999998</v>
      </c>
      <c r="AW36" s="514">
        <v>0</v>
      </c>
      <c r="AX36" s="514">
        <f>AL36*6%</f>
        <v>15183653.699999999</v>
      </c>
      <c r="AY36" s="523">
        <f t="shared" si="9"/>
        <v>253060894.99999997</v>
      </c>
      <c r="AZ36" s="526"/>
      <c r="BA36" s="514">
        <f>AM36*94%</f>
        <v>83153652.079999998</v>
      </c>
      <c r="BB36" s="514">
        <v>0</v>
      </c>
      <c r="BC36" s="514">
        <f>AM36*6%</f>
        <v>5307679.92</v>
      </c>
      <c r="BD36" s="523">
        <f t="shared" si="10"/>
        <v>88461332</v>
      </c>
      <c r="BE36" s="526"/>
      <c r="BF36" s="523">
        <f t="shared" si="13"/>
        <v>0</v>
      </c>
      <c r="BG36" s="457"/>
    </row>
    <row r="37" spans="1:59" s="276" customFormat="1">
      <c r="A37" s="476"/>
      <c r="B37" s="476">
        <f t="shared" si="11"/>
        <v>0</v>
      </c>
      <c r="C37" s="511"/>
      <c r="D37" s="506" t="s">
        <v>702</v>
      </c>
      <c r="E37" s="509">
        <v>44562</v>
      </c>
      <c r="F37" s="509">
        <v>44620</v>
      </c>
      <c r="G37" s="506" t="s">
        <v>703</v>
      </c>
      <c r="H37" s="509">
        <v>44562</v>
      </c>
      <c r="I37" s="506" t="s">
        <v>730</v>
      </c>
      <c r="J37" s="477" t="s">
        <v>731</v>
      </c>
      <c r="K37" s="506" t="s">
        <v>759</v>
      </c>
      <c r="L37" s="509">
        <v>44561</v>
      </c>
      <c r="M37" s="509">
        <v>44561</v>
      </c>
      <c r="N37" s="506" t="s">
        <v>733</v>
      </c>
      <c r="O37" s="506" t="s">
        <v>708</v>
      </c>
      <c r="P37" s="477" t="s">
        <v>709</v>
      </c>
      <c r="Q37" s="506" t="s">
        <v>760</v>
      </c>
      <c r="R37" s="506" t="s">
        <v>761</v>
      </c>
      <c r="S37" s="477" t="s">
        <v>762</v>
      </c>
      <c r="T37" s="477" t="s">
        <v>713</v>
      </c>
      <c r="U37" s="477" t="s">
        <v>414</v>
      </c>
      <c r="V37" s="477" t="s">
        <v>714</v>
      </c>
      <c r="W37" s="477" t="s">
        <v>715</v>
      </c>
      <c r="X37" s="477" t="s">
        <v>716</v>
      </c>
      <c r="Y37" s="477" t="s">
        <v>717</v>
      </c>
      <c r="Z37" s="477" t="s">
        <v>737</v>
      </c>
      <c r="AA37" s="477" t="s">
        <v>738</v>
      </c>
      <c r="AB37" s="506" t="s">
        <v>720</v>
      </c>
      <c r="AC37" s="477" t="s">
        <v>721</v>
      </c>
      <c r="AD37" s="477" t="s">
        <v>763</v>
      </c>
      <c r="AE37" s="477" t="s">
        <v>723</v>
      </c>
      <c r="AF37" s="477" t="s">
        <v>764</v>
      </c>
      <c r="AG37" s="477" t="s">
        <v>235</v>
      </c>
      <c r="AH37" s="477" t="s">
        <v>726</v>
      </c>
      <c r="AI37" s="479">
        <v>1700000</v>
      </c>
      <c r="AJ37" s="479">
        <v>0</v>
      </c>
      <c r="AK37" s="479">
        <v>0</v>
      </c>
      <c r="AL37" s="479">
        <v>1700000</v>
      </c>
      <c r="AM37" s="479">
        <v>1700000</v>
      </c>
      <c r="AN37" s="479">
        <f t="shared" si="12"/>
        <v>0</v>
      </c>
      <c r="AO37" s="477" t="s">
        <v>765</v>
      </c>
      <c r="AP37" s="477" t="s">
        <v>702</v>
      </c>
      <c r="AQ37" s="477" t="s">
        <v>766</v>
      </c>
      <c r="AR37" s="477" t="s">
        <v>702</v>
      </c>
      <c r="AS37" s="478">
        <v>44564</v>
      </c>
      <c r="AT37" s="476"/>
      <c r="AU37" s="480" t="s">
        <v>410</v>
      </c>
      <c r="AV37" s="514">
        <v>0</v>
      </c>
      <c r="AW37" s="514">
        <v>0</v>
      </c>
      <c r="AX37" s="514">
        <v>1700000</v>
      </c>
      <c r="AY37" s="523">
        <f t="shared" si="9"/>
        <v>1700000</v>
      </c>
      <c r="AZ37" s="526"/>
      <c r="BA37" s="514">
        <v>0</v>
      </c>
      <c r="BB37" s="514">
        <v>0</v>
      </c>
      <c r="BC37" s="514">
        <v>1700000</v>
      </c>
      <c r="BD37" s="523">
        <f t="shared" si="10"/>
        <v>1700000</v>
      </c>
      <c r="BE37" s="526"/>
      <c r="BF37" s="523">
        <f t="shared" si="13"/>
        <v>0</v>
      </c>
      <c r="BG37" s="457"/>
    </row>
    <row r="38" spans="1:59" s="276" customFormat="1">
      <c r="A38" s="476"/>
      <c r="B38" s="476">
        <f t="shared" si="11"/>
        <v>0</v>
      </c>
      <c r="C38" s="511"/>
      <c r="D38" s="506" t="s">
        <v>702</v>
      </c>
      <c r="E38" s="509">
        <v>44562</v>
      </c>
      <c r="F38" s="509">
        <v>44620</v>
      </c>
      <c r="G38" s="506" t="s">
        <v>703</v>
      </c>
      <c r="H38" s="509">
        <v>44562</v>
      </c>
      <c r="I38" s="506" t="s">
        <v>768</v>
      </c>
      <c r="J38" s="477" t="s">
        <v>769</v>
      </c>
      <c r="K38" s="506" t="s">
        <v>770</v>
      </c>
      <c r="L38" s="509">
        <v>44411</v>
      </c>
      <c r="M38" s="509">
        <v>44561</v>
      </c>
      <c r="N38" s="506" t="s">
        <v>771</v>
      </c>
      <c r="O38" s="506" t="s">
        <v>708</v>
      </c>
      <c r="P38" s="477" t="s">
        <v>709</v>
      </c>
      <c r="Q38" s="506" t="s">
        <v>772</v>
      </c>
      <c r="R38" s="506" t="s">
        <v>773</v>
      </c>
      <c r="S38" s="477" t="s">
        <v>774</v>
      </c>
      <c r="T38" s="477" t="s">
        <v>713</v>
      </c>
      <c r="U38" s="477" t="s">
        <v>414</v>
      </c>
      <c r="V38" s="477" t="s">
        <v>714</v>
      </c>
      <c r="W38" s="477" t="s">
        <v>715</v>
      </c>
      <c r="X38" s="477" t="s">
        <v>751</v>
      </c>
      <c r="Y38" s="477" t="s">
        <v>492</v>
      </c>
      <c r="Z38" s="477" t="s">
        <v>737</v>
      </c>
      <c r="AA38" s="477" t="s">
        <v>738</v>
      </c>
      <c r="AB38" s="506" t="s">
        <v>775</v>
      </c>
      <c r="AC38" s="477" t="s">
        <v>776</v>
      </c>
      <c r="AD38" s="477" t="s">
        <v>777</v>
      </c>
      <c r="AE38" s="477" t="s">
        <v>753</v>
      </c>
      <c r="AF38" s="477" t="s">
        <v>778</v>
      </c>
      <c r="AG38" s="477" t="s">
        <v>779</v>
      </c>
      <c r="AH38" s="477" t="s">
        <v>726</v>
      </c>
      <c r="AI38" s="479">
        <v>2712013</v>
      </c>
      <c r="AJ38" s="479">
        <v>0</v>
      </c>
      <c r="AK38" s="479">
        <v>0</v>
      </c>
      <c r="AL38" s="479">
        <v>2712013</v>
      </c>
      <c r="AM38" s="479">
        <v>2712013</v>
      </c>
      <c r="AN38" s="479">
        <f t="shared" si="12"/>
        <v>0</v>
      </c>
      <c r="AO38" s="477" t="s">
        <v>780</v>
      </c>
      <c r="AP38" s="477" t="s">
        <v>702</v>
      </c>
      <c r="AQ38" s="477" t="s">
        <v>781</v>
      </c>
      <c r="AR38" s="477" t="s">
        <v>702</v>
      </c>
      <c r="AS38" s="478">
        <v>44564</v>
      </c>
      <c r="AT38" s="476"/>
      <c r="AU38" s="480" t="s">
        <v>410</v>
      </c>
      <c r="AV38" s="514">
        <v>0</v>
      </c>
      <c r="AW38" s="514">
        <v>0</v>
      </c>
      <c r="AX38" s="514">
        <v>2712013</v>
      </c>
      <c r="AY38" s="523">
        <f t="shared" si="9"/>
        <v>2712013</v>
      </c>
      <c r="AZ38" s="526"/>
      <c r="BA38" s="514">
        <v>0</v>
      </c>
      <c r="BB38" s="514">
        <v>0</v>
      </c>
      <c r="BC38" s="514">
        <v>2712013</v>
      </c>
      <c r="BD38" s="523">
        <f t="shared" si="10"/>
        <v>2712013</v>
      </c>
      <c r="BE38" s="526"/>
      <c r="BF38" s="523">
        <f t="shared" si="13"/>
        <v>0</v>
      </c>
      <c r="BG38" s="457"/>
    </row>
    <row r="39" spans="1:59">
      <c r="B39">
        <f t="shared" si="11"/>
        <v>0</v>
      </c>
      <c r="D39" s="507" t="s">
        <v>702</v>
      </c>
      <c r="E39" s="510">
        <v>44562</v>
      </c>
      <c r="F39" s="510">
        <v>44620</v>
      </c>
      <c r="G39" s="507" t="s">
        <v>703</v>
      </c>
      <c r="H39" s="510">
        <v>44562</v>
      </c>
      <c r="I39" s="507" t="s">
        <v>744</v>
      </c>
      <c r="J39" s="452" t="s">
        <v>745</v>
      </c>
      <c r="K39" s="507" t="s">
        <v>783</v>
      </c>
      <c r="L39" s="510">
        <v>44477</v>
      </c>
      <c r="M39" s="510">
        <v>44561</v>
      </c>
      <c r="N39" s="507" t="s">
        <v>784</v>
      </c>
      <c r="O39" s="507" t="s">
        <v>708</v>
      </c>
      <c r="P39" s="452" t="s">
        <v>709</v>
      </c>
      <c r="Q39" s="507" t="s">
        <v>785</v>
      </c>
      <c r="R39" s="507" t="s">
        <v>786</v>
      </c>
      <c r="S39" s="452" t="s">
        <v>787</v>
      </c>
      <c r="T39" s="452" t="s">
        <v>713</v>
      </c>
      <c r="U39" s="452" t="s">
        <v>414</v>
      </c>
      <c r="V39" s="452" t="s">
        <v>714</v>
      </c>
      <c r="W39" s="452" t="s">
        <v>715</v>
      </c>
      <c r="X39" s="452" t="s">
        <v>751</v>
      </c>
      <c r="Y39" s="452" t="s">
        <v>492</v>
      </c>
      <c r="Z39" s="452" t="s">
        <v>737</v>
      </c>
      <c r="AA39" s="452" t="s">
        <v>738</v>
      </c>
      <c r="AB39" s="507" t="s">
        <v>720</v>
      </c>
      <c r="AC39" s="452" t="s">
        <v>721</v>
      </c>
      <c r="AD39" s="452" t="s">
        <v>788</v>
      </c>
      <c r="AE39" s="452" t="s">
        <v>753</v>
      </c>
      <c r="AF39" s="452" t="s">
        <v>789</v>
      </c>
      <c r="AG39" s="452" t="s">
        <v>790</v>
      </c>
      <c r="AH39" s="452" t="s">
        <v>726</v>
      </c>
      <c r="AI39" s="454">
        <v>24000003</v>
      </c>
      <c r="AJ39" s="454">
        <v>0</v>
      </c>
      <c r="AK39" s="454">
        <v>0</v>
      </c>
      <c r="AL39" s="454">
        <v>24000003</v>
      </c>
      <c r="AM39" s="454">
        <v>0</v>
      </c>
      <c r="AN39" s="454">
        <f t="shared" si="12"/>
        <v>24000003</v>
      </c>
      <c r="AO39" s="452" t="s">
        <v>791</v>
      </c>
      <c r="AP39" s="452" t="s">
        <v>702</v>
      </c>
      <c r="AQ39" s="452" t="s">
        <v>792</v>
      </c>
      <c r="AR39" s="452" t="s">
        <v>702</v>
      </c>
      <c r="AS39" s="453">
        <v>44564</v>
      </c>
      <c r="AU39" s="279" t="s">
        <v>409</v>
      </c>
      <c r="AV39" s="514">
        <v>0</v>
      </c>
      <c r="AW39" s="514">
        <f>AL39</f>
        <v>24000003</v>
      </c>
      <c r="AX39" s="514">
        <v>0</v>
      </c>
      <c r="AY39" s="523">
        <f t="shared" si="9"/>
        <v>24000003</v>
      </c>
      <c r="AZ39" s="526"/>
      <c r="BA39" s="514">
        <v>0</v>
      </c>
      <c r="BB39" s="514">
        <v>0</v>
      </c>
      <c r="BC39" s="514">
        <v>0</v>
      </c>
      <c r="BD39" s="523">
        <f t="shared" si="10"/>
        <v>0</v>
      </c>
      <c r="BF39" s="523">
        <f t="shared" si="13"/>
        <v>0</v>
      </c>
    </row>
    <row r="40" spans="1:59">
      <c r="B40">
        <f t="shared" si="11"/>
        <v>0</v>
      </c>
      <c r="D40" s="507" t="s">
        <v>702</v>
      </c>
      <c r="E40" s="510">
        <v>44562</v>
      </c>
      <c r="F40" s="510">
        <v>44620</v>
      </c>
      <c r="G40" s="507" t="s">
        <v>703</v>
      </c>
      <c r="H40" s="510">
        <v>44562</v>
      </c>
      <c r="I40" s="507" t="s">
        <v>794</v>
      </c>
      <c r="J40" s="452" t="s">
        <v>795</v>
      </c>
      <c r="K40" s="507" t="s">
        <v>796</v>
      </c>
      <c r="L40" s="510">
        <v>44525</v>
      </c>
      <c r="M40" s="510">
        <v>44561</v>
      </c>
      <c r="N40" s="507" t="s">
        <v>797</v>
      </c>
      <c r="O40" s="507" t="s">
        <v>708</v>
      </c>
      <c r="P40" s="452" t="s">
        <v>709</v>
      </c>
      <c r="Q40" s="507" t="s">
        <v>798</v>
      </c>
      <c r="R40" s="507" t="s">
        <v>799</v>
      </c>
      <c r="S40" s="452" t="s">
        <v>800</v>
      </c>
      <c r="T40" s="452" t="s">
        <v>713</v>
      </c>
      <c r="U40" s="452" t="s">
        <v>414</v>
      </c>
      <c r="V40" s="452" t="s">
        <v>714</v>
      </c>
      <c r="W40" s="452" t="s">
        <v>715</v>
      </c>
      <c r="X40" s="452" t="s">
        <v>801</v>
      </c>
      <c r="Y40" s="452" t="s">
        <v>802</v>
      </c>
      <c r="Z40" s="452" t="s">
        <v>737</v>
      </c>
      <c r="AA40" s="452" t="s">
        <v>738</v>
      </c>
      <c r="AB40" s="507" t="s">
        <v>720</v>
      </c>
      <c r="AC40" s="452" t="s">
        <v>721</v>
      </c>
      <c r="AD40" s="452" t="s">
        <v>803</v>
      </c>
      <c r="AE40" s="452" t="s">
        <v>753</v>
      </c>
      <c r="AF40" s="452" t="s">
        <v>804</v>
      </c>
      <c r="AG40" s="452" t="s">
        <v>805</v>
      </c>
      <c r="AH40" s="452" t="s">
        <v>726</v>
      </c>
      <c r="AI40" s="454">
        <v>84577253</v>
      </c>
      <c r="AJ40" s="454">
        <v>0</v>
      </c>
      <c r="AK40" s="454">
        <v>0</v>
      </c>
      <c r="AL40" s="454">
        <v>84577253</v>
      </c>
      <c r="AM40" s="454">
        <v>0</v>
      </c>
      <c r="AN40" s="454">
        <f t="shared" si="12"/>
        <v>84577253</v>
      </c>
      <c r="AO40" s="452" t="s">
        <v>806</v>
      </c>
      <c r="AP40" s="452" t="s">
        <v>702</v>
      </c>
      <c r="AQ40" s="452" t="s">
        <v>807</v>
      </c>
      <c r="AR40" s="452" t="s">
        <v>702</v>
      </c>
      <c r="AS40" s="453">
        <v>44564</v>
      </c>
      <c r="AU40" s="279" t="s">
        <v>408</v>
      </c>
      <c r="AV40" s="514">
        <f t="shared" ref="AV40:AV45" si="14">AL40</f>
        <v>84577253</v>
      </c>
      <c r="AW40" s="514">
        <v>0</v>
      </c>
      <c r="AX40" s="514">
        <v>0</v>
      </c>
      <c r="AY40" s="523">
        <f t="shared" si="9"/>
        <v>84577253</v>
      </c>
      <c r="AZ40" s="526"/>
      <c r="BA40" s="514">
        <v>0</v>
      </c>
      <c r="BB40" s="514">
        <v>0</v>
      </c>
      <c r="BC40" s="514">
        <v>0</v>
      </c>
      <c r="BD40" s="523">
        <f t="shared" si="10"/>
        <v>0</v>
      </c>
      <c r="BF40" s="523">
        <f t="shared" si="13"/>
        <v>0</v>
      </c>
    </row>
    <row r="41" spans="1:59" s="276" customFormat="1">
      <c r="A41" s="476"/>
      <c r="B41" s="476">
        <f t="shared" si="11"/>
        <v>0</v>
      </c>
      <c r="C41" s="511"/>
      <c r="D41" s="506" t="s">
        <v>702</v>
      </c>
      <c r="E41" s="509">
        <v>44562</v>
      </c>
      <c r="F41" s="509">
        <v>44620</v>
      </c>
      <c r="G41" s="506" t="s">
        <v>703</v>
      </c>
      <c r="H41" s="509">
        <v>44562</v>
      </c>
      <c r="I41" s="506" t="s">
        <v>809</v>
      </c>
      <c r="J41" s="477" t="s">
        <v>810</v>
      </c>
      <c r="K41" s="506" t="s">
        <v>811</v>
      </c>
      <c r="L41" s="509">
        <v>44530</v>
      </c>
      <c r="M41" s="509">
        <v>44561</v>
      </c>
      <c r="N41" s="506" t="s">
        <v>812</v>
      </c>
      <c r="O41" s="506" t="s">
        <v>708</v>
      </c>
      <c r="P41" s="477" t="s">
        <v>709</v>
      </c>
      <c r="Q41" s="506" t="s">
        <v>813</v>
      </c>
      <c r="R41" s="506" t="s">
        <v>814</v>
      </c>
      <c r="S41" s="477" t="s">
        <v>815</v>
      </c>
      <c r="T41" s="477" t="s">
        <v>713</v>
      </c>
      <c r="U41" s="477" t="s">
        <v>414</v>
      </c>
      <c r="V41" s="477" t="s">
        <v>714</v>
      </c>
      <c r="W41" s="477" t="s">
        <v>715</v>
      </c>
      <c r="X41" s="477" t="s">
        <v>816</v>
      </c>
      <c r="Y41" s="477" t="s">
        <v>817</v>
      </c>
      <c r="Z41" s="477" t="s">
        <v>737</v>
      </c>
      <c r="AA41" s="477" t="s">
        <v>738</v>
      </c>
      <c r="AB41" s="506" t="s">
        <v>818</v>
      </c>
      <c r="AC41" s="477" t="s">
        <v>819</v>
      </c>
      <c r="AD41" s="477" t="s">
        <v>820</v>
      </c>
      <c r="AE41" s="477" t="s">
        <v>753</v>
      </c>
      <c r="AF41" s="477" t="s">
        <v>821</v>
      </c>
      <c r="AG41" s="477" t="s">
        <v>822</v>
      </c>
      <c r="AH41" s="477" t="s">
        <v>726</v>
      </c>
      <c r="AI41" s="479">
        <v>16000000</v>
      </c>
      <c r="AJ41" s="479">
        <v>0</v>
      </c>
      <c r="AK41" s="479">
        <v>0</v>
      </c>
      <c r="AL41" s="479">
        <v>16000000</v>
      </c>
      <c r="AM41" s="479">
        <v>3514700</v>
      </c>
      <c r="AN41" s="479">
        <f t="shared" si="12"/>
        <v>12485300</v>
      </c>
      <c r="AO41" s="477" t="s">
        <v>823</v>
      </c>
      <c r="AP41" s="477" t="s">
        <v>702</v>
      </c>
      <c r="AQ41" s="477" t="s">
        <v>824</v>
      </c>
      <c r="AR41" s="477" t="s">
        <v>702</v>
      </c>
      <c r="AS41" s="478">
        <v>44564</v>
      </c>
      <c r="AT41" s="476"/>
      <c r="AU41" s="480" t="s">
        <v>408</v>
      </c>
      <c r="AV41" s="514">
        <f t="shared" si="14"/>
        <v>16000000</v>
      </c>
      <c r="AW41" s="514">
        <v>0</v>
      </c>
      <c r="AX41" s="514">
        <v>0</v>
      </c>
      <c r="AY41" s="523">
        <f t="shared" si="9"/>
        <v>16000000</v>
      </c>
      <c r="AZ41" s="526"/>
      <c r="BA41" s="514">
        <v>3514700</v>
      </c>
      <c r="BB41" s="514">
        <v>0</v>
      </c>
      <c r="BC41" s="514">
        <v>0</v>
      </c>
      <c r="BD41" s="523">
        <f t="shared" si="10"/>
        <v>3514700</v>
      </c>
      <c r="BE41" s="526"/>
      <c r="BF41" s="523">
        <f t="shared" si="13"/>
        <v>0</v>
      </c>
      <c r="BG41" s="457"/>
    </row>
    <row r="42" spans="1:59">
      <c r="B42">
        <f t="shared" si="11"/>
        <v>0</v>
      </c>
      <c r="D42" s="507" t="s">
        <v>702</v>
      </c>
      <c r="E42" s="510">
        <v>44562</v>
      </c>
      <c r="F42" s="510">
        <v>44620</v>
      </c>
      <c r="G42" s="507" t="s">
        <v>703</v>
      </c>
      <c r="H42" s="510">
        <v>44562</v>
      </c>
      <c r="I42" s="507" t="s">
        <v>794</v>
      </c>
      <c r="J42" s="452" t="s">
        <v>795</v>
      </c>
      <c r="K42" s="507" t="s">
        <v>870</v>
      </c>
      <c r="L42" s="510">
        <v>44554</v>
      </c>
      <c r="M42" s="510">
        <v>44561</v>
      </c>
      <c r="N42" s="507" t="s">
        <v>826</v>
      </c>
      <c r="O42" s="507" t="s">
        <v>708</v>
      </c>
      <c r="P42" s="452" t="s">
        <v>709</v>
      </c>
      <c r="Q42" s="507" t="s">
        <v>827</v>
      </c>
      <c r="R42" s="507" t="s">
        <v>871</v>
      </c>
      <c r="S42" s="452" t="s">
        <v>828</v>
      </c>
      <c r="T42" s="452" t="s">
        <v>713</v>
      </c>
      <c r="U42" s="452" t="s">
        <v>414</v>
      </c>
      <c r="V42" s="452" t="s">
        <v>714</v>
      </c>
      <c r="W42" s="452" t="s">
        <v>715</v>
      </c>
      <c r="X42" s="452" t="s">
        <v>751</v>
      </c>
      <c r="Y42" s="452" t="s">
        <v>492</v>
      </c>
      <c r="Z42" s="452" t="s">
        <v>737</v>
      </c>
      <c r="AA42" s="452" t="s">
        <v>738</v>
      </c>
      <c r="AB42" s="507" t="s">
        <v>829</v>
      </c>
      <c r="AC42" s="452" t="s">
        <v>830</v>
      </c>
      <c r="AD42" s="452" t="s">
        <v>831</v>
      </c>
      <c r="AE42" s="452" t="s">
        <v>753</v>
      </c>
      <c r="AF42" s="452" t="s">
        <v>832</v>
      </c>
      <c r="AG42" s="452" t="s">
        <v>833</v>
      </c>
      <c r="AH42" s="452" t="s">
        <v>726</v>
      </c>
      <c r="AI42" s="454">
        <v>31500000</v>
      </c>
      <c r="AJ42" s="454">
        <v>0</v>
      </c>
      <c r="AK42" s="454">
        <v>0</v>
      </c>
      <c r="AL42" s="454">
        <v>31500000</v>
      </c>
      <c r="AM42" s="454">
        <v>0</v>
      </c>
      <c r="AN42" s="454">
        <f t="shared" si="12"/>
        <v>31500000</v>
      </c>
      <c r="AO42" s="452" t="s">
        <v>834</v>
      </c>
      <c r="AP42" s="452" t="s">
        <v>702</v>
      </c>
      <c r="AQ42" s="452" t="s">
        <v>835</v>
      </c>
      <c r="AR42" s="452" t="s">
        <v>702</v>
      </c>
      <c r="AS42" s="453">
        <v>44564</v>
      </c>
      <c r="AU42" s="279" t="s">
        <v>408</v>
      </c>
      <c r="AV42" s="514">
        <f t="shared" si="14"/>
        <v>31500000</v>
      </c>
      <c r="AW42" s="514">
        <v>0</v>
      </c>
      <c r="AX42" s="514">
        <v>0</v>
      </c>
      <c r="AY42" s="523">
        <f t="shared" si="9"/>
        <v>31500000</v>
      </c>
      <c r="AZ42" s="526"/>
      <c r="BA42" s="514">
        <v>0</v>
      </c>
      <c r="BB42" s="514">
        <v>0</v>
      </c>
      <c r="BC42" s="514">
        <v>0</v>
      </c>
      <c r="BD42" s="523">
        <f t="shared" si="10"/>
        <v>0</v>
      </c>
      <c r="BF42" s="523">
        <f t="shared" si="13"/>
        <v>0</v>
      </c>
    </row>
    <row r="43" spans="1:59">
      <c r="B43">
        <f t="shared" si="11"/>
        <v>0</v>
      </c>
      <c r="D43" s="507" t="s">
        <v>702</v>
      </c>
      <c r="E43" s="510">
        <v>44562</v>
      </c>
      <c r="F43" s="510">
        <v>44620</v>
      </c>
      <c r="G43" s="507" t="s">
        <v>703</v>
      </c>
      <c r="H43" s="510">
        <v>44562</v>
      </c>
      <c r="I43" s="507" t="s">
        <v>829</v>
      </c>
      <c r="J43" s="452" t="s">
        <v>837</v>
      </c>
      <c r="K43" s="507" t="s">
        <v>872</v>
      </c>
      <c r="L43" s="510">
        <v>44490</v>
      </c>
      <c r="M43" s="510">
        <v>44497</v>
      </c>
      <c r="N43" s="507" t="s">
        <v>826</v>
      </c>
      <c r="O43" s="507" t="s">
        <v>708</v>
      </c>
      <c r="P43" s="452" t="s">
        <v>709</v>
      </c>
      <c r="Q43" s="507" t="s">
        <v>838</v>
      </c>
      <c r="R43" s="507" t="s">
        <v>839</v>
      </c>
      <c r="S43" s="452" t="s">
        <v>840</v>
      </c>
      <c r="T43" s="452" t="s">
        <v>713</v>
      </c>
      <c r="U43" s="452" t="s">
        <v>414</v>
      </c>
      <c r="V43" s="452" t="s">
        <v>714</v>
      </c>
      <c r="W43" s="452" t="s">
        <v>715</v>
      </c>
      <c r="X43" s="452" t="s">
        <v>816</v>
      </c>
      <c r="Y43" s="452" t="s">
        <v>817</v>
      </c>
      <c r="Z43" s="452" t="s">
        <v>737</v>
      </c>
      <c r="AA43" s="452" t="s">
        <v>738</v>
      </c>
      <c r="AB43" s="507" t="s">
        <v>829</v>
      </c>
      <c r="AC43" s="452" t="s">
        <v>830</v>
      </c>
      <c r="AD43" s="452" t="s">
        <v>841</v>
      </c>
      <c r="AE43" s="452" t="s">
        <v>753</v>
      </c>
      <c r="AF43" s="452" t="s">
        <v>842</v>
      </c>
      <c r="AG43" s="452" t="s">
        <v>843</v>
      </c>
      <c r="AH43" s="452" t="s">
        <v>726</v>
      </c>
      <c r="AI43" s="454">
        <v>4759996</v>
      </c>
      <c r="AJ43" s="454">
        <v>0</v>
      </c>
      <c r="AK43" s="454">
        <v>0</v>
      </c>
      <c r="AL43" s="454">
        <v>4759996</v>
      </c>
      <c r="AM43" s="454">
        <v>0</v>
      </c>
      <c r="AN43" s="454">
        <f t="shared" si="12"/>
        <v>4759996</v>
      </c>
      <c r="AO43" s="452" t="s">
        <v>844</v>
      </c>
      <c r="AP43" s="452" t="s">
        <v>702</v>
      </c>
      <c r="AQ43" s="452" t="s">
        <v>845</v>
      </c>
      <c r="AR43" s="452" t="s">
        <v>702</v>
      </c>
      <c r="AS43" s="453">
        <v>44564</v>
      </c>
      <c r="AU43" s="279" t="s">
        <v>408</v>
      </c>
      <c r="AV43" s="514">
        <f t="shared" si="14"/>
        <v>4759996</v>
      </c>
      <c r="AW43" s="514">
        <v>0</v>
      </c>
      <c r="AX43" s="514">
        <v>0</v>
      </c>
      <c r="AY43" s="523">
        <f t="shared" si="9"/>
        <v>4759996</v>
      </c>
      <c r="AZ43" s="526"/>
      <c r="BA43" s="514">
        <v>0</v>
      </c>
      <c r="BB43" s="514">
        <v>0</v>
      </c>
      <c r="BC43" s="514">
        <v>0</v>
      </c>
      <c r="BD43" s="523">
        <f t="shared" si="10"/>
        <v>0</v>
      </c>
      <c r="BF43" s="523">
        <f t="shared" si="13"/>
        <v>0</v>
      </c>
    </row>
    <row r="44" spans="1:59" s="276" customFormat="1">
      <c r="A44" s="476"/>
      <c r="B44" s="476">
        <f t="shared" si="11"/>
        <v>0</v>
      </c>
      <c r="C44" s="511"/>
      <c r="D44" s="506" t="s">
        <v>702</v>
      </c>
      <c r="E44" s="509">
        <v>44562</v>
      </c>
      <c r="F44" s="509">
        <v>44620</v>
      </c>
      <c r="G44" s="506" t="s">
        <v>703</v>
      </c>
      <c r="H44" s="509">
        <v>44562</v>
      </c>
      <c r="I44" s="506" t="s">
        <v>829</v>
      </c>
      <c r="J44" s="477" t="s">
        <v>837</v>
      </c>
      <c r="K44" s="506" t="s">
        <v>847</v>
      </c>
      <c r="L44" s="509">
        <v>44557</v>
      </c>
      <c r="M44" s="509">
        <v>44561</v>
      </c>
      <c r="N44" s="506" t="s">
        <v>848</v>
      </c>
      <c r="O44" s="506" t="s">
        <v>708</v>
      </c>
      <c r="P44" s="477" t="s">
        <v>709</v>
      </c>
      <c r="Q44" s="506" t="s">
        <v>849</v>
      </c>
      <c r="R44" s="506" t="s">
        <v>850</v>
      </c>
      <c r="S44" s="477" t="s">
        <v>851</v>
      </c>
      <c r="T44" s="477" t="s">
        <v>713</v>
      </c>
      <c r="U44" s="477" t="s">
        <v>414</v>
      </c>
      <c r="V44" s="477" t="s">
        <v>714</v>
      </c>
      <c r="W44" s="477" t="s">
        <v>715</v>
      </c>
      <c r="X44" s="477" t="s">
        <v>852</v>
      </c>
      <c r="Y44" s="477" t="s">
        <v>853</v>
      </c>
      <c r="Z44" s="477" t="s">
        <v>737</v>
      </c>
      <c r="AA44" s="477" t="s">
        <v>738</v>
      </c>
      <c r="AB44" s="506" t="s">
        <v>854</v>
      </c>
      <c r="AC44" s="477" t="s">
        <v>855</v>
      </c>
      <c r="AD44" s="477" t="s">
        <v>856</v>
      </c>
      <c r="AE44" s="477" t="s">
        <v>753</v>
      </c>
      <c r="AF44" s="477" t="s">
        <v>857</v>
      </c>
      <c r="AG44" s="477" t="s">
        <v>858</v>
      </c>
      <c r="AH44" s="477" t="s">
        <v>726</v>
      </c>
      <c r="AI44" s="479">
        <v>130507157</v>
      </c>
      <c r="AJ44" s="479">
        <v>0</v>
      </c>
      <c r="AK44" s="479">
        <v>0</v>
      </c>
      <c r="AL44" s="479">
        <v>130507157</v>
      </c>
      <c r="AM44" s="479">
        <v>130507157</v>
      </c>
      <c r="AN44" s="479">
        <f t="shared" si="12"/>
        <v>0</v>
      </c>
      <c r="AO44" s="477" t="s">
        <v>859</v>
      </c>
      <c r="AP44" s="477" t="s">
        <v>702</v>
      </c>
      <c r="AQ44" s="477" t="s">
        <v>860</v>
      </c>
      <c r="AR44" s="477" t="s">
        <v>702</v>
      </c>
      <c r="AS44" s="478">
        <v>44564</v>
      </c>
      <c r="AT44" s="476"/>
      <c r="AU44" s="480" t="s">
        <v>861</v>
      </c>
      <c r="AV44" s="514">
        <f t="shared" si="14"/>
        <v>130507157</v>
      </c>
      <c r="AW44" s="514">
        <v>0</v>
      </c>
      <c r="AX44" s="514">
        <v>0</v>
      </c>
      <c r="AY44" s="523">
        <f t="shared" si="9"/>
        <v>130507157</v>
      </c>
      <c r="AZ44" s="526"/>
      <c r="BA44" s="514">
        <f>120066584.44+10440572.56</f>
        <v>130507157</v>
      </c>
      <c r="BB44" s="514">
        <v>0</v>
      </c>
      <c r="BC44" s="514"/>
      <c r="BD44" s="523">
        <f t="shared" si="10"/>
        <v>130507157</v>
      </c>
      <c r="BE44" s="526"/>
      <c r="BF44" s="523">
        <f t="shared" si="13"/>
        <v>0</v>
      </c>
      <c r="BG44" s="457"/>
    </row>
    <row r="45" spans="1:59" s="276" customFormat="1">
      <c r="A45" s="476"/>
      <c r="B45" s="476" t="e">
        <f t="shared" si="11"/>
        <v>#VALUE!</v>
      </c>
      <c r="C45" s="511"/>
      <c r="D45" s="506" t="s">
        <v>702</v>
      </c>
      <c r="E45" s="509">
        <v>44562</v>
      </c>
      <c r="F45" s="509">
        <v>44620</v>
      </c>
      <c r="G45" s="506" t="s">
        <v>703</v>
      </c>
      <c r="H45" s="509">
        <v>44562</v>
      </c>
      <c r="I45" s="506" t="s">
        <v>744</v>
      </c>
      <c r="J45" s="477" t="s">
        <v>745</v>
      </c>
      <c r="K45" s="506" t="s">
        <v>863</v>
      </c>
      <c r="L45" s="509">
        <v>44319</v>
      </c>
      <c r="M45" s="509">
        <v>44377</v>
      </c>
      <c r="N45" s="506" t="s">
        <v>864</v>
      </c>
      <c r="O45" s="506" t="s">
        <v>708</v>
      </c>
      <c r="P45" s="477" t="s">
        <v>709</v>
      </c>
      <c r="Q45" s="506" t="s">
        <v>865</v>
      </c>
      <c r="R45" s="506" t="s">
        <v>866</v>
      </c>
      <c r="S45" s="477" t="s">
        <v>867</v>
      </c>
      <c r="T45" s="477" t="s">
        <v>713</v>
      </c>
      <c r="U45" s="477" t="s">
        <v>414</v>
      </c>
      <c r="V45" s="477" t="s">
        <v>714</v>
      </c>
      <c r="W45" s="477" t="s">
        <v>715</v>
      </c>
      <c r="X45" s="477" t="s">
        <v>751</v>
      </c>
      <c r="Y45" s="477" t="s">
        <v>492</v>
      </c>
      <c r="Z45" s="477" t="s">
        <v>737</v>
      </c>
      <c r="AA45" s="477" t="s">
        <v>738</v>
      </c>
      <c r="AB45" s="506" t="s">
        <v>720</v>
      </c>
      <c r="AC45" s="477" t="s">
        <v>721</v>
      </c>
      <c r="AD45" s="477" t="s">
        <v>752</v>
      </c>
      <c r="AE45" s="477" t="s">
        <v>753</v>
      </c>
      <c r="AF45" s="477" t="s">
        <v>754</v>
      </c>
      <c r="AG45" s="477" t="s">
        <v>755</v>
      </c>
      <c r="AH45" s="477" t="s">
        <v>726</v>
      </c>
      <c r="AI45" s="479">
        <v>4167765</v>
      </c>
      <c r="AJ45" s="479">
        <v>0</v>
      </c>
      <c r="AK45" s="479">
        <v>0</v>
      </c>
      <c r="AL45" s="479">
        <v>4167765</v>
      </c>
      <c r="AM45" s="479">
        <v>0</v>
      </c>
      <c r="AN45" s="479">
        <f t="shared" si="12"/>
        <v>4167765</v>
      </c>
      <c r="AO45" s="477" t="s">
        <v>868</v>
      </c>
      <c r="AP45" s="477" t="s">
        <v>702</v>
      </c>
      <c r="AQ45" s="477" t="s">
        <v>869</v>
      </c>
      <c r="AR45" s="477" t="s">
        <v>702</v>
      </c>
      <c r="AS45" s="478">
        <v>44564</v>
      </c>
      <c r="AT45" s="476"/>
      <c r="AU45" s="480" t="s">
        <v>408</v>
      </c>
      <c r="AV45" s="514">
        <f t="shared" si="14"/>
        <v>4167765</v>
      </c>
      <c r="AW45" s="514">
        <v>0</v>
      </c>
      <c r="AX45" s="514">
        <v>0</v>
      </c>
      <c r="AY45" s="523">
        <f t="shared" si="9"/>
        <v>4167765</v>
      </c>
      <c r="AZ45" s="526"/>
      <c r="BA45" s="514">
        <v>0</v>
      </c>
      <c r="BB45" s="514">
        <v>0</v>
      </c>
      <c r="BC45" s="514">
        <v>0</v>
      </c>
      <c r="BD45" s="523">
        <f t="shared" si="10"/>
        <v>0</v>
      </c>
      <c r="BE45" s="526"/>
      <c r="BF45" s="523">
        <f t="shared" si="13"/>
        <v>0</v>
      </c>
      <c r="BG45" s="457"/>
    </row>
    <row r="46" spans="1:59">
      <c r="AZ46" s="526"/>
      <c r="BA46" s="518"/>
      <c r="BB46" s="518"/>
      <c r="BC46" s="518"/>
      <c r="BD46" s="526">
        <f t="shared" si="10"/>
        <v>0</v>
      </c>
      <c r="BF46" s="523">
        <f>BD46-AM46</f>
        <v>0</v>
      </c>
    </row>
    <row r="47" spans="1:59">
      <c r="AL47" s="483">
        <f>AL34+AL35+AL36+AL37+AL38+AL39+AL40+AL41+AL42+AL43+AL44+AL45</f>
        <v>561068415</v>
      </c>
      <c r="AM47" s="483">
        <f>AM34+AM35+AM36+AM37+AM38+AM39+AM40+AM41+AM42+AM43+AM44+AM45</f>
        <v>229728535</v>
      </c>
      <c r="AN47" s="483">
        <f>AN34+AN35+AN36+AN37+AN38+AN39+AN40+AN41+AN42+AN43+AN44+AN45</f>
        <v>331339880</v>
      </c>
      <c r="AV47" s="526">
        <f>SUM(AV34:AV45)</f>
        <v>514639412.29999995</v>
      </c>
      <c r="AW47" s="526">
        <f>SUM(AW34:AW45)</f>
        <v>24000003</v>
      </c>
      <c r="AX47" s="526">
        <f>SUM(AX34:AX45)</f>
        <v>22428999.699999999</v>
      </c>
      <c r="AY47" s="526">
        <f>SUM(AV47:AX47)</f>
        <v>561068415</v>
      </c>
      <c r="BA47" s="519">
        <f>SUM(BA34:BA46)</f>
        <v>217175509.07999998</v>
      </c>
      <c r="BB47" s="519">
        <f>SUM(BB34:BB46)</f>
        <v>0</v>
      </c>
      <c r="BC47" s="519">
        <f>SUM(BC34:BC46)</f>
        <v>12553025.92</v>
      </c>
      <c r="BD47" s="519">
        <f t="shared" si="10"/>
        <v>229728534.99999997</v>
      </c>
    </row>
    <row r="48" spans="1:59">
      <c r="BA48" s="519"/>
      <c r="BB48" s="519"/>
      <c r="BC48" s="519"/>
      <c r="BD48" s="519"/>
    </row>
  </sheetData>
  <sortState xmlns:xlrd2="http://schemas.microsoft.com/office/spreadsheetml/2017/richdata2" ref="A34:BN45">
    <sortCondition ref="K34:K45"/>
  </sortState>
  <mergeCells count="4">
    <mergeCell ref="AV32:AX32"/>
    <mergeCell ref="BA32:BC32"/>
    <mergeCell ref="AV1:AY1"/>
    <mergeCell ref="BA1:BD1"/>
  </mergeCells>
  <printOptions horizontalCentered="1"/>
  <pageMargins left="0.19685039370078741" right="0.19685039370078741" top="0.19685039370078741" bottom="0.19685039370078741" header="0" footer="0"/>
  <pageSetup scale="19" fitToHeight="0"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3455D-4E83-4B80-9A9E-664AD8C1D536}">
  <sheetPr>
    <tabColor rgb="FF7030A0"/>
  </sheetPr>
  <dimension ref="A1:AA6"/>
  <sheetViews>
    <sheetView topLeftCell="M1" workbookViewId="0">
      <selection activeCell="X10" sqref="X10"/>
    </sheetView>
  </sheetViews>
  <sheetFormatPr baseColWidth="10" defaultColWidth="11.42578125" defaultRowHeight="15"/>
  <cols>
    <col min="1" max="1" width="12.7109375" customWidth="1"/>
    <col min="14" max="14" width="16.7109375" bestFit="1" customWidth="1"/>
  </cols>
  <sheetData>
    <row r="1" spans="1:27" s="404" customFormat="1" ht="26.25" thickBot="1">
      <c r="A1" s="408" t="s">
        <v>605</v>
      </c>
      <c r="B1" s="408">
        <v>2020</v>
      </c>
      <c r="C1" s="408">
        <v>2021</v>
      </c>
      <c r="D1" s="408">
        <v>2022</v>
      </c>
      <c r="E1" s="408">
        <v>2023</v>
      </c>
      <c r="F1" s="408">
        <v>2024</v>
      </c>
      <c r="G1" s="408" t="s">
        <v>873</v>
      </c>
      <c r="H1" s="409"/>
      <c r="I1" s="410" t="s">
        <v>874</v>
      </c>
      <c r="J1" s="410" t="s">
        <v>875</v>
      </c>
      <c r="K1" s="410" t="s">
        <v>876</v>
      </c>
      <c r="L1" s="410" t="s">
        <v>877</v>
      </c>
      <c r="M1" s="410"/>
      <c r="O1" s="410" t="s">
        <v>878</v>
      </c>
      <c r="P1" s="410" t="s">
        <v>879</v>
      </c>
      <c r="Q1" s="410" t="s">
        <v>880</v>
      </c>
      <c r="R1" s="410" t="s">
        <v>881</v>
      </c>
      <c r="S1" s="410" t="s">
        <v>882</v>
      </c>
      <c r="T1" s="410" t="s">
        <v>883</v>
      </c>
      <c r="U1" s="410" t="s">
        <v>884</v>
      </c>
      <c r="V1" s="410" t="s">
        <v>885</v>
      </c>
      <c r="W1" s="410" t="s">
        <v>886</v>
      </c>
      <c r="X1" s="410" t="s">
        <v>887</v>
      </c>
      <c r="Y1" s="410" t="s">
        <v>888</v>
      </c>
      <c r="Z1" s="410" t="s">
        <v>889</v>
      </c>
    </row>
    <row r="2" spans="1:27" ht="15.75" thickBot="1">
      <c r="A2" s="411" t="s">
        <v>890</v>
      </c>
      <c r="B2" s="412">
        <v>2000</v>
      </c>
      <c r="C2" s="413">
        <v>7000</v>
      </c>
      <c r="D2" s="414">
        <v>7000</v>
      </c>
      <c r="E2" s="415">
        <v>7000</v>
      </c>
      <c r="F2" s="416">
        <v>3100</v>
      </c>
      <c r="G2" s="411">
        <f t="shared" ref="G2:G6" si="0">SUM(B2:F2)</f>
        <v>26100</v>
      </c>
      <c r="H2" s="120"/>
      <c r="I2" s="417">
        <f>'Meta 1'!D35+'Meta 1'!E35+'Meta 1'!F35</f>
        <v>1481</v>
      </c>
      <c r="J2" s="417">
        <f>'Meta 1'!G35+'Meta 1'!H35+'Meta 1'!I35</f>
        <v>1662</v>
      </c>
      <c r="K2" s="417">
        <f>'[4]Meta 1'!J35+'[4]Meta 1'!K35+'[4]Meta 1'!L35</f>
        <v>0</v>
      </c>
      <c r="L2" s="417">
        <f>'[4]Meta 1'!M35+'[4]Meta 1'!N35+'[4]Meta 1'!O35</f>
        <v>0</v>
      </c>
      <c r="M2" s="384">
        <f>SUM(I2:L2)</f>
        <v>3143</v>
      </c>
      <c r="O2" s="417">
        <f>'Meta 1'!D34</f>
        <v>0</v>
      </c>
      <c r="P2" s="417">
        <f>'Meta 1'!E34</f>
        <v>500</v>
      </c>
      <c r="Q2" s="417">
        <f>'Meta 1'!F34</f>
        <v>700</v>
      </c>
      <c r="R2" s="417">
        <f>'Meta 1'!G34</f>
        <v>700</v>
      </c>
      <c r="S2" s="417">
        <f>'Meta 1'!H34</f>
        <v>700</v>
      </c>
      <c r="T2" s="417">
        <f>'Meta 1'!I34</f>
        <v>700</v>
      </c>
      <c r="U2" s="417">
        <f>'Meta 1'!J34</f>
        <v>700</v>
      </c>
      <c r="V2" s="417">
        <f>'Meta 1'!K34</f>
        <v>700</v>
      </c>
      <c r="W2" s="417">
        <f>'Meta 1'!L34</f>
        <v>700</v>
      </c>
      <c r="X2" s="417">
        <f>'Meta 1'!M34</f>
        <v>700</v>
      </c>
      <c r="Y2" s="417">
        <f>'Meta 1'!N34</f>
        <v>700</v>
      </c>
      <c r="Z2" s="417">
        <f>'Meta 1'!O34</f>
        <v>200</v>
      </c>
      <c r="AA2" s="430">
        <f>SUM(O2:Z2)</f>
        <v>7000</v>
      </c>
    </row>
    <row r="3" spans="1:27">
      <c r="A3" s="411" t="s">
        <v>891</v>
      </c>
      <c r="B3" s="412">
        <v>15</v>
      </c>
      <c r="C3" s="413">
        <v>31</v>
      </c>
      <c r="D3" s="414">
        <v>31</v>
      </c>
      <c r="E3" s="415">
        <v>23</v>
      </c>
      <c r="F3" s="416">
        <v>0</v>
      </c>
      <c r="G3" s="411">
        <f t="shared" si="0"/>
        <v>100</v>
      </c>
      <c r="H3" s="120"/>
      <c r="I3" s="418">
        <f>('Meta 2'!D35+'Meta 2'!E35+'Meta 2'!F35)*100/13</f>
        <v>0</v>
      </c>
      <c r="J3" s="418">
        <f>('Meta 2'!G35+'Meta 2'!H35+'Meta 2'!I35)*100/13</f>
        <v>0</v>
      </c>
      <c r="K3" s="418">
        <f>('Meta 2'!J35+'Meta 2'!K35+'Meta 2'!L35)*100/13</f>
        <v>0</v>
      </c>
      <c r="L3" s="418">
        <f>('Meta 2'!M35+'Meta 2'!N35+'Meta 2'!O35)*100/13</f>
        <v>0</v>
      </c>
      <c r="M3" s="419">
        <f>SUM(I3:L3)</f>
        <v>0</v>
      </c>
      <c r="O3" s="418">
        <f>(('Meta 2'!D35)*100)/13</f>
        <v>0</v>
      </c>
      <c r="P3" s="418">
        <f>(('Meta 2'!E35)*100)/13</f>
        <v>0</v>
      </c>
      <c r="Q3" s="418">
        <f>(('Meta 2'!F35)*100)/13</f>
        <v>0</v>
      </c>
      <c r="R3" s="418">
        <f>(('Meta 2'!G35)*100)/13</f>
        <v>0</v>
      </c>
      <c r="S3" s="418">
        <f>(('Meta 2'!H35)*100)/13</f>
        <v>0</v>
      </c>
      <c r="T3" s="418">
        <f>(('Meta 2'!I35)*100)/13</f>
        <v>0</v>
      </c>
      <c r="U3" s="418">
        <f>(('Meta 2'!J35)*100)/13</f>
        <v>0</v>
      </c>
      <c r="V3" s="418">
        <f>(('Meta 2'!K35)*100)/13</f>
        <v>0</v>
      </c>
      <c r="W3" s="418">
        <f>(('Meta 2'!L35)*100)/13</f>
        <v>0</v>
      </c>
      <c r="X3" s="418">
        <f>(('Meta 2'!M35)*100)/13</f>
        <v>0</v>
      </c>
      <c r="Y3" s="418">
        <f>(('Meta 2'!N35)*100)/13</f>
        <v>0</v>
      </c>
      <c r="Z3" s="418">
        <f>(('Meta 2'!O35)*100)/13</f>
        <v>0</v>
      </c>
      <c r="AA3" s="431">
        <f t="shared" ref="AA3:AA4" si="1">SUM(O3:Z3)</f>
        <v>0</v>
      </c>
    </row>
    <row r="4" spans="1:27" ht="15.75" thickBot="1">
      <c r="A4" s="420" t="s">
        <v>892</v>
      </c>
      <c r="B4" s="421">
        <v>20</v>
      </c>
      <c r="C4" s="422">
        <v>20</v>
      </c>
      <c r="D4" s="423">
        <v>20</v>
      </c>
      <c r="E4" s="424">
        <v>20</v>
      </c>
      <c r="F4" s="425">
        <v>20</v>
      </c>
      <c r="G4" s="420">
        <f t="shared" si="0"/>
        <v>100</v>
      </c>
      <c r="H4" s="120"/>
      <c r="I4" s="418">
        <f>(('Meta 3'!D35+'Meta 3'!E35+'Meta 3'!F35)*20)/0.2</f>
        <v>2.9920000000000004</v>
      </c>
      <c r="J4" s="418">
        <f>(('Meta 3'!G35+'Meta 3'!H35+'Meta 3'!I35)*20)/0.2</f>
        <v>3.7280000000000006</v>
      </c>
      <c r="K4" s="418">
        <f>(('Meta 3'!J35+'Meta 3'!K35+'Meta 3'!L35)*20)/0.2</f>
        <v>0</v>
      </c>
      <c r="L4" s="418">
        <f>(('Meta 3'!M35+'Meta 3'!N35+'Meta 3'!O35)*20)/0.2</f>
        <v>0</v>
      </c>
      <c r="M4" s="353">
        <f>SUM(I4:L4)</f>
        <v>6.7200000000000006</v>
      </c>
      <c r="O4" s="418">
        <f>(('Meta 3'!D35)*20)/0.2</f>
        <v>0</v>
      </c>
      <c r="P4" s="418">
        <f>(('Meta 3'!E35)*20)/0.2</f>
        <v>1.0480000000000003</v>
      </c>
      <c r="Q4" s="418">
        <f>(('Meta 3'!F35)*20)/0.2</f>
        <v>1.9440000000000006</v>
      </c>
      <c r="R4" s="418">
        <f>(('Meta 3'!G35)*20)/0.2</f>
        <v>1.7280000000000006</v>
      </c>
      <c r="S4" s="418">
        <f>(('Meta 3'!H35)*20)/0.2</f>
        <v>2.0000000000000004</v>
      </c>
      <c r="T4" s="418">
        <f>(('Meta 3'!I35)*20)/0.2</f>
        <v>0</v>
      </c>
      <c r="U4" s="418">
        <f>(('Meta 3'!J35)*20)/0.2</f>
        <v>0</v>
      </c>
      <c r="V4" s="418">
        <f>(('Meta 3'!K35)*20)/0.2</f>
        <v>0</v>
      </c>
      <c r="W4" s="418">
        <f>(('Meta 3'!L35)*20)/0.2</f>
        <v>0</v>
      </c>
      <c r="X4" s="418">
        <f>(('Meta 3'!M35)*20)/0.2</f>
        <v>0</v>
      </c>
      <c r="Y4" s="418">
        <f>(('Meta 3'!N35)*20)/0.2</f>
        <v>0</v>
      </c>
      <c r="Z4" s="418">
        <f>(('Meta 3'!O35)*20)/0.2</f>
        <v>0</v>
      </c>
      <c r="AA4" s="431">
        <f t="shared" si="1"/>
        <v>6.7200000000000024</v>
      </c>
    </row>
    <row r="5" spans="1:27">
      <c r="A5" s="411" t="s">
        <v>893</v>
      </c>
      <c r="B5" s="412">
        <f t="shared" ref="B5:F5" si="2">AVERAGE(B3:B4)</f>
        <v>17.5</v>
      </c>
      <c r="C5" s="413">
        <f t="shared" si="2"/>
        <v>25.5</v>
      </c>
      <c r="D5" s="414">
        <f t="shared" si="2"/>
        <v>25.5</v>
      </c>
      <c r="E5" s="415">
        <f t="shared" si="2"/>
        <v>21.5</v>
      </c>
      <c r="F5" s="416">
        <f t="shared" si="2"/>
        <v>10</v>
      </c>
      <c r="G5" s="411">
        <f t="shared" si="0"/>
        <v>100</v>
      </c>
      <c r="H5" s="120"/>
      <c r="I5" s="458">
        <f>AVERAGE(I3,I4)</f>
        <v>1.4960000000000002</v>
      </c>
      <c r="J5" s="426">
        <f>AVERAGE(J3,J4)</f>
        <v>1.8640000000000003</v>
      </c>
      <c r="K5" s="426">
        <f>AVERAGE(K3,K4)</f>
        <v>0</v>
      </c>
      <c r="L5" s="426">
        <f>AVERAGE(L3,L4)</f>
        <v>0</v>
      </c>
      <c r="M5" s="353">
        <f>AVERAGE(M3:M4)</f>
        <v>3.3600000000000003</v>
      </c>
      <c r="N5" s="427"/>
      <c r="O5" s="426">
        <f>AVERAGE(O3,O4)</f>
        <v>0</v>
      </c>
      <c r="P5" s="458">
        <f>AVERAGE(P3,P4)</f>
        <v>0.52400000000000013</v>
      </c>
      <c r="Q5" s="426">
        <f>AVERAGE(Q3,Q4)</f>
        <v>0.97200000000000031</v>
      </c>
      <c r="R5" s="426">
        <f t="shared" ref="R5:Y5" si="3">AVERAGE(R3,R4)</f>
        <v>0.86400000000000032</v>
      </c>
      <c r="S5" s="426">
        <f t="shared" si="3"/>
        <v>1.0000000000000002</v>
      </c>
      <c r="T5" s="426">
        <f t="shared" si="3"/>
        <v>0</v>
      </c>
      <c r="U5" s="426">
        <f t="shared" si="3"/>
        <v>0</v>
      </c>
      <c r="V5" s="426">
        <f t="shared" si="3"/>
        <v>0</v>
      </c>
      <c r="W5" s="426">
        <f t="shared" si="3"/>
        <v>0</v>
      </c>
      <c r="X5" s="426">
        <f t="shared" si="3"/>
        <v>0</v>
      </c>
      <c r="Y5" s="426">
        <f t="shared" si="3"/>
        <v>0</v>
      </c>
      <c r="Z5" s="426">
        <f>AVERAGE(Z3,Z4)</f>
        <v>0</v>
      </c>
      <c r="AA5" s="434">
        <f>SUM(O5:Z5)</f>
        <v>3.3600000000000012</v>
      </c>
    </row>
    <row r="6" spans="1:27" ht="15.75" thickBot="1">
      <c r="A6" s="420" t="s">
        <v>894</v>
      </c>
      <c r="B6" s="421">
        <v>18</v>
      </c>
      <c r="C6" s="422">
        <v>25</v>
      </c>
      <c r="D6" s="423">
        <v>25</v>
      </c>
      <c r="E6" s="424">
        <v>22</v>
      </c>
      <c r="F6" s="425">
        <v>10</v>
      </c>
      <c r="G6" s="420">
        <f t="shared" si="0"/>
        <v>100</v>
      </c>
      <c r="H6" s="120"/>
      <c r="I6" s="120"/>
      <c r="J6" s="120"/>
      <c r="K6" s="120"/>
      <c r="L6" s="120"/>
      <c r="P6" s="531"/>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1"/>
  <sheetViews>
    <sheetView topLeftCell="B6" zoomScale="90" zoomScaleNormal="90" workbookViewId="0">
      <selection activeCell="E15" sqref="E15:F15"/>
    </sheetView>
  </sheetViews>
  <sheetFormatPr baseColWidth="10" defaultColWidth="10.85546875" defaultRowHeight="15"/>
  <cols>
    <col min="1" max="1" width="48.28515625" style="126" customWidth="1"/>
    <col min="2" max="2" width="73.42578125" style="126" customWidth="1"/>
    <col min="3" max="3" width="10.85546875" style="126"/>
    <col min="4" max="4" width="31.140625" style="126" customWidth="1"/>
    <col min="5" max="5" width="70.140625" style="126" customWidth="1"/>
    <col min="6" max="6" width="17.28515625" style="126" customWidth="1"/>
    <col min="7" max="8" width="21.85546875" style="126" customWidth="1"/>
    <col min="9" max="9" width="19.28515625" style="126" customWidth="1"/>
    <col min="10" max="10" width="42" style="126" customWidth="1"/>
    <col min="11" max="16384" width="10.85546875" style="126"/>
  </cols>
  <sheetData>
    <row r="1" spans="1:2" ht="25.5" customHeight="1">
      <c r="A1" s="1168" t="s">
        <v>248</v>
      </c>
      <c r="B1" s="1169"/>
    </row>
    <row r="2" spans="1:2" ht="25.5" customHeight="1">
      <c r="A2" s="1170" t="s">
        <v>895</v>
      </c>
      <c r="B2" s="1171"/>
    </row>
    <row r="3" spans="1:2">
      <c r="A3" s="127" t="s">
        <v>896</v>
      </c>
      <c r="B3" s="127" t="s">
        <v>897</v>
      </c>
    </row>
    <row r="4" spans="1:2">
      <c r="A4" s="128" t="s">
        <v>9</v>
      </c>
      <c r="B4" s="136" t="s">
        <v>898</v>
      </c>
    </row>
    <row r="5" spans="1:2" ht="105">
      <c r="A5" s="128" t="s">
        <v>10</v>
      </c>
      <c r="B5" s="135" t="s">
        <v>899</v>
      </c>
    </row>
    <row r="6" spans="1:2">
      <c r="A6" s="128" t="s">
        <v>15</v>
      </c>
      <c r="B6" s="1172" t="s">
        <v>900</v>
      </c>
    </row>
    <row r="7" spans="1:2">
      <c r="A7" s="128" t="s">
        <v>17</v>
      </c>
      <c r="B7" s="1173"/>
    </row>
    <row r="8" spans="1:2">
      <c r="A8" s="128" t="s">
        <v>19</v>
      </c>
      <c r="B8" s="1173"/>
    </row>
    <row r="9" spans="1:2">
      <c r="A9" s="128" t="s">
        <v>901</v>
      </c>
      <c r="B9" s="1174"/>
    </row>
    <row r="10" spans="1:2" ht="30">
      <c r="A10" s="128" t="s">
        <v>7</v>
      </c>
      <c r="B10" s="129" t="s">
        <v>902</v>
      </c>
    </row>
    <row r="11" spans="1:2" ht="45">
      <c r="A11" s="128" t="s">
        <v>27</v>
      </c>
      <c r="B11" s="129" t="s">
        <v>903</v>
      </c>
    </row>
    <row r="12" spans="1:2" ht="60">
      <c r="A12" s="128" t="s">
        <v>26</v>
      </c>
      <c r="B12" s="130" t="s">
        <v>904</v>
      </c>
    </row>
    <row r="13" spans="1:2" ht="30">
      <c r="A13" s="128" t="s">
        <v>905</v>
      </c>
      <c r="B13" s="130" t="s">
        <v>906</v>
      </c>
    </row>
    <row r="14" spans="1:2" ht="45">
      <c r="A14" s="128" t="s">
        <v>907</v>
      </c>
      <c r="B14" s="130" t="s">
        <v>908</v>
      </c>
    </row>
    <row r="15" spans="1:2" ht="72" customHeight="1">
      <c r="A15" s="131" t="s">
        <v>909</v>
      </c>
      <c r="B15" s="132" t="s">
        <v>910</v>
      </c>
    </row>
    <row r="16" spans="1:2" ht="194.25">
      <c r="A16" s="131" t="s">
        <v>911</v>
      </c>
      <c r="B16" s="133" t="s">
        <v>912</v>
      </c>
    </row>
    <row r="17" spans="1:2" ht="25.5" customHeight="1">
      <c r="A17" s="1170" t="s">
        <v>913</v>
      </c>
      <c r="B17" s="1171"/>
    </row>
    <row r="18" spans="1:2">
      <c r="A18" s="127" t="s">
        <v>896</v>
      </c>
      <c r="B18" s="127" t="s">
        <v>897</v>
      </c>
    </row>
    <row r="19" spans="1:2">
      <c r="A19" s="128" t="s">
        <v>9</v>
      </c>
      <c r="B19" s="136" t="s">
        <v>898</v>
      </c>
    </row>
    <row r="20" spans="1:2" ht="105">
      <c r="A20" s="128" t="s">
        <v>10</v>
      </c>
      <c r="B20" s="135" t="s">
        <v>899</v>
      </c>
    </row>
    <row r="21" spans="1:2" ht="30">
      <c r="A21" s="128" t="s">
        <v>914</v>
      </c>
      <c r="B21" s="130" t="s">
        <v>915</v>
      </c>
    </row>
    <row r="22" spans="1:2" ht="45">
      <c r="A22" s="128" t="s">
        <v>916</v>
      </c>
      <c r="B22" s="130" t="s">
        <v>917</v>
      </c>
    </row>
    <row r="23" spans="1:2" ht="75">
      <c r="A23" s="128" t="s">
        <v>918</v>
      </c>
      <c r="B23" s="130" t="s">
        <v>919</v>
      </c>
    </row>
    <row r="24" spans="1:2" ht="30">
      <c r="A24" s="128" t="s">
        <v>920</v>
      </c>
      <c r="B24" s="130" t="s">
        <v>921</v>
      </c>
    </row>
    <row r="25" spans="1:2" ht="30">
      <c r="A25" s="128" t="s">
        <v>922</v>
      </c>
      <c r="B25" s="130" t="s">
        <v>923</v>
      </c>
    </row>
    <row r="26" spans="1:2" ht="45.95" customHeight="1">
      <c r="A26" s="128" t="s">
        <v>924</v>
      </c>
      <c r="B26" s="134" t="s">
        <v>925</v>
      </c>
    </row>
    <row r="27" spans="1:2" ht="75">
      <c r="A27" s="128" t="s">
        <v>260</v>
      </c>
      <c r="B27" s="134" t="s">
        <v>926</v>
      </c>
    </row>
    <row r="28" spans="1:2" ht="45">
      <c r="A28" s="128" t="s">
        <v>927</v>
      </c>
      <c r="B28" s="134" t="s">
        <v>928</v>
      </c>
    </row>
    <row r="29" spans="1:2" ht="45">
      <c r="A29" s="128" t="s">
        <v>929</v>
      </c>
      <c r="B29" s="134" t="s">
        <v>930</v>
      </c>
    </row>
    <row r="30" spans="1:2" ht="45">
      <c r="A30" s="128" t="s">
        <v>931</v>
      </c>
      <c r="B30" s="134" t="s">
        <v>932</v>
      </c>
    </row>
    <row r="31" spans="1:2" ht="144" customHeight="1">
      <c r="A31" s="128" t="s">
        <v>933</v>
      </c>
      <c r="B31" s="134" t="s">
        <v>934</v>
      </c>
    </row>
    <row r="32" spans="1:2" ht="30">
      <c r="A32" s="128" t="s">
        <v>935</v>
      </c>
      <c r="B32" s="134" t="s">
        <v>936</v>
      </c>
    </row>
    <row r="33" spans="1:2" ht="30">
      <c r="A33" s="128" t="s">
        <v>937</v>
      </c>
      <c r="B33" s="134" t="s">
        <v>938</v>
      </c>
    </row>
    <row r="34" spans="1:2" ht="30">
      <c r="A34" s="128" t="s">
        <v>939</v>
      </c>
      <c r="B34" s="134" t="s">
        <v>940</v>
      </c>
    </row>
    <row r="35" spans="1:2" ht="30">
      <c r="A35" s="128" t="s">
        <v>941</v>
      </c>
      <c r="B35" s="134" t="s">
        <v>942</v>
      </c>
    </row>
    <row r="36" spans="1:2" ht="90">
      <c r="A36" s="128" t="s">
        <v>250</v>
      </c>
      <c r="B36" s="134" t="s">
        <v>943</v>
      </c>
    </row>
    <row r="37" spans="1:2" ht="45">
      <c r="A37" s="128" t="s">
        <v>944</v>
      </c>
      <c r="B37" s="134" t="s">
        <v>945</v>
      </c>
    </row>
    <row r="38" spans="1:2" ht="42.75">
      <c r="A38" s="131" t="s">
        <v>252</v>
      </c>
      <c r="B38" s="134" t="s">
        <v>946</v>
      </c>
    </row>
    <row r="39" spans="1:2" ht="25.5" customHeight="1">
      <c r="A39" s="1170" t="s">
        <v>947</v>
      </c>
      <c r="B39" s="1171"/>
    </row>
    <row r="40" spans="1:2">
      <c r="A40" s="1168" t="s">
        <v>948</v>
      </c>
      <c r="B40" s="1169"/>
    </row>
    <row r="41" spans="1:2" ht="72" customHeight="1">
      <c r="A41" s="1166" t="s">
        <v>949</v>
      </c>
      <c r="B41" s="1167"/>
    </row>
  </sheetData>
  <mergeCells count="7">
    <mergeCell ref="A41:B41"/>
    <mergeCell ref="A1:B1"/>
    <mergeCell ref="A2:B2"/>
    <mergeCell ref="B6:B9"/>
    <mergeCell ref="A17:B17"/>
    <mergeCell ref="A39:B39"/>
    <mergeCell ref="A40:B4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56"/>
  <sheetViews>
    <sheetView zoomScale="91" workbookViewId="0">
      <selection activeCell="E15" sqref="E15:F15"/>
    </sheetView>
  </sheetViews>
  <sheetFormatPr baseColWidth="10" defaultColWidth="11.42578125" defaultRowHeight="15"/>
  <cols>
    <col min="1" max="1" width="44.140625" style="108" customWidth="1"/>
    <col min="2" max="2" width="61.85546875" style="108" customWidth="1"/>
    <col min="3" max="3" width="61.140625" style="108" customWidth="1"/>
    <col min="4" max="4" width="81" style="108" customWidth="1"/>
    <col min="5" max="5" width="32.85546875" style="126" customWidth="1"/>
    <col min="6" max="6" width="19" style="108" customWidth="1"/>
    <col min="7" max="7" width="29.42578125" style="108" customWidth="1"/>
    <col min="8" max="8" width="36.28515625" style="108" customWidth="1"/>
    <col min="9" max="9" width="40" style="108" customWidth="1"/>
    <col min="10" max="16384" width="11.42578125" style="108"/>
  </cols>
  <sheetData>
    <row r="1" spans="1:9" s="114" customFormat="1">
      <c r="A1" s="113" t="s">
        <v>950</v>
      </c>
      <c r="B1" s="113" t="s">
        <v>951</v>
      </c>
      <c r="C1" s="113" t="s">
        <v>952</v>
      </c>
      <c r="D1" s="113" t="s">
        <v>953</v>
      </c>
      <c r="E1" s="113" t="s">
        <v>931</v>
      </c>
      <c r="F1" s="113" t="s">
        <v>954</v>
      </c>
      <c r="G1" s="113" t="s">
        <v>955</v>
      </c>
      <c r="H1" s="113" t="s">
        <v>194</v>
      </c>
      <c r="I1" s="113" t="s">
        <v>922</v>
      </c>
    </row>
    <row r="2" spans="1:9" s="114" customFormat="1">
      <c r="A2" s="115" t="s">
        <v>956</v>
      </c>
      <c r="B2" s="111" t="s">
        <v>957</v>
      </c>
      <c r="C2" s="115" t="s">
        <v>958</v>
      </c>
      <c r="D2" s="116" t="s">
        <v>959</v>
      </c>
      <c r="E2" s="112" t="s">
        <v>960</v>
      </c>
      <c r="F2" s="117" t="s">
        <v>961</v>
      </c>
      <c r="G2" s="118" t="s">
        <v>962</v>
      </c>
      <c r="H2" s="118" t="s">
        <v>963</v>
      </c>
      <c r="I2" s="117" t="s">
        <v>964</v>
      </c>
    </row>
    <row r="3" spans="1:9">
      <c r="A3" s="115" t="s">
        <v>965</v>
      </c>
      <c r="B3" s="111" t="s">
        <v>966</v>
      </c>
      <c r="C3" s="115" t="s">
        <v>967</v>
      </c>
      <c r="D3" s="119" t="s">
        <v>968</v>
      </c>
      <c r="E3" s="112" t="s">
        <v>969</v>
      </c>
      <c r="F3" s="117" t="s">
        <v>970</v>
      </c>
      <c r="G3" s="118" t="s">
        <v>971</v>
      </c>
      <c r="H3" s="118" t="s">
        <v>206</v>
      </c>
      <c r="I3" s="117" t="s">
        <v>972</v>
      </c>
    </row>
    <row r="4" spans="1:9">
      <c r="A4" s="115" t="s">
        <v>417</v>
      </c>
      <c r="B4" s="111" t="s">
        <v>973</v>
      </c>
      <c r="C4" s="115" t="s">
        <v>974</v>
      </c>
      <c r="D4" s="119" t="s">
        <v>975</v>
      </c>
      <c r="E4" s="112" t="s">
        <v>976</v>
      </c>
      <c r="F4" s="117" t="s">
        <v>977</v>
      </c>
      <c r="G4" s="118" t="s">
        <v>978</v>
      </c>
      <c r="H4" s="118" t="s">
        <v>201</v>
      </c>
      <c r="I4" s="117" t="s">
        <v>979</v>
      </c>
    </row>
    <row r="5" spans="1:9">
      <c r="A5" s="115" t="s">
        <v>980</v>
      </c>
      <c r="B5" s="111" t="s">
        <v>981</v>
      </c>
      <c r="C5" s="115" t="s">
        <v>982</v>
      </c>
      <c r="D5" s="119" t="s">
        <v>983</v>
      </c>
      <c r="E5" s="112" t="s">
        <v>984</v>
      </c>
      <c r="F5" s="117" t="s">
        <v>985</v>
      </c>
      <c r="G5" s="118" t="s">
        <v>986</v>
      </c>
      <c r="H5" s="118" t="s">
        <v>202</v>
      </c>
      <c r="I5" s="117" t="s">
        <v>987</v>
      </c>
    </row>
    <row r="6" spans="1:9" ht="30">
      <c r="A6" s="115" t="s">
        <v>988</v>
      </c>
      <c r="B6" s="111" t="s">
        <v>989</v>
      </c>
      <c r="C6" s="115" t="s">
        <v>990</v>
      </c>
      <c r="D6" s="119" t="s">
        <v>991</v>
      </c>
      <c r="E6" s="112" t="s">
        <v>992</v>
      </c>
      <c r="G6" s="118" t="s">
        <v>993</v>
      </c>
      <c r="H6" s="118" t="s">
        <v>203</v>
      </c>
      <c r="I6" s="117" t="s">
        <v>994</v>
      </c>
    </row>
    <row r="7" spans="1:9" ht="30">
      <c r="B7" s="111" t="s">
        <v>995</v>
      </c>
      <c r="C7" s="115" t="s">
        <v>996</v>
      </c>
      <c r="D7" s="119" t="s">
        <v>997</v>
      </c>
      <c r="E7" s="117" t="s">
        <v>998</v>
      </c>
      <c r="G7" s="112" t="s">
        <v>212</v>
      </c>
      <c r="H7" s="118" t="s">
        <v>204</v>
      </c>
      <c r="I7" s="117" t="s">
        <v>999</v>
      </c>
    </row>
    <row r="8" spans="1:9" ht="30">
      <c r="A8" s="120"/>
      <c r="B8" s="111" t="s">
        <v>1000</v>
      </c>
      <c r="C8" s="115" t="s">
        <v>1001</v>
      </c>
      <c r="D8" s="119" t="s">
        <v>1002</v>
      </c>
      <c r="E8" s="117" t="s">
        <v>1003</v>
      </c>
      <c r="I8" s="117" t="s">
        <v>1004</v>
      </c>
    </row>
    <row r="9" spans="1:9" ht="32.1" customHeight="1">
      <c r="A9" s="120"/>
      <c r="B9" s="111" t="s">
        <v>1005</v>
      </c>
      <c r="C9" s="115" t="s">
        <v>1006</v>
      </c>
      <c r="D9" s="119" t="s">
        <v>1007</v>
      </c>
      <c r="E9" s="117" t="s">
        <v>1008</v>
      </c>
      <c r="I9" s="117" t="s">
        <v>1009</v>
      </c>
    </row>
    <row r="10" spans="1:9">
      <c r="A10" s="120"/>
      <c r="B10" s="111" t="s">
        <v>1010</v>
      </c>
      <c r="C10" s="115" t="s">
        <v>1011</v>
      </c>
      <c r="D10" s="119" t="s">
        <v>1012</v>
      </c>
      <c r="E10" s="117" t="s">
        <v>1013</v>
      </c>
      <c r="I10" s="117" t="s">
        <v>1014</v>
      </c>
    </row>
    <row r="11" spans="1:9">
      <c r="A11" s="120"/>
      <c r="B11" s="111" t="s">
        <v>1015</v>
      </c>
      <c r="C11" s="115" t="s">
        <v>1016</v>
      </c>
      <c r="D11" s="119" t="s">
        <v>1017</v>
      </c>
      <c r="E11" s="117" t="s">
        <v>1018</v>
      </c>
      <c r="I11" s="117" t="s">
        <v>1019</v>
      </c>
    </row>
    <row r="12" spans="1:9" ht="30">
      <c r="A12" s="120"/>
      <c r="B12" s="111" t="s">
        <v>1020</v>
      </c>
      <c r="C12" s="115" t="s">
        <v>1021</v>
      </c>
      <c r="D12" s="119" t="s">
        <v>1022</v>
      </c>
      <c r="E12" s="117" t="s">
        <v>1023</v>
      </c>
      <c r="I12" s="117" t="s">
        <v>1024</v>
      </c>
    </row>
    <row r="13" spans="1:9">
      <c r="A13" s="120"/>
      <c r="B13" s="174" t="s">
        <v>1025</v>
      </c>
      <c r="D13" s="119" t="s">
        <v>1026</v>
      </c>
      <c r="E13" s="117" t="s">
        <v>1027</v>
      </c>
      <c r="I13" s="117" t="s">
        <v>1028</v>
      </c>
    </row>
    <row r="14" spans="1:9">
      <c r="A14" s="120"/>
      <c r="B14" s="111" t="s">
        <v>1029</v>
      </c>
      <c r="C14" s="120"/>
      <c r="D14" s="119" t="s">
        <v>1030</v>
      </c>
      <c r="E14" s="117" t="s">
        <v>1031</v>
      </c>
    </row>
    <row r="15" spans="1:9">
      <c r="A15" s="120"/>
      <c r="B15" s="111" t="s">
        <v>1032</v>
      </c>
      <c r="C15" s="120"/>
      <c r="D15" s="119" t="s">
        <v>292</v>
      </c>
      <c r="E15" s="117" t="s">
        <v>1033</v>
      </c>
    </row>
    <row r="16" spans="1:9">
      <c r="A16" s="120"/>
      <c r="B16" s="111" t="s">
        <v>1034</v>
      </c>
      <c r="C16" s="120"/>
      <c r="D16" s="119" t="s">
        <v>1035</v>
      </c>
      <c r="E16" s="121"/>
    </row>
    <row r="17" spans="1:5">
      <c r="A17" s="120"/>
      <c r="B17" s="111" t="s">
        <v>1036</v>
      </c>
      <c r="C17" s="120"/>
      <c r="D17" s="119" t="s">
        <v>1037</v>
      </c>
      <c r="E17" s="121"/>
    </row>
    <row r="18" spans="1:5">
      <c r="A18" s="120"/>
      <c r="B18" s="111" t="s">
        <v>1038</v>
      </c>
      <c r="C18" s="120"/>
      <c r="D18" s="119" t="s">
        <v>1039</v>
      </c>
      <c r="E18" s="121"/>
    </row>
    <row r="19" spans="1:5">
      <c r="A19" s="120"/>
      <c r="B19" s="111" t="s">
        <v>1040</v>
      </c>
      <c r="C19" s="120"/>
      <c r="D19" s="119" t="s">
        <v>1041</v>
      </c>
      <c r="E19" s="121"/>
    </row>
    <row r="20" spans="1:5">
      <c r="A20" s="120"/>
      <c r="B20" s="111" t="s">
        <v>1042</v>
      </c>
      <c r="C20" s="120"/>
      <c r="D20" s="119" t="s">
        <v>1043</v>
      </c>
      <c r="E20" s="121"/>
    </row>
    <row r="21" spans="1:5">
      <c r="B21" s="111" t="s">
        <v>1044</v>
      </c>
      <c r="D21" s="119" t="s">
        <v>1045</v>
      </c>
      <c r="E21" s="121"/>
    </row>
    <row r="22" spans="1:5">
      <c r="B22" s="111" t="s">
        <v>1046</v>
      </c>
      <c r="D22" s="119" t="s">
        <v>1047</v>
      </c>
      <c r="E22" s="121"/>
    </row>
    <row r="23" spans="1:5">
      <c r="B23" s="111" t="s">
        <v>1048</v>
      </c>
      <c r="D23" s="119" t="s">
        <v>1049</v>
      </c>
      <c r="E23" s="121"/>
    </row>
    <row r="24" spans="1:5">
      <c r="D24" s="122" t="s">
        <v>1050</v>
      </c>
      <c r="E24" s="122" t="s">
        <v>1051</v>
      </c>
    </row>
    <row r="25" spans="1:5">
      <c r="D25" s="123" t="s">
        <v>1052</v>
      </c>
      <c r="E25" s="117" t="s">
        <v>1053</v>
      </c>
    </row>
    <row r="26" spans="1:5">
      <c r="D26" s="123" t="s">
        <v>447</v>
      </c>
      <c r="E26" s="117" t="s">
        <v>1054</v>
      </c>
    </row>
    <row r="27" spans="1:5">
      <c r="D27" s="1175" t="s">
        <v>1055</v>
      </c>
      <c r="E27" s="117" t="s">
        <v>1056</v>
      </c>
    </row>
    <row r="28" spans="1:5">
      <c r="D28" s="1176"/>
      <c r="E28" s="117" t="s">
        <v>1057</v>
      </c>
    </row>
    <row r="29" spans="1:5">
      <c r="D29" s="1176"/>
      <c r="E29" s="117" t="s">
        <v>1058</v>
      </c>
    </row>
    <row r="30" spans="1:5">
      <c r="D30" s="1177"/>
      <c r="E30" s="117" t="s">
        <v>1059</v>
      </c>
    </row>
    <row r="31" spans="1:5">
      <c r="D31" s="123" t="s">
        <v>1060</v>
      </c>
      <c r="E31" s="117" t="s">
        <v>1061</v>
      </c>
    </row>
    <row r="32" spans="1:5">
      <c r="D32" s="123" t="s">
        <v>1062</v>
      </c>
      <c r="E32" s="117" t="s">
        <v>1063</v>
      </c>
    </row>
    <row r="33" spans="4:5">
      <c r="D33" s="123" t="s">
        <v>1064</v>
      </c>
      <c r="E33" s="117" t="s">
        <v>1065</v>
      </c>
    </row>
    <row r="34" spans="4:5">
      <c r="D34" s="123" t="s">
        <v>1066</v>
      </c>
      <c r="E34" s="117" t="s">
        <v>1067</v>
      </c>
    </row>
    <row r="35" spans="4:5">
      <c r="D35" s="123" t="s">
        <v>1068</v>
      </c>
      <c r="E35" s="117" t="s">
        <v>1069</v>
      </c>
    </row>
    <row r="36" spans="4:5">
      <c r="D36" s="123" t="s">
        <v>1070</v>
      </c>
      <c r="E36" s="117" t="s">
        <v>1071</v>
      </c>
    </row>
    <row r="37" spans="4:5">
      <c r="D37" s="123" t="s">
        <v>1072</v>
      </c>
      <c r="E37" s="117" t="s">
        <v>1073</v>
      </c>
    </row>
    <row r="38" spans="4:5">
      <c r="D38" s="123" t="s">
        <v>1074</v>
      </c>
      <c r="E38" s="117" t="s">
        <v>1075</v>
      </c>
    </row>
    <row r="39" spans="4:5">
      <c r="D39" s="124" t="s">
        <v>1076</v>
      </c>
      <c r="E39" s="117" t="s">
        <v>1077</v>
      </c>
    </row>
    <row r="40" spans="4:5">
      <c r="D40" s="124" t="s">
        <v>1078</v>
      </c>
      <c r="E40" s="117" t="s">
        <v>1079</v>
      </c>
    </row>
    <row r="41" spans="4:5">
      <c r="D41" s="123" t="s">
        <v>1080</v>
      </c>
      <c r="E41" s="117" t="s">
        <v>1081</v>
      </c>
    </row>
    <row r="42" spans="4:5">
      <c r="D42" s="123" t="s">
        <v>1082</v>
      </c>
      <c r="E42" s="117" t="s">
        <v>1083</v>
      </c>
    </row>
    <row r="43" spans="4:5">
      <c r="D43" s="124" t="s">
        <v>1084</v>
      </c>
      <c r="E43" s="117" t="s">
        <v>1085</v>
      </c>
    </row>
    <row r="44" spans="4:5">
      <c r="D44" s="125" t="s">
        <v>1086</v>
      </c>
      <c r="E44" s="117" t="s">
        <v>1087</v>
      </c>
    </row>
    <row r="45" spans="4:5">
      <c r="D45" s="119" t="s">
        <v>1088</v>
      </c>
      <c r="E45" s="117" t="s">
        <v>1089</v>
      </c>
    </row>
    <row r="46" spans="4:5">
      <c r="D46" s="119" t="s">
        <v>1090</v>
      </c>
      <c r="E46" s="117" t="s">
        <v>1091</v>
      </c>
    </row>
    <row r="47" spans="4:5">
      <c r="D47" s="119" t="s">
        <v>1092</v>
      </c>
      <c r="E47" s="117" t="s">
        <v>1093</v>
      </c>
    </row>
    <row r="48" spans="4:5">
      <c r="D48" s="119" t="s">
        <v>1094</v>
      </c>
      <c r="E48" s="117" t="s">
        <v>1095</v>
      </c>
    </row>
    <row r="49" spans="4:4">
      <c r="D49" s="122" t="s">
        <v>1096</v>
      </c>
    </row>
    <row r="50" spans="4:4">
      <c r="D50" s="119" t="s">
        <v>1097</v>
      </c>
    </row>
    <row r="51" spans="4:4">
      <c r="D51" s="119" t="s">
        <v>1098</v>
      </c>
    </row>
    <row r="52" spans="4:4">
      <c r="D52" s="122" t="s">
        <v>1099</v>
      </c>
    </row>
    <row r="53" spans="4:4">
      <c r="D53" s="125" t="s">
        <v>1100</v>
      </c>
    </row>
    <row r="54" spans="4:4">
      <c r="D54" s="125" t="s">
        <v>1101</v>
      </c>
    </row>
    <row r="55" spans="4:4">
      <c r="D55" s="125" t="s">
        <v>1102</v>
      </c>
    </row>
    <row r="56" spans="4:4">
      <c r="D56" s="125" t="s">
        <v>1103</v>
      </c>
    </row>
  </sheetData>
  <mergeCells count="1">
    <mergeCell ref="D27:D30"/>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61194-B07C-4358-95D6-51410D094AD2}">
  <dimension ref="A1:F20"/>
  <sheetViews>
    <sheetView workbookViewId="0">
      <selection activeCell="E17" sqref="E17"/>
    </sheetView>
  </sheetViews>
  <sheetFormatPr baseColWidth="10" defaultColWidth="11.42578125" defaultRowHeight="15"/>
  <sheetData>
    <row r="1" spans="1:6">
      <c r="A1" t="s">
        <v>1104</v>
      </c>
    </row>
    <row r="2" spans="1:6">
      <c r="B2" s="276" t="s">
        <v>31</v>
      </c>
      <c r="C2" s="276" t="s">
        <v>32</v>
      </c>
      <c r="D2" s="276" t="s">
        <v>8</v>
      </c>
    </row>
    <row r="3" spans="1:6">
      <c r="A3" t="s">
        <v>1105</v>
      </c>
      <c r="B3">
        <v>24</v>
      </c>
      <c r="C3">
        <v>158</v>
      </c>
      <c r="D3">
        <v>67</v>
      </c>
      <c r="E3" s="276">
        <f>SUM(B3:D3)</f>
        <v>249</v>
      </c>
      <c r="F3" s="276" t="s">
        <v>1106</v>
      </c>
    </row>
    <row r="4" spans="1:6">
      <c r="A4" t="s">
        <v>1107</v>
      </c>
      <c r="B4">
        <v>1</v>
      </c>
      <c r="C4">
        <v>2</v>
      </c>
      <c r="D4">
        <v>0</v>
      </c>
      <c r="E4" s="276">
        <f t="shared" ref="E4:E17" si="0">SUM(B4:D4)</f>
        <v>3</v>
      </c>
      <c r="F4" s="276" t="s">
        <v>1108</v>
      </c>
    </row>
    <row r="5" spans="1:6">
      <c r="A5" t="s">
        <v>1109</v>
      </c>
      <c r="B5">
        <v>2</v>
      </c>
      <c r="C5">
        <v>2</v>
      </c>
      <c r="D5">
        <v>0</v>
      </c>
      <c r="E5" s="276">
        <f t="shared" si="0"/>
        <v>4</v>
      </c>
      <c r="F5" s="276" t="s">
        <v>1110</v>
      </c>
    </row>
    <row r="6" spans="1:6">
      <c r="A6" t="s">
        <v>1111</v>
      </c>
      <c r="B6">
        <v>25</v>
      </c>
      <c r="C6">
        <v>24</v>
      </c>
      <c r="D6">
        <v>0</v>
      </c>
      <c r="E6" s="276">
        <f t="shared" si="0"/>
        <v>49</v>
      </c>
      <c r="F6" s="276" t="s">
        <v>1112</v>
      </c>
    </row>
    <row r="7" spans="1:6">
      <c r="A7" t="s">
        <v>1113</v>
      </c>
      <c r="B7">
        <v>83</v>
      </c>
      <c r="C7">
        <v>41</v>
      </c>
      <c r="D7">
        <v>3</v>
      </c>
      <c r="E7" s="276">
        <f t="shared" si="0"/>
        <v>127</v>
      </c>
      <c r="F7" s="276" t="s">
        <v>1114</v>
      </c>
    </row>
    <row r="8" spans="1:6">
      <c r="A8" t="s">
        <v>1115</v>
      </c>
      <c r="B8">
        <v>237</v>
      </c>
      <c r="C8">
        <v>341</v>
      </c>
      <c r="D8">
        <v>377</v>
      </c>
      <c r="E8" s="276">
        <f t="shared" si="0"/>
        <v>955</v>
      </c>
      <c r="F8" s="276" t="s">
        <v>1116</v>
      </c>
    </row>
    <row r="9" spans="1:6">
      <c r="A9" t="s">
        <v>1117</v>
      </c>
      <c r="B9">
        <v>148</v>
      </c>
      <c r="C9">
        <v>340</v>
      </c>
      <c r="D9">
        <v>151</v>
      </c>
      <c r="E9" s="276">
        <f t="shared" si="0"/>
        <v>639</v>
      </c>
      <c r="F9" s="276" t="s">
        <v>1118</v>
      </c>
    </row>
    <row r="10" spans="1:6">
      <c r="A10" t="s">
        <v>1119</v>
      </c>
      <c r="B10">
        <v>4</v>
      </c>
      <c r="C10">
        <v>2</v>
      </c>
      <c r="D10">
        <v>6</v>
      </c>
      <c r="E10" s="276">
        <f t="shared" si="0"/>
        <v>12</v>
      </c>
      <c r="F10" s="276" t="s">
        <v>1120</v>
      </c>
    </row>
    <row r="11" spans="1:6">
      <c r="A11" t="s">
        <v>1121</v>
      </c>
      <c r="B11">
        <v>3</v>
      </c>
      <c r="C11">
        <v>0</v>
      </c>
      <c r="D11">
        <v>0</v>
      </c>
      <c r="E11" s="276">
        <f t="shared" si="0"/>
        <v>3</v>
      </c>
      <c r="F11" s="276" t="s">
        <v>1122</v>
      </c>
    </row>
    <row r="12" spans="1:6">
      <c r="A12" t="s">
        <v>1123</v>
      </c>
      <c r="B12">
        <v>4</v>
      </c>
      <c r="C12">
        <v>21</v>
      </c>
      <c r="D12">
        <v>15</v>
      </c>
      <c r="E12" s="276">
        <f t="shared" si="0"/>
        <v>40</v>
      </c>
      <c r="F12" s="276" t="s">
        <v>1124</v>
      </c>
    </row>
    <row r="13" spans="1:6">
      <c r="A13" t="s">
        <v>1125</v>
      </c>
      <c r="B13">
        <v>0</v>
      </c>
      <c r="C13">
        <v>19</v>
      </c>
      <c r="D13">
        <v>55</v>
      </c>
      <c r="E13" s="276">
        <f t="shared" si="0"/>
        <v>74</v>
      </c>
      <c r="F13" s="276" t="s">
        <v>1126</v>
      </c>
    </row>
    <row r="14" spans="1:6">
      <c r="A14" t="s">
        <v>1127</v>
      </c>
      <c r="B14">
        <v>0</v>
      </c>
      <c r="C14">
        <v>0</v>
      </c>
      <c r="D14">
        <v>25</v>
      </c>
      <c r="E14" s="276">
        <f t="shared" si="0"/>
        <v>25</v>
      </c>
      <c r="F14" s="276" t="s">
        <v>1128</v>
      </c>
    </row>
    <row r="15" spans="1:6">
      <c r="A15" t="s">
        <v>1129</v>
      </c>
      <c r="B15">
        <v>0</v>
      </c>
      <c r="C15">
        <v>0</v>
      </c>
      <c r="D15">
        <v>4</v>
      </c>
      <c r="E15" s="276">
        <f t="shared" si="0"/>
        <v>4</v>
      </c>
      <c r="F15" s="276" t="s">
        <v>1130</v>
      </c>
    </row>
    <row r="16" spans="1:6">
      <c r="A16" t="s">
        <v>1131</v>
      </c>
      <c r="B16">
        <v>0</v>
      </c>
      <c r="C16">
        <v>0</v>
      </c>
      <c r="D16">
        <v>30</v>
      </c>
      <c r="E16" s="276">
        <f t="shared" si="0"/>
        <v>30</v>
      </c>
      <c r="F16" s="276" t="s">
        <v>1132</v>
      </c>
    </row>
    <row r="17" spans="1:6">
      <c r="A17" t="s">
        <v>1133</v>
      </c>
      <c r="B17">
        <v>0</v>
      </c>
      <c r="C17">
        <v>0</v>
      </c>
      <c r="D17">
        <v>7</v>
      </c>
      <c r="E17" s="276">
        <f t="shared" si="0"/>
        <v>7</v>
      </c>
      <c r="F17" s="276" t="s">
        <v>1134</v>
      </c>
    </row>
    <row r="19" spans="1:6">
      <c r="B19" s="276">
        <f>SUM(B3:B18)</f>
        <v>531</v>
      </c>
      <c r="C19" s="276">
        <f>SUM(C3:C18)</f>
        <v>950</v>
      </c>
      <c r="D19" s="276">
        <f>SUM(D3:D18)</f>
        <v>740</v>
      </c>
    </row>
    <row r="20" spans="1:6">
      <c r="A20" t="s">
        <v>1135</v>
      </c>
    </row>
  </sheetData>
  <pageMargins left="0.7" right="0.7" top="0.75" bottom="0.75" header="0.3" footer="0.3"/>
  <pageSetup orientation="portrait" horizontalDpi="360" verticalDpi="36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ColWidth="8.7109375" defaultRowHeight="15"/>
  <cols>
    <col min="1" max="256" width="11.42578125" customWidth="1"/>
  </cols>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46"/>
  <sheetViews>
    <sheetView zoomScale="90" zoomScaleNormal="90" workbookViewId="0">
      <selection activeCell="P9" sqref="P9"/>
    </sheetView>
  </sheetViews>
  <sheetFormatPr baseColWidth="10" defaultColWidth="8.7109375" defaultRowHeight="15"/>
  <cols>
    <col min="1" max="2" width="11.42578125" customWidth="1"/>
    <col min="3" max="3" width="6.85546875" customWidth="1"/>
    <col min="4" max="4" width="8.85546875" customWidth="1"/>
    <col min="5" max="5" width="10.85546875" customWidth="1"/>
    <col min="6" max="256" width="11.42578125" customWidth="1"/>
  </cols>
  <sheetData>
    <row r="1" spans="1:14">
      <c r="B1" t="s">
        <v>1136</v>
      </c>
      <c r="C1" s="1181" t="s">
        <v>1137</v>
      </c>
      <c r="D1" s="1181"/>
      <c r="E1" s="1181"/>
      <c r="F1" s="1181"/>
      <c r="G1" s="1182" t="s">
        <v>1138</v>
      </c>
      <c r="H1" s="1183"/>
      <c r="I1" s="1183"/>
      <c r="J1" s="1184"/>
      <c r="K1" s="1180" t="s">
        <v>1139</v>
      </c>
      <c r="L1" s="1180"/>
      <c r="M1" s="1180"/>
      <c r="N1" s="1180"/>
    </row>
    <row r="2" spans="1:14">
      <c r="C2" s="4"/>
      <c r="D2" s="4"/>
      <c r="E2" s="4"/>
      <c r="F2" s="4" t="s">
        <v>1140</v>
      </c>
      <c r="G2" s="30"/>
      <c r="H2" s="4"/>
      <c r="I2" s="4"/>
      <c r="J2" s="31" t="s">
        <v>1140</v>
      </c>
      <c r="K2" s="4"/>
      <c r="L2" s="4"/>
      <c r="M2" s="4"/>
      <c r="N2" s="4" t="s">
        <v>1140</v>
      </c>
    </row>
    <row r="3" spans="1:14">
      <c r="A3" s="1179" t="s">
        <v>1141</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c r="A4" s="1179"/>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c r="A5" s="1179"/>
      <c r="B5" s="5">
        <v>3</v>
      </c>
      <c r="C5" s="6">
        <v>0.05</v>
      </c>
      <c r="D5" s="6">
        <v>0.05</v>
      </c>
      <c r="E5" s="6">
        <v>0.1</v>
      </c>
      <c r="F5" s="7">
        <f>(C5+D5+E5)</f>
        <v>0.2</v>
      </c>
      <c r="G5" s="32">
        <v>0.1</v>
      </c>
      <c r="H5" s="6">
        <v>0.1</v>
      </c>
      <c r="I5" s="6">
        <v>0.1</v>
      </c>
      <c r="J5" s="33">
        <f>(G5+H5+I5)</f>
        <v>0.30000000000000004</v>
      </c>
      <c r="K5" s="24"/>
      <c r="L5" s="5"/>
      <c r="M5" s="5"/>
      <c r="N5" s="5"/>
    </row>
    <row r="6" spans="1:14">
      <c r="A6" s="1179"/>
      <c r="B6" s="5">
        <v>4</v>
      </c>
      <c r="C6" s="6">
        <v>0.1</v>
      </c>
      <c r="D6" s="6">
        <v>0.1</v>
      </c>
      <c r="E6" s="6">
        <v>0.2</v>
      </c>
      <c r="F6" s="7">
        <f>(C6+D6+E6)</f>
        <v>0.4</v>
      </c>
      <c r="G6" s="32">
        <v>0</v>
      </c>
      <c r="H6" s="6">
        <v>0</v>
      </c>
      <c r="I6" s="6">
        <v>0.1</v>
      </c>
      <c r="J6" s="33">
        <f>(G6+H6+I6)</f>
        <v>0.1</v>
      </c>
      <c r="K6" s="24"/>
      <c r="L6" s="5"/>
      <c r="M6" s="5"/>
      <c r="N6" s="5"/>
    </row>
    <row r="7" spans="1:14">
      <c r="A7" s="1179"/>
      <c r="B7" s="5">
        <v>5</v>
      </c>
      <c r="C7" s="6">
        <v>0</v>
      </c>
      <c r="D7" s="6">
        <v>0</v>
      </c>
      <c r="E7" s="6">
        <v>0</v>
      </c>
      <c r="F7" s="7">
        <f>(C7+D7+E7)</f>
        <v>0</v>
      </c>
      <c r="G7" s="32">
        <v>0</v>
      </c>
      <c r="H7" s="6">
        <v>0</v>
      </c>
      <c r="I7" s="6">
        <v>0</v>
      </c>
      <c r="J7" s="33">
        <f>(G7+H7+I7)</f>
        <v>0</v>
      </c>
      <c r="K7" s="24"/>
      <c r="L7" s="5"/>
      <c r="M7" s="5"/>
      <c r="N7" s="5"/>
    </row>
    <row r="8" spans="1:14">
      <c r="A8" s="1179" t="s">
        <v>1142</v>
      </c>
      <c r="B8" s="9">
        <v>6</v>
      </c>
      <c r="C8" s="10">
        <v>0.1</v>
      </c>
      <c r="D8" s="10">
        <v>0.1</v>
      </c>
      <c r="E8" s="10">
        <v>0.1</v>
      </c>
      <c r="F8" s="11">
        <f>C8+D8+E8</f>
        <v>0.30000000000000004</v>
      </c>
      <c r="G8" s="34"/>
      <c r="H8" s="9"/>
      <c r="I8" s="9"/>
      <c r="J8" s="35"/>
      <c r="K8" s="25"/>
      <c r="L8" s="9"/>
      <c r="M8" s="9"/>
      <c r="N8" s="9"/>
    </row>
    <row r="9" spans="1:14">
      <c r="A9" s="1179"/>
      <c r="B9" s="9">
        <v>7</v>
      </c>
      <c r="C9" s="9"/>
      <c r="D9" s="9"/>
      <c r="E9" s="9"/>
      <c r="F9" s="19"/>
      <c r="G9" s="36"/>
      <c r="H9" s="9"/>
      <c r="I9" s="9"/>
      <c r="J9" s="35"/>
      <c r="K9" s="25"/>
      <c r="L9" s="9"/>
      <c r="M9" s="9"/>
      <c r="N9" s="9"/>
    </row>
    <row r="10" spans="1:14">
      <c r="A10" s="1179"/>
      <c r="B10" s="9">
        <v>8</v>
      </c>
      <c r="C10" s="9"/>
      <c r="D10" s="9"/>
      <c r="E10" s="9"/>
      <c r="F10" s="19"/>
      <c r="G10" s="36"/>
      <c r="H10" s="9"/>
      <c r="I10" s="9"/>
      <c r="J10" s="35"/>
      <c r="K10" s="25"/>
      <c r="L10" s="9"/>
      <c r="M10" s="9"/>
      <c r="N10" s="9"/>
    </row>
    <row r="11" spans="1:14">
      <c r="A11" s="1179"/>
      <c r="B11" s="9">
        <v>9</v>
      </c>
      <c r="C11" s="9"/>
      <c r="D11" s="9"/>
      <c r="E11" s="9"/>
      <c r="F11" s="19"/>
      <c r="G11" s="36"/>
      <c r="H11" s="9"/>
      <c r="I11" s="9"/>
      <c r="J11" s="35"/>
      <c r="K11" s="25"/>
      <c r="L11" s="9"/>
      <c r="M11" s="9"/>
      <c r="N11" s="9"/>
    </row>
    <row r="12" spans="1:14">
      <c r="A12" s="1179" t="s">
        <v>1143</v>
      </c>
      <c r="B12" s="14">
        <v>10</v>
      </c>
      <c r="C12" s="14"/>
      <c r="D12" s="14"/>
      <c r="E12" s="14"/>
      <c r="F12" s="20"/>
      <c r="G12" s="37"/>
      <c r="H12" s="14"/>
      <c r="I12" s="14"/>
      <c r="J12" s="38"/>
      <c r="K12" s="26"/>
      <c r="L12" s="14"/>
      <c r="M12" s="14"/>
      <c r="N12" s="14"/>
    </row>
    <row r="13" spans="1:14">
      <c r="A13" s="1179"/>
      <c r="B13" s="14">
        <v>11</v>
      </c>
      <c r="C13" s="14"/>
      <c r="D13" s="14"/>
      <c r="E13" s="14"/>
      <c r="F13" s="20"/>
      <c r="G13" s="37"/>
      <c r="H13" s="14"/>
      <c r="I13" s="14"/>
      <c r="J13" s="38"/>
      <c r="K13" s="26"/>
      <c r="L13" s="14"/>
      <c r="M13" s="14"/>
      <c r="N13" s="14"/>
    </row>
    <row r="14" spans="1:14">
      <c r="A14" s="1179"/>
      <c r="B14" s="14">
        <v>12</v>
      </c>
      <c r="C14" s="14"/>
      <c r="D14" s="14"/>
      <c r="E14" s="14"/>
      <c r="F14" s="20"/>
      <c r="G14" s="37"/>
      <c r="H14" s="14"/>
      <c r="I14" s="14"/>
      <c r="J14" s="38"/>
      <c r="K14" s="26"/>
      <c r="L14" s="14"/>
      <c r="M14" s="14"/>
      <c r="N14" s="14"/>
    </row>
    <row r="15" spans="1:14">
      <c r="A15" s="1179"/>
      <c r="B15" s="14">
        <v>13</v>
      </c>
      <c r="C15" s="14"/>
      <c r="D15" s="14"/>
      <c r="E15" s="14"/>
      <c r="F15" s="20"/>
      <c r="G15" s="37"/>
      <c r="H15" s="14"/>
      <c r="I15" s="14"/>
      <c r="J15" s="38"/>
      <c r="K15" s="26"/>
      <c r="L15" s="14"/>
      <c r="M15" s="14"/>
      <c r="N15" s="14"/>
    </row>
    <row r="16" spans="1:14">
      <c r="A16" s="1179" t="s">
        <v>1144</v>
      </c>
      <c r="B16" s="15">
        <v>14</v>
      </c>
      <c r="C16" s="15"/>
      <c r="D16" s="15"/>
      <c r="E16" s="15"/>
      <c r="F16" s="21"/>
      <c r="G16" s="39"/>
      <c r="H16" s="15"/>
      <c r="I16" s="15"/>
      <c r="J16" s="40"/>
      <c r="K16" s="27"/>
      <c r="L16" s="15"/>
      <c r="M16" s="15"/>
      <c r="N16" s="15"/>
    </row>
    <row r="17" spans="1:14">
      <c r="A17" s="1179"/>
      <c r="B17" s="15">
        <v>15</v>
      </c>
      <c r="C17" s="15"/>
      <c r="D17" s="15"/>
      <c r="E17" s="15"/>
      <c r="F17" s="21"/>
      <c r="G17" s="39"/>
      <c r="H17" s="15"/>
      <c r="I17" s="15"/>
      <c r="J17" s="40"/>
      <c r="K17" s="27"/>
      <c r="L17" s="15"/>
      <c r="M17" s="15"/>
      <c r="N17" s="15"/>
    </row>
    <row r="18" spans="1:14">
      <c r="A18" s="1179"/>
      <c r="B18" s="15">
        <v>16</v>
      </c>
      <c r="C18" s="15"/>
      <c r="D18" s="15"/>
      <c r="E18" s="15"/>
      <c r="F18" s="21"/>
      <c r="G18" s="39"/>
      <c r="H18" s="15"/>
      <c r="I18" s="15"/>
      <c r="J18" s="40"/>
      <c r="K18" s="27"/>
      <c r="L18" s="15"/>
      <c r="M18" s="15"/>
      <c r="N18" s="15"/>
    </row>
    <row r="19" spans="1:14">
      <c r="A19" s="1179" t="s">
        <v>1145</v>
      </c>
      <c r="B19" s="18">
        <v>17</v>
      </c>
      <c r="C19" s="18"/>
      <c r="D19" s="18"/>
      <c r="E19" s="18"/>
      <c r="F19" s="22"/>
      <c r="G19" s="41"/>
      <c r="H19" s="18"/>
      <c r="I19" s="18"/>
      <c r="J19" s="42"/>
      <c r="K19" s="28"/>
      <c r="L19" s="18"/>
      <c r="M19" s="18"/>
      <c r="N19" s="18"/>
    </row>
    <row r="20" spans="1:14">
      <c r="A20" s="1179"/>
      <c r="B20" s="18">
        <v>18</v>
      </c>
      <c r="C20" s="18"/>
      <c r="D20" s="18"/>
      <c r="E20" s="18"/>
      <c r="F20" s="22"/>
      <c r="G20" s="41"/>
      <c r="H20" s="18"/>
      <c r="I20" s="18"/>
      <c r="J20" s="42"/>
      <c r="K20" s="28"/>
      <c r="L20" s="18"/>
      <c r="M20" s="18"/>
      <c r="N20" s="18"/>
    </row>
    <row r="21" spans="1:14">
      <c r="A21" s="1179"/>
      <c r="B21" s="18">
        <v>19</v>
      </c>
      <c r="C21" s="18"/>
      <c r="D21" s="18"/>
      <c r="E21" s="18"/>
      <c r="F21" s="22"/>
      <c r="G21" s="41"/>
      <c r="H21" s="18"/>
      <c r="I21" s="18"/>
      <c r="J21" s="42"/>
      <c r="K21" s="28"/>
      <c r="L21" s="18"/>
      <c r="M21" s="18"/>
      <c r="N21" s="18"/>
    </row>
    <row r="22" spans="1:14">
      <c r="A22" s="1179"/>
      <c r="B22" s="18">
        <v>20</v>
      </c>
      <c r="C22" s="18"/>
      <c r="D22" s="18"/>
      <c r="E22" s="18"/>
      <c r="F22" s="22"/>
      <c r="G22" s="41"/>
      <c r="H22" s="18"/>
      <c r="I22" s="18"/>
      <c r="J22" s="42"/>
      <c r="K22" s="28"/>
      <c r="L22" s="18"/>
      <c r="M22" s="18"/>
      <c r="N22" s="18"/>
    </row>
    <row r="23" spans="1:14">
      <c r="A23" s="1179" t="s">
        <v>1146</v>
      </c>
      <c r="B23" s="13">
        <v>21</v>
      </c>
      <c r="C23" s="13"/>
      <c r="D23" s="13"/>
      <c r="E23" s="13"/>
      <c r="F23" s="23"/>
      <c r="G23" s="43"/>
      <c r="H23" s="13"/>
      <c r="I23" s="13"/>
      <c r="J23" s="44"/>
      <c r="K23" s="29"/>
      <c r="L23" s="13"/>
      <c r="M23" s="13"/>
      <c r="N23" s="13"/>
    </row>
    <row r="24" spans="1:14">
      <c r="A24" s="1179"/>
      <c r="B24" s="13">
        <v>22</v>
      </c>
      <c r="C24" s="13"/>
      <c r="D24" s="13"/>
      <c r="E24" s="13"/>
      <c r="F24" s="23"/>
      <c r="G24" s="43"/>
      <c r="H24" s="13"/>
      <c r="I24" s="13"/>
      <c r="J24" s="44"/>
      <c r="K24" s="29"/>
      <c r="L24" s="13"/>
      <c r="M24" s="13"/>
      <c r="N24" s="13"/>
    </row>
    <row r="25" spans="1:14">
      <c r="A25" s="1179"/>
      <c r="B25" s="13">
        <v>23</v>
      </c>
      <c r="C25" s="13"/>
      <c r="D25" s="13"/>
      <c r="E25" s="13"/>
      <c r="F25" s="23"/>
      <c r="G25" s="43"/>
      <c r="H25" s="13"/>
      <c r="I25" s="13"/>
      <c r="J25" s="44"/>
      <c r="K25" s="29"/>
      <c r="L25" s="13"/>
      <c r="M25" s="13"/>
      <c r="N25" s="13"/>
    </row>
    <row r="26" spans="1:14">
      <c r="A26" s="1179"/>
      <c r="B26" s="13">
        <v>24</v>
      </c>
      <c r="C26" s="13"/>
      <c r="D26" s="13"/>
      <c r="E26" s="13"/>
      <c r="F26" s="23"/>
      <c r="G26" s="43"/>
      <c r="H26" s="13"/>
      <c r="I26" s="13"/>
      <c r="J26" s="44"/>
      <c r="K26" s="29"/>
      <c r="L26" s="13"/>
      <c r="M26" s="13"/>
      <c r="N26" s="13"/>
    </row>
    <row r="27" spans="1:14">
      <c r="A27" s="1179" t="s">
        <v>1147</v>
      </c>
      <c r="B27" s="9">
        <v>25</v>
      </c>
      <c r="C27" s="9"/>
      <c r="D27" s="9"/>
      <c r="E27" s="9"/>
      <c r="F27" s="9"/>
      <c r="G27" s="9"/>
      <c r="H27" s="9"/>
      <c r="I27" s="9"/>
      <c r="J27" s="9"/>
      <c r="K27" s="9"/>
      <c r="L27" s="9"/>
      <c r="M27" s="9"/>
      <c r="N27" s="9"/>
    </row>
    <row r="28" spans="1:14">
      <c r="A28" s="1179"/>
      <c r="B28" s="9">
        <v>26</v>
      </c>
      <c r="C28" s="9"/>
      <c r="D28" s="9"/>
      <c r="E28" s="9"/>
      <c r="F28" s="9"/>
      <c r="G28" s="9"/>
      <c r="H28" s="9"/>
      <c r="I28" s="9"/>
      <c r="J28" s="9"/>
      <c r="K28" s="9"/>
      <c r="L28" s="9"/>
      <c r="M28" s="9"/>
      <c r="N28" s="9"/>
    </row>
    <row r="29" spans="1:14">
      <c r="A29" s="1179"/>
      <c r="B29" s="9">
        <v>27</v>
      </c>
      <c r="C29" s="9"/>
      <c r="D29" s="9"/>
      <c r="E29" s="9"/>
      <c r="F29" s="9"/>
      <c r="G29" s="9"/>
      <c r="H29" s="9"/>
      <c r="I29" s="9"/>
      <c r="J29" s="9"/>
      <c r="K29" s="9"/>
      <c r="L29" s="9"/>
      <c r="M29" s="9"/>
      <c r="N29" s="9"/>
    </row>
    <row r="30" spans="1:14">
      <c r="A30" s="1179"/>
      <c r="B30" s="9">
        <v>28</v>
      </c>
      <c r="C30" s="9"/>
      <c r="D30" s="9"/>
      <c r="E30" s="9"/>
      <c r="F30" s="9"/>
      <c r="G30" s="9"/>
      <c r="H30" s="9"/>
      <c r="I30" s="9"/>
      <c r="J30" s="9"/>
      <c r="K30" s="9"/>
      <c r="L30" s="9"/>
      <c r="M30" s="9"/>
      <c r="N30" s="9"/>
    </row>
    <row r="31" spans="1:14">
      <c r="A31" s="1179"/>
      <c r="B31" s="9">
        <v>29</v>
      </c>
      <c r="C31" s="9"/>
      <c r="D31" s="9"/>
      <c r="E31" s="9"/>
      <c r="F31" s="9"/>
      <c r="G31" s="9"/>
      <c r="H31" s="9"/>
      <c r="I31" s="9"/>
      <c r="J31" s="9"/>
      <c r="K31" s="9"/>
      <c r="L31" s="9"/>
      <c r="M31" s="9"/>
      <c r="N31" s="9"/>
    </row>
    <row r="32" spans="1:14">
      <c r="A32" s="1179" t="s">
        <v>1148</v>
      </c>
      <c r="B32" s="16">
        <v>30</v>
      </c>
      <c r="C32" s="16"/>
      <c r="D32" s="16"/>
      <c r="E32" s="16"/>
      <c r="F32" s="16"/>
      <c r="G32" s="16"/>
      <c r="H32" s="16"/>
      <c r="I32" s="16"/>
      <c r="J32" s="16"/>
      <c r="K32" s="16"/>
      <c r="L32" s="16"/>
      <c r="M32" s="16"/>
      <c r="N32" s="16"/>
    </row>
    <row r="33" spans="1:14">
      <c r="A33" s="1179"/>
      <c r="B33" s="16">
        <v>31</v>
      </c>
      <c r="C33" s="16"/>
      <c r="D33" s="16"/>
      <c r="E33" s="16"/>
      <c r="F33" s="16"/>
      <c r="G33" s="16"/>
      <c r="H33" s="16"/>
      <c r="I33" s="16"/>
      <c r="J33" s="16"/>
      <c r="K33" s="16"/>
      <c r="L33" s="16"/>
      <c r="M33" s="16"/>
      <c r="N33" s="16"/>
    </row>
    <row r="34" spans="1:14">
      <c r="A34" s="1179"/>
      <c r="B34" s="16">
        <v>32</v>
      </c>
      <c r="C34" s="16"/>
      <c r="D34" s="16"/>
      <c r="E34" s="16"/>
      <c r="F34" s="16"/>
      <c r="G34" s="16"/>
      <c r="H34" s="16"/>
      <c r="I34" s="16"/>
      <c r="J34" s="16"/>
      <c r="K34" s="16"/>
      <c r="L34" s="16"/>
      <c r="M34" s="16"/>
      <c r="N34" s="16"/>
    </row>
    <row r="35" spans="1:14">
      <c r="A35" s="1179" t="s">
        <v>1149</v>
      </c>
      <c r="B35" s="17">
        <v>33</v>
      </c>
      <c r="C35" s="14"/>
      <c r="D35" s="14"/>
      <c r="E35" s="14"/>
      <c r="F35" s="14"/>
      <c r="G35" s="14"/>
      <c r="H35" s="14"/>
      <c r="I35" s="14"/>
      <c r="J35" s="14"/>
      <c r="K35" s="14"/>
      <c r="L35" s="14"/>
      <c r="M35" s="14"/>
      <c r="N35" s="14"/>
    </row>
    <row r="36" spans="1:14">
      <c r="A36" s="1179"/>
      <c r="B36" s="14">
        <v>34</v>
      </c>
      <c r="C36" s="14"/>
      <c r="D36" s="14"/>
      <c r="E36" s="14"/>
      <c r="F36" s="14"/>
      <c r="G36" s="14"/>
      <c r="H36" s="14"/>
      <c r="I36" s="14"/>
      <c r="J36" s="14"/>
      <c r="K36" s="14"/>
      <c r="L36" s="14"/>
      <c r="M36" s="14"/>
      <c r="N36" s="14"/>
    </row>
    <row r="37" spans="1:14">
      <c r="A37" s="1179"/>
      <c r="B37" s="45">
        <v>35</v>
      </c>
      <c r="C37" s="14"/>
      <c r="D37" s="14"/>
      <c r="E37" s="14"/>
      <c r="F37" s="14"/>
      <c r="G37" s="14"/>
      <c r="H37" s="14"/>
      <c r="I37" s="14"/>
      <c r="J37" s="14"/>
      <c r="K37" s="14"/>
      <c r="L37" s="14"/>
      <c r="M37" s="14"/>
      <c r="N37" s="14"/>
    </row>
    <row r="38" spans="1:14">
      <c r="A38" s="1179" t="s">
        <v>1150</v>
      </c>
      <c r="B38" s="8">
        <v>36</v>
      </c>
      <c r="C38" s="8"/>
      <c r="D38" s="8"/>
      <c r="E38" s="8"/>
      <c r="F38" s="8"/>
      <c r="G38" s="8"/>
      <c r="H38" s="8"/>
      <c r="I38" s="8"/>
      <c r="J38" s="8"/>
      <c r="K38" s="8"/>
      <c r="L38" s="8"/>
      <c r="M38" s="8"/>
      <c r="N38" s="8"/>
    </row>
    <row r="39" spans="1:14">
      <c r="A39" s="1179"/>
      <c r="B39" s="8">
        <v>37</v>
      </c>
      <c r="C39" s="8"/>
      <c r="D39" s="8"/>
      <c r="E39" s="8"/>
      <c r="F39" s="8"/>
      <c r="G39" s="8"/>
      <c r="H39" s="8"/>
      <c r="I39" s="8"/>
      <c r="J39" s="8"/>
      <c r="K39" s="8"/>
      <c r="L39" s="8"/>
      <c r="M39" s="8"/>
      <c r="N39" s="8"/>
    </row>
    <row r="40" spans="1:14">
      <c r="A40" s="1179"/>
      <c r="B40" s="8">
        <v>38</v>
      </c>
      <c r="C40" s="8"/>
      <c r="D40" s="8"/>
      <c r="E40" s="8"/>
      <c r="F40" s="8"/>
      <c r="G40" s="8"/>
      <c r="H40" s="8"/>
      <c r="I40" s="8"/>
      <c r="J40" s="8"/>
      <c r="K40" s="8"/>
      <c r="L40" s="8"/>
      <c r="M40" s="8"/>
      <c r="N40" s="8"/>
    </row>
    <row r="41" spans="1:14">
      <c r="A41" s="1185" t="s">
        <v>1151</v>
      </c>
      <c r="B41" s="46">
        <v>39</v>
      </c>
      <c r="C41" s="47"/>
      <c r="D41" s="47"/>
      <c r="E41" s="47"/>
      <c r="F41" s="47"/>
      <c r="G41" s="47"/>
      <c r="H41" s="47"/>
      <c r="I41" s="47"/>
      <c r="J41" s="47"/>
      <c r="K41" s="47"/>
      <c r="L41" s="47"/>
      <c r="M41" s="47"/>
      <c r="N41" s="47"/>
    </row>
    <row r="42" spans="1:14">
      <c r="A42" s="1185"/>
      <c r="B42" s="47">
        <v>40</v>
      </c>
      <c r="C42" s="47"/>
      <c r="D42" s="47"/>
      <c r="E42" s="47"/>
      <c r="F42" s="47"/>
      <c r="G42" s="47"/>
      <c r="H42" s="47"/>
      <c r="I42" s="47"/>
      <c r="J42" s="47"/>
      <c r="K42" s="47"/>
      <c r="L42" s="47"/>
      <c r="M42" s="47"/>
      <c r="N42" s="47"/>
    </row>
    <row r="43" spans="1:14">
      <c r="A43" s="1185"/>
      <c r="B43" s="47">
        <v>41</v>
      </c>
      <c r="C43" s="47"/>
      <c r="D43" s="47"/>
      <c r="E43" s="47"/>
      <c r="F43" s="47"/>
      <c r="G43" s="47"/>
      <c r="H43" s="47"/>
      <c r="I43" s="47"/>
      <c r="J43" s="47"/>
      <c r="K43" s="47"/>
      <c r="L43" s="47"/>
      <c r="M43" s="47"/>
      <c r="N43" s="47"/>
    </row>
    <row r="44" spans="1:14">
      <c r="A44" s="1185"/>
      <c r="B44" s="48">
        <v>42</v>
      </c>
      <c r="C44" s="47"/>
      <c r="D44" s="47"/>
      <c r="E44" s="47"/>
      <c r="F44" s="47"/>
      <c r="G44" s="47"/>
      <c r="H44" s="47"/>
      <c r="I44" s="47"/>
      <c r="J44" s="47"/>
      <c r="K44" s="47"/>
      <c r="L44" s="47"/>
      <c r="M44" s="47"/>
      <c r="N44" s="47"/>
    </row>
    <row r="45" spans="1:14">
      <c r="A45" s="1178" t="s">
        <v>1152</v>
      </c>
      <c r="B45" s="12">
        <v>43</v>
      </c>
      <c r="C45" s="12"/>
      <c r="D45" s="12"/>
      <c r="E45" s="12"/>
      <c r="F45" s="12"/>
      <c r="G45" s="12"/>
      <c r="H45" s="12"/>
      <c r="I45" s="12"/>
      <c r="J45" s="12"/>
      <c r="K45" s="12"/>
      <c r="L45" s="12"/>
      <c r="M45" s="12"/>
      <c r="N45" s="12"/>
    </row>
    <row r="46" spans="1:14">
      <c r="A46" s="1178"/>
      <c r="B46" s="12">
        <v>44</v>
      </c>
      <c r="C46" s="12"/>
      <c r="D46" s="12"/>
      <c r="E46" s="12"/>
      <c r="F46" s="12"/>
      <c r="G46" s="12"/>
      <c r="H46" s="12"/>
      <c r="I46" s="12"/>
      <c r="J46" s="12"/>
      <c r="K46" s="12"/>
      <c r="L46" s="12"/>
      <c r="M46" s="12"/>
      <c r="N46" s="12"/>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AO45"/>
  <sheetViews>
    <sheetView showGridLines="0" view="pageBreakPreview" topLeftCell="J29" zoomScale="60" zoomScaleNormal="75" workbookViewId="0">
      <selection activeCell="Q42" sqref="Q42"/>
    </sheetView>
  </sheetViews>
  <sheetFormatPr baseColWidth="10" defaultColWidth="10.85546875" defaultRowHeight="15"/>
  <cols>
    <col min="1" max="1" width="38.42578125" style="50" customWidth="1"/>
    <col min="2" max="2" width="15.42578125" style="50" customWidth="1"/>
    <col min="3" max="30" width="14.85546875" style="50" customWidth="1"/>
    <col min="31" max="31" width="12" style="50" bestFit="1" customWidth="1"/>
    <col min="32" max="36" width="17.28515625" style="157"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c r="A1" s="702"/>
      <c r="B1" s="705" t="s">
        <v>0</v>
      </c>
      <c r="C1" s="706"/>
      <c r="D1" s="706"/>
      <c r="E1" s="706"/>
      <c r="F1" s="706"/>
      <c r="G1" s="706"/>
      <c r="H1" s="706"/>
      <c r="I1" s="706"/>
      <c r="J1" s="706"/>
      <c r="K1" s="706"/>
      <c r="L1" s="706"/>
      <c r="M1" s="706"/>
      <c r="N1" s="706"/>
      <c r="O1" s="706"/>
      <c r="P1" s="706"/>
      <c r="Q1" s="706"/>
      <c r="R1" s="706"/>
      <c r="S1" s="706"/>
      <c r="T1" s="706"/>
      <c r="U1" s="706"/>
      <c r="V1" s="706"/>
      <c r="W1" s="706"/>
      <c r="X1" s="706"/>
      <c r="Y1" s="706"/>
      <c r="Z1" s="706"/>
      <c r="AA1" s="707"/>
      <c r="AB1" s="878" t="s">
        <v>1</v>
      </c>
      <c r="AC1" s="879"/>
      <c r="AD1" s="880"/>
    </row>
    <row r="2" spans="1:30" ht="30.75" customHeight="1">
      <c r="A2" s="703"/>
      <c r="B2" s="711" t="s">
        <v>2</v>
      </c>
      <c r="C2" s="712"/>
      <c r="D2" s="712"/>
      <c r="E2" s="712"/>
      <c r="F2" s="712"/>
      <c r="G2" s="712"/>
      <c r="H2" s="712"/>
      <c r="I2" s="712"/>
      <c r="J2" s="712"/>
      <c r="K2" s="712"/>
      <c r="L2" s="712"/>
      <c r="M2" s="712"/>
      <c r="N2" s="712"/>
      <c r="O2" s="712"/>
      <c r="P2" s="712"/>
      <c r="Q2" s="712"/>
      <c r="R2" s="712"/>
      <c r="S2" s="712"/>
      <c r="T2" s="712"/>
      <c r="U2" s="712"/>
      <c r="V2" s="712"/>
      <c r="W2" s="712"/>
      <c r="X2" s="712"/>
      <c r="Y2" s="712"/>
      <c r="Z2" s="712"/>
      <c r="AA2" s="713"/>
      <c r="AB2" s="881" t="s">
        <v>3</v>
      </c>
      <c r="AC2" s="882"/>
      <c r="AD2" s="883"/>
    </row>
    <row r="3" spans="1:30" ht="33" customHeight="1">
      <c r="A3" s="703"/>
      <c r="B3" s="717" t="s">
        <v>4</v>
      </c>
      <c r="C3" s="718"/>
      <c r="D3" s="718"/>
      <c r="E3" s="718"/>
      <c r="F3" s="718"/>
      <c r="G3" s="718"/>
      <c r="H3" s="718"/>
      <c r="I3" s="718"/>
      <c r="J3" s="718"/>
      <c r="K3" s="718"/>
      <c r="L3" s="718"/>
      <c r="M3" s="718"/>
      <c r="N3" s="718"/>
      <c r="O3" s="718"/>
      <c r="P3" s="718"/>
      <c r="Q3" s="718"/>
      <c r="R3" s="718"/>
      <c r="S3" s="718"/>
      <c r="T3" s="718"/>
      <c r="U3" s="718"/>
      <c r="V3" s="718"/>
      <c r="W3" s="718"/>
      <c r="X3" s="718"/>
      <c r="Y3" s="718"/>
      <c r="Z3" s="718"/>
      <c r="AA3" s="719"/>
      <c r="AB3" s="881" t="s">
        <v>5</v>
      </c>
      <c r="AC3" s="882"/>
      <c r="AD3" s="883"/>
    </row>
    <row r="4" spans="1:30" ht="21.95" customHeight="1" thickBot="1">
      <c r="A4" s="704"/>
      <c r="B4" s="720"/>
      <c r="C4" s="721"/>
      <c r="D4" s="721"/>
      <c r="E4" s="721"/>
      <c r="F4" s="721"/>
      <c r="G4" s="721"/>
      <c r="H4" s="721"/>
      <c r="I4" s="721"/>
      <c r="J4" s="721"/>
      <c r="K4" s="721"/>
      <c r="L4" s="721"/>
      <c r="M4" s="721"/>
      <c r="N4" s="721"/>
      <c r="O4" s="721"/>
      <c r="P4" s="721"/>
      <c r="Q4" s="721"/>
      <c r="R4" s="721"/>
      <c r="S4" s="721"/>
      <c r="T4" s="721"/>
      <c r="U4" s="721"/>
      <c r="V4" s="721"/>
      <c r="W4" s="721"/>
      <c r="X4" s="721"/>
      <c r="Y4" s="721"/>
      <c r="Z4" s="721"/>
      <c r="AA4" s="722"/>
      <c r="AB4" s="875" t="s">
        <v>6</v>
      </c>
      <c r="AC4" s="876"/>
      <c r="AD4" s="877"/>
    </row>
    <row r="5" spans="1:30" ht="9" customHeight="1" thickBot="1">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c r="A7" s="726" t="s">
        <v>7</v>
      </c>
      <c r="B7" s="727"/>
      <c r="C7" s="735" t="s">
        <v>33</v>
      </c>
      <c r="D7" s="726" t="s">
        <v>9</v>
      </c>
      <c r="E7" s="738"/>
      <c r="F7" s="738"/>
      <c r="G7" s="738"/>
      <c r="H7" s="727"/>
      <c r="I7" s="741">
        <v>44714</v>
      </c>
      <c r="J7" s="742"/>
      <c r="K7" s="726" t="s">
        <v>10</v>
      </c>
      <c r="L7" s="727"/>
      <c r="M7" s="747" t="s">
        <v>11</v>
      </c>
      <c r="N7" s="748"/>
      <c r="O7" s="752"/>
      <c r="P7" s="753"/>
      <c r="Q7" s="54"/>
      <c r="R7" s="54"/>
      <c r="S7" s="54"/>
      <c r="T7" s="54"/>
      <c r="U7" s="54"/>
      <c r="V7" s="54"/>
      <c r="W7" s="54"/>
      <c r="X7" s="54"/>
      <c r="Y7" s="54"/>
      <c r="Z7" s="55"/>
      <c r="AA7" s="54"/>
      <c r="AB7" s="54"/>
      <c r="AC7" s="60"/>
      <c r="AD7" s="61"/>
    </row>
    <row r="8" spans="1:30">
      <c r="A8" s="728"/>
      <c r="B8" s="729"/>
      <c r="C8" s="736"/>
      <c r="D8" s="728"/>
      <c r="E8" s="739"/>
      <c r="F8" s="739"/>
      <c r="G8" s="739"/>
      <c r="H8" s="729"/>
      <c r="I8" s="743"/>
      <c r="J8" s="744"/>
      <c r="K8" s="728"/>
      <c r="L8" s="729"/>
      <c r="M8" s="754" t="s">
        <v>12</v>
      </c>
      <c r="N8" s="755"/>
      <c r="O8" s="756"/>
      <c r="P8" s="757"/>
      <c r="Q8" s="54"/>
      <c r="R8" s="54"/>
      <c r="S8" s="54"/>
      <c r="T8" s="54"/>
      <c r="U8" s="54"/>
      <c r="V8" s="54"/>
      <c r="W8" s="54"/>
      <c r="X8" s="54"/>
      <c r="Y8" s="54"/>
      <c r="Z8" s="55"/>
      <c r="AA8" s="54"/>
      <c r="AB8" s="54"/>
      <c r="AC8" s="60"/>
      <c r="AD8" s="61"/>
    </row>
    <row r="9" spans="1:30" ht="15.75" thickBot="1">
      <c r="A9" s="730"/>
      <c r="B9" s="731"/>
      <c r="C9" s="737"/>
      <c r="D9" s="730"/>
      <c r="E9" s="740"/>
      <c r="F9" s="740"/>
      <c r="G9" s="740"/>
      <c r="H9" s="731"/>
      <c r="I9" s="745"/>
      <c r="J9" s="746"/>
      <c r="K9" s="730"/>
      <c r="L9" s="731"/>
      <c r="M9" s="758" t="s">
        <v>13</v>
      </c>
      <c r="N9" s="759"/>
      <c r="O9" s="760" t="s">
        <v>14</v>
      </c>
      <c r="P9" s="761"/>
      <c r="Q9" s="54"/>
      <c r="R9" s="54"/>
      <c r="S9" s="54"/>
      <c r="T9" s="54"/>
      <c r="U9" s="54"/>
      <c r="V9" s="54"/>
      <c r="W9" s="54"/>
      <c r="X9" s="54"/>
      <c r="Y9" s="54"/>
      <c r="Z9" s="55"/>
      <c r="AA9" s="54"/>
      <c r="AB9" s="54"/>
      <c r="AC9" s="60"/>
      <c r="AD9" s="61"/>
    </row>
    <row r="10" spans="1:30" ht="15" customHeight="1" thickBot="1">
      <c r="A10" s="158"/>
      <c r="B10" s="400"/>
      <c r="C10" s="400"/>
      <c r="D10" s="65"/>
      <c r="E10" s="65"/>
      <c r="F10" s="65"/>
      <c r="G10" s="65"/>
      <c r="H10" s="65"/>
      <c r="I10" s="401"/>
      <c r="J10" s="401"/>
      <c r="K10" s="65"/>
      <c r="L10" s="65"/>
      <c r="M10" s="156"/>
      <c r="N10" s="156"/>
      <c r="O10" s="157"/>
      <c r="P10" s="157"/>
      <c r="Q10" s="400"/>
      <c r="R10" s="400"/>
      <c r="S10" s="400"/>
      <c r="T10" s="400"/>
      <c r="U10" s="400"/>
      <c r="V10" s="400"/>
      <c r="W10" s="400"/>
      <c r="X10" s="400"/>
      <c r="Y10" s="400"/>
      <c r="Z10" s="402"/>
      <c r="AA10" s="400"/>
      <c r="AB10" s="400"/>
      <c r="AC10" s="403"/>
      <c r="AD10" s="159"/>
    </row>
    <row r="11" spans="1:30" ht="15" customHeight="1">
      <c r="A11" s="726" t="s">
        <v>15</v>
      </c>
      <c r="B11" s="727"/>
      <c r="C11" s="732" t="s">
        <v>16</v>
      </c>
      <c r="D11" s="733"/>
      <c r="E11" s="733"/>
      <c r="F11" s="733"/>
      <c r="G11" s="733"/>
      <c r="H11" s="733"/>
      <c r="I11" s="733"/>
      <c r="J11" s="733"/>
      <c r="K11" s="733"/>
      <c r="L11" s="733"/>
      <c r="M11" s="733"/>
      <c r="N11" s="733"/>
      <c r="O11" s="733"/>
      <c r="P11" s="733"/>
      <c r="Q11" s="733"/>
      <c r="R11" s="733"/>
      <c r="S11" s="733"/>
      <c r="T11" s="733"/>
      <c r="U11" s="733"/>
      <c r="V11" s="733"/>
      <c r="W11" s="733"/>
      <c r="X11" s="733"/>
      <c r="Y11" s="733"/>
      <c r="Z11" s="733"/>
      <c r="AA11" s="733"/>
      <c r="AB11" s="733"/>
      <c r="AC11" s="733"/>
      <c r="AD11" s="734"/>
    </row>
    <row r="12" spans="1:30" ht="15" customHeight="1">
      <c r="A12" s="728"/>
      <c r="B12" s="729"/>
      <c r="C12" s="717"/>
      <c r="D12" s="718"/>
      <c r="E12" s="718"/>
      <c r="F12" s="718"/>
      <c r="G12" s="718"/>
      <c r="H12" s="718"/>
      <c r="I12" s="718"/>
      <c r="J12" s="718"/>
      <c r="K12" s="718"/>
      <c r="L12" s="718"/>
      <c r="M12" s="718"/>
      <c r="N12" s="718"/>
      <c r="O12" s="718"/>
      <c r="P12" s="718"/>
      <c r="Q12" s="718"/>
      <c r="R12" s="718"/>
      <c r="S12" s="718"/>
      <c r="T12" s="718"/>
      <c r="U12" s="718"/>
      <c r="V12" s="718"/>
      <c r="W12" s="718"/>
      <c r="X12" s="718"/>
      <c r="Y12" s="718"/>
      <c r="Z12" s="718"/>
      <c r="AA12" s="718"/>
      <c r="AB12" s="718"/>
      <c r="AC12" s="718"/>
      <c r="AD12" s="719"/>
    </row>
    <row r="13" spans="1:30" ht="15" customHeight="1" thickBot="1">
      <c r="A13" s="730"/>
      <c r="B13" s="731"/>
      <c r="C13" s="720"/>
      <c r="D13" s="721"/>
      <c r="E13" s="721"/>
      <c r="F13" s="721"/>
      <c r="G13" s="721"/>
      <c r="H13" s="721"/>
      <c r="I13" s="721"/>
      <c r="J13" s="721"/>
      <c r="K13" s="721"/>
      <c r="L13" s="721"/>
      <c r="M13" s="721"/>
      <c r="N13" s="721"/>
      <c r="O13" s="721"/>
      <c r="P13" s="721"/>
      <c r="Q13" s="721"/>
      <c r="R13" s="721"/>
      <c r="S13" s="721"/>
      <c r="T13" s="721"/>
      <c r="U13" s="721"/>
      <c r="V13" s="721"/>
      <c r="W13" s="721"/>
      <c r="X13" s="721"/>
      <c r="Y13" s="721"/>
      <c r="Z13" s="721"/>
      <c r="AA13" s="721"/>
      <c r="AB13" s="721"/>
      <c r="AC13" s="721"/>
      <c r="AD13" s="722"/>
    </row>
    <row r="14" spans="1:30" ht="9" customHeight="1" thickBot="1">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c r="A15" s="762" t="s">
        <v>17</v>
      </c>
      <c r="B15" s="763"/>
      <c r="C15" s="749" t="s">
        <v>18</v>
      </c>
      <c r="D15" s="750"/>
      <c r="E15" s="750"/>
      <c r="F15" s="750"/>
      <c r="G15" s="750"/>
      <c r="H15" s="750"/>
      <c r="I15" s="750"/>
      <c r="J15" s="750"/>
      <c r="K15" s="751"/>
      <c r="L15" s="764" t="s">
        <v>19</v>
      </c>
      <c r="M15" s="765"/>
      <c r="N15" s="765"/>
      <c r="O15" s="765"/>
      <c r="P15" s="765"/>
      <c r="Q15" s="766"/>
      <c r="R15" s="767" t="s">
        <v>20</v>
      </c>
      <c r="S15" s="768"/>
      <c r="T15" s="768"/>
      <c r="U15" s="768"/>
      <c r="V15" s="768"/>
      <c r="W15" s="768"/>
      <c r="X15" s="769"/>
      <c r="Y15" s="764" t="s">
        <v>21</v>
      </c>
      <c r="Z15" s="766"/>
      <c r="AA15" s="749" t="s">
        <v>22</v>
      </c>
      <c r="AB15" s="750"/>
      <c r="AC15" s="750"/>
      <c r="AD15" s="751"/>
    </row>
    <row r="16" spans="1:30" ht="9" customHeight="1" thickBot="1">
      <c r="A16" s="59"/>
      <c r="B16" s="54"/>
      <c r="C16" s="772"/>
      <c r="D16" s="772"/>
      <c r="E16" s="772"/>
      <c r="F16" s="772"/>
      <c r="G16" s="772"/>
      <c r="H16" s="772"/>
      <c r="I16" s="772"/>
      <c r="J16" s="772"/>
      <c r="K16" s="772"/>
      <c r="L16" s="772"/>
      <c r="M16" s="772"/>
      <c r="N16" s="772"/>
      <c r="O16" s="772"/>
      <c r="P16" s="772"/>
      <c r="Q16" s="772"/>
      <c r="R16" s="772"/>
      <c r="S16" s="772"/>
      <c r="T16" s="772"/>
      <c r="U16" s="772"/>
      <c r="V16" s="772"/>
      <c r="W16" s="772"/>
      <c r="X16" s="772"/>
      <c r="Y16" s="772"/>
      <c r="Z16" s="772"/>
      <c r="AA16" s="772"/>
      <c r="AB16" s="772"/>
      <c r="AC16" s="73"/>
      <c r="AD16" s="74"/>
    </row>
    <row r="17" spans="1:41" s="76" customFormat="1" ht="37.5" customHeight="1" thickBot="1">
      <c r="A17" s="762" t="s">
        <v>23</v>
      </c>
      <c r="B17" s="763"/>
      <c r="C17" s="870" t="s">
        <v>96</v>
      </c>
      <c r="D17" s="871"/>
      <c r="E17" s="871"/>
      <c r="F17" s="871"/>
      <c r="G17" s="871"/>
      <c r="H17" s="871"/>
      <c r="I17" s="871"/>
      <c r="J17" s="871"/>
      <c r="K17" s="871"/>
      <c r="L17" s="871"/>
      <c r="M17" s="871"/>
      <c r="N17" s="871"/>
      <c r="O17" s="871"/>
      <c r="P17" s="871"/>
      <c r="Q17" s="872"/>
      <c r="R17" s="764" t="s">
        <v>25</v>
      </c>
      <c r="S17" s="765"/>
      <c r="T17" s="765"/>
      <c r="U17" s="765"/>
      <c r="V17" s="766"/>
      <c r="W17" s="873">
        <v>4</v>
      </c>
      <c r="X17" s="874"/>
      <c r="Y17" s="765" t="s">
        <v>26</v>
      </c>
      <c r="Z17" s="765"/>
      <c r="AA17" s="765"/>
      <c r="AB17" s="766"/>
      <c r="AC17" s="778">
        <v>0.1</v>
      </c>
      <c r="AD17" s="779"/>
      <c r="AF17" s="446"/>
      <c r="AG17" s="446"/>
      <c r="AH17" s="446"/>
      <c r="AI17" s="446"/>
      <c r="AJ17" s="446"/>
    </row>
    <row r="18" spans="1:41" ht="16.5" customHeight="1" thickBot="1">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c r="A19" s="764" t="s">
        <v>27</v>
      </c>
      <c r="B19" s="765"/>
      <c r="C19" s="765"/>
      <c r="D19" s="765"/>
      <c r="E19" s="765"/>
      <c r="F19" s="765"/>
      <c r="G19" s="765"/>
      <c r="H19" s="765"/>
      <c r="I19" s="765"/>
      <c r="J19" s="765"/>
      <c r="K19" s="765"/>
      <c r="L19" s="765"/>
      <c r="M19" s="765"/>
      <c r="N19" s="765"/>
      <c r="O19" s="765"/>
      <c r="P19" s="765"/>
      <c r="Q19" s="765"/>
      <c r="R19" s="765"/>
      <c r="S19" s="765"/>
      <c r="T19" s="765"/>
      <c r="U19" s="765"/>
      <c r="V19" s="765"/>
      <c r="W19" s="765"/>
      <c r="X19" s="765"/>
      <c r="Y19" s="765"/>
      <c r="Z19" s="765"/>
      <c r="AA19" s="765"/>
      <c r="AB19" s="765"/>
      <c r="AC19" s="765"/>
      <c r="AD19" s="766"/>
      <c r="AE19" s="83"/>
      <c r="AF19" s="696"/>
    </row>
    <row r="20" spans="1:41" ht="32.1" customHeight="1" thickBot="1">
      <c r="A20" s="450"/>
      <c r="B20" s="58"/>
      <c r="C20" s="868" t="s">
        <v>28</v>
      </c>
      <c r="D20" s="868"/>
      <c r="E20" s="868"/>
      <c r="F20" s="868"/>
      <c r="G20" s="868"/>
      <c r="H20" s="868"/>
      <c r="I20" s="868"/>
      <c r="J20" s="868"/>
      <c r="K20" s="868"/>
      <c r="L20" s="868"/>
      <c r="M20" s="868"/>
      <c r="N20" s="868"/>
      <c r="O20" s="868"/>
      <c r="P20" s="869"/>
      <c r="Q20" s="780" t="s">
        <v>29</v>
      </c>
      <c r="R20" s="781"/>
      <c r="S20" s="781"/>
      <c r="T20" s="781"/>
      <c r="U20" s="781"/>
      <c r="V20" s="781"/>
      <c r="W20" s="781"/>
      <c r="X20" s="781"/>
      <c r="Y20" s="781"/>
      <c r="Z20" s="781"/>
      <c r="AA20" s="781"/>
      <c r="AB20" s="781"/>
      <c r="AC20" s="781"/>
      <c r="AD20" s="782"/>
      <c r="AE20" s="83"/>
      <c r="AF20" s="696"/>
    </row>
    <row r="21" spans="1:41" ht="32.1" customHeight="1" thickBot="1">
      <c r="A21" s="375"/>
      <c r="B21" s="499"/>
      <c r="C21" s="497" t="s">
        <v>30</v>
      </c>
      <c r="D21" s="397" t="s">
        <v>31</v>
      </c>
      <c r="E21" s="397" t="s">
        <v>32</v>
      </c>
      <c r="F21" s="397" t="s">
        <v>8</v>
      </c>
      <c r="G21" s="397" t="s">
        <v>33</v>
      </c>
      <c r="H21" s="397" t="s">
        <v>34</v>
      </c>
      <c r="I21" s="397" t="s">
        <v>35</v>
      </c>
      <c r="J21" s="397" t="s">
        <v>36</v>
      </c>
      <c r="K21" s="397" t="s">
        <v>37</v>
      </c>
      <c r="L21" s="397" t="s">
        <v>38</v>
      </c>
      <c r="M21" s="397" t="s">
        <v>39</v>
      </c>
      <c r="N21" s="397" t="s">
        <v>40</v>
      </c>
      <c r="O21" s="397" t="s">
        <v>41</v>
      </c>
      <c r="P21" s="398" t="s">
        <v>42</v>
      </c>
      <c r="Q21" s="396" t="s">
        <v>30</v>
      </c>
      <c r="R21" s="397" t="s">
        <v>31</v>
      </c>
      <c r="S21" s="397" t="s">
        <v>32</v>
      </c>
      <c r="T21" s="397" t="s">
        <v>8</v>
      </c>
      <c r="U21" s="397" t="s">
        <v>33</v>
      </c>
      <c r="V21" s="397" t="s">
        <v>34</v>
      </c>
      <c r="W21" s="397" t="s">
        <v>35</v>
      </c>
      <c r="X21" s="397" t="s">
        <v>36</v>
      </c>
      <c r="Y21" s="397" t="s">
        <v>37</v>
      </c>
      <c r="Z21" s="397" t="s">
        <v>38</v>
      </c>
      <c r="AA21" s="397" t="s">
        <v>39</v>
      </c>
      <c r="AB21" s="397" t="s">
        <v>40</v>
      </c>
      <c r="AC21" s="397" t="s">
        <v>41</v>
      </c>
      <c r="AD21" s="398" t="s">
        <v>42</v>
      </c>
      <c r="AE21" s="3"/>
      <c r="AF21" s="697"/>
    </row>
    <row r="22" spans="1:41" ht="32.1" customHeight="1">
      <c r="A22" s="783" t="s">
        <v>43</v>
      </c>
      <c r="B22" s="784"/>
      <c r="C22" s="447">
        <v>0</v>
      </c>
      <c r="D22" s="163">
        <v>0</v>
      </c>
      <c r="E22" s="163">
        <v>0</v>
      </c>
      <c r="F22" s="163">
        <v>0</v>
      </c>
      <c r="G22" s="163">
        <v>0</v>
      </c>
      <c r="H22" s="163">
        <v>0</v>
      </c>
      <c r="I22" s="163">
        <v>0</v>
      </c>
      <c r="J22" s="163">
        <v>0</v>
      </c>
      <c r="K22" s="163">
        <v>0</v>
      </c>
      <c r="L22" s="163">
        <v>0</v>
      </c>
      <c r="M22" s="163">
        <v>0</v>
      </c>
      <c r="N22" s="163">
        <v>0</v>
      </c>
      <c r="O22" s="163">
        <f>SUM(C22:N22)</f>
        <v>0</v>
      </c>
      <c r="P22" s="376"/>
      <c r="Q22" s="362">
        <v>0</v>
      </c>
      <c r="R22" s="163">
        <v>0</v>
      </c>
      <c r="S22" s="363">
        <v>0</v>
      </c>
      <c r="T22" s="363">
        <v>0</v>
      </c>
      <c r="U22" s="363">
        <v>0</v>
      </c>
      <c r="V22" s="363">
        <v>0</v>
      </c>
      <c r="W22" s="363">
        <v>184761500</v>
      </c>
      <c r="X22" s="163">
        <v>0</v>
      </c>
      <c r="Y22" s="363">
        <v>0</v>
      </c>
      <c r="Z22" s="163">
        <v>0</v>
      </c>
      <c r="AA22" s="163">
        <v>0</v>
      </c>
      <c r="AB22" s="163">
        <v>0</v>
      </c>
      <c r="AC22" s="363">
        <f>SUM(Q22:AB22)</f>
        <v>184761500</v>
      </c>
      <c r="AD22" s="167"/>
      <c r="AE22" s="3"/>
      <c r="AF22" s="697"/>
      <c r="AG22" s="698"/>
    </row>
    <row r="23" spans="1:41" ht="32.1" customHeight="1">
      <c r="A23" s="770" t="s">
        <v>44</v>
      </c>
      <c r="B23" s="771"/>
      <c r="C23" s="448">
        <v>0</v>
      </c>
      <c r="D23" s="160">
        <v>0</v>
      </c>
      <c r="E23" s="160">
        <v>0</v>
      </c>
      <c r="F23" s="160">
        <v>0</v>
      </c>
      <c r="G23" s="160">
        <v>0</v>
      </c>
      <c r="H23" s="160">
        <v>0</v>
      </c>
      <c r="I23" s="160">
        <v>0</v>
      </c>
      <c r="J23" s="160">
        <v>0</v>
      </c>
      <c r="K23" s="160">
        <v>0</v>
      </c>
      <c r="L23" s="160">
        <v>0</v>
      </c>
      <c r="M23" s="160">
        <v>0</v>
      </c>
      <c r="N23" s="160">
        <v>0</v>
      </c>
      <c r="O23" s="163">
        <f>SUM(C23:N23)</f>
        <v>0</v>
      </c>
      <c r="P23" s="165" t="str">
        <f>IFERROR(O23/(SUMIF(C23:N23,"&gt;0",C22:N22))," ")</f>
        <v xml:space="preserve"> </v>
      </c>
      <c r="Q23" s="164">
        <v>0</v>
      </c>
      <c r="R23" s="163">
        <v>0</v>
      </c>
      <c r="S23" s="163">
        <v>0</v>
      </c>
      <c r="T23" s="163">
        <v>0</v>
      </c>
      <c r="U23" s="163">
        <v>0</v>
      </c>
      <c r="V23" s="163">
        <v>0</v>
      </c>
      <c r="W23" s="163">
        <v>0</v>
      </c>
      <c r="X23" s="163">
        <v>0</v>
      </c>
      <c r="Y23" s="163">
        <v>0</v>
      </c>
      <c r="Z23" s="163">
        <v>0</v>
      </c>
      <c r="AA23" s="163">
        <v>0</v>
      </c>
      <c r="AB23" s="163">
        <v>0</v>
      </c>
      <c r="AC23" s="364">
        <f>SUM(Q23:AB23)</f>
        <v>0</v>
      </c>
      <c r="AD23" s="165">
        <f>AC23/AC22</f>
        <v>0</v>
      </c>
      <c r="AE23" s="3"/>
      <c r="AF23" s="697"/>
    </row>
    <row r="24" spans="1:41" ht="32.1" customHeight="1">
      <c r="A24" s="770" t="s">
        <v>46</v>
      </c>
      <c r="B24" s="771"/>
      <c r="C24" s="498">
        <v>0</v>
      </c>
      <c r="D24" s="215">
        <v>0</v>
      </c>
      <c r="E24" s="215">
        <v>0</v>
      </c>
      <c r="F24" s="215">
        <v>24000003</v>
      </c>
      <c r="G24" s="160">
        <v>0</v>
      </c>
      <c r="H24" s="160">
        <v>0</v>
      </c>
      <c r="I24" s="160">
        <v>0</v>
      </c>
      <c r="J24" s="160">
        <v>0</v>
      </c>
      <c r="K24" s="160">
        <v>0</v>
      </c>
      <c r="L24" s="160">
        <v>0</v>
      </c>
      <c r="M24" s="160">
        <v>0</v>
      </c>
      <c r="N24" s="160">
        <v>0</v>
      </c>
      <c r="O24" s="215">
        <f>SUM(C24:N24)</f>
        <v>24000003</v>
      </c>
      <c r="P24" s="377"/>
      <c r="Q24" s="362">
        <v>0</v>
      </c>
      <c r="R24" s="363">
        <v>0</v>
      </c>
      <c r="S24" s="363">
        <v>0</v>
      </c>
      <c r="T24" s="363">
        <v>0</v>
      </c>
      <c r="U24" s="364">
        <v>0</v>
      </c>
      <c r="V24" s="364">
        <v>0</v>
      </c>
      <c r="W24" s="364">
        <v>0</v>
      </c>
      <c r="X24" s="364">
        <v>0</v>
      </c>
      <c r="Y24" s="364">
        <f>184761500*40%</f>
        <v>73904600</v>
      </c>
      <c r="Z24" s="364">
        <v>0</v>
      </c>
      <c r="AA24" s="364">
        <f>184761500*30%</f>
        <v>55428450</v>
      </c>
      <c r="AB24" s="364">
        <f>184761500*30%</f>
        <v>55428450</v>
      </c>
      <c r="AC24" s="364">
        <f>SUM(Q24:AB24)</f>
        <v>184761500</v>
      </c>
      <c r="AD24" s="165"/>
      <c r="AE24" s="3"/>
      <c r="AF24" s="697"/>
    </row>
    <row r="25" spans="1:41" ht="32.1" customHeight="1" thickBot="1">
      <c r="A25" s="785" t="s">
        <v>47</v>
      </c>
      <c r="B25" s="786"/>
      <c r="C25" s="455">
        <v>0</v>
      </c>
      <c r="D25" s="451">
        <v>0</v>
      </c>
      <c r="E25" s="451">
        <v>0</v>
      </c>
      <c r="F25" s="451">
        <v>24000003</v>
      </c>
      <c r="G25" s="162">
        <v>0</v>
      </c>
      <c r="H25" s="162">
        <v>0</v>
      </c>
      <c r="I25" s="162">
        <v>0</v>
      </c>
      <c r="J25" s="162">
        <v>0</v>
      </c>
      <c r="K25" s="162">
        <v>0</v>
      </c>
      <c r="L25" s="162">
        <v>0</v>
      </c>
      <c r="M25" s="162">
        <v>0</v>
      </c>
      <c r="N25" s="162">
        <v>0</v>
      </c>
      <c r="O25" s="485">
        <f>SUM(C25:N25)</f>
        <v>24000003</v>
      </c>
      <c r="P25" s="512">
        <f>O25/O24</f>
        <v>1</v>
      </c>
      <c r="Q25" s="445">
        <v>0</v>
      </c>
      <c r="R25" s="442">
        <v>0</v>
      </c>
      <c r="S25" s="442">
        <v>0</v>
      </c>
      <c r="T25" s="442">
        <v>0</v>
      </c>
      <c r="U25" s="442">
        <v>0</v>
      </c>
      <c r="V25" s="374">
        <v>0</v>
      </c>
      <c r="W25" s="374">
        <v>0</v>
      </c>
      <c r="X25" s="374">
        <v>0</v>
      </c>
      <c r="Y25" s="374"/>
      <c r="Z25" s="374">
        <v>0</v>
      </c>
      <c r="AA25" s="374">
        <v>0</v>
      </c>
      <c r="AB25" s="374">
        <v>0</v>
      </c>
      <c r="AC25" s="365">
        <f>SUM(Q25:AB25)</f>
        <v>0</v>
      </c>
      <c r="AD25" s="166">
        <f>AC25/AC24</f>
        <v>0</v>
      </c>
      <c r="AE25" s="3"/>
      <c r="AF25" s="697"/>
    </row>
    <row r="26" spans="1:41" ht="32.1" customHeight="1" thickBot="1">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59"/>
    </row>
    <row r="27" spans="1:41" ht="33.950000000000003" customHeight="1">
      <c r="A27" s="787" t="s">
        <v>48</v>
      </c>
      <c r="B27" s="788"/>
      <c r="C27" s="789"/>
      <c r="D27" s="789"/>
      <c r="E27" s="789"/>
      <c r="F27" s="789"/>
      <c r="G27" s="789"/>
      <c r="H27" s="789"/>
      <c r="I27" s="789"/>
      <c r="J27" s="789"/>
      <c r="K27" s="789"/>
      <c r="L27" s="789"/>
      <c r="M27" s="789"/>
      <c r="N27" s="789"/>
      <c r="O27" s="789"/>
      <c r="P27" s="789"/>
      <c r="Q27" s="789"/>
      <c r="R27" s="789"/>
      <c r="S27" s="789"/>
      <c r="T27" s="789"/>
      <c r="U27" s="789"/>
      <c r="V27" s="789"/>
      <c r="W27" s="789"/>
      <c r="X27" s="789"/>
      <c r="Y27" s="789"/>
      <c r="Z27" s="789"/>
      <c r="AA27" s="789"/>
      <c r="AB27" s="789"/>
      <c r="AC27" s="789"/>
      <c r="AD27" s="790"/>
    </row>
    <row r="28" spans="1:41" ht="15" customHeight="1">
      <c r="A28" s="791" t="s">
        <v>49</v>
      </c>
      <c r="B28" s="793" t="s">
        <v>50</v>
      </c>
      <c r="C28" s="794"/>
      <c r="D28" s="797" t="s">
        <v>51</v>
      </c>
      <c r="E28" s="798"/>
      <c r="F28" s="798"/>
      <c r="G28" s="798"/>
      <c r="H28" s="798"/>
      <c r="I28" s="798"/>
      <c r="J28" s="798"/>
      <c r="K28" s="798"/>
      <c r="L28" s="798"/>
      <c r="M28" s="798"/>
      <c r="N28" s="798"/>
      <c r="O28" s="799"/>
      <c r="P28" s="800" t="s">
        <v>41</v>
      </c>
      <c r="Q28" s="800" t="s">
        <v>52</v>
      </c>
      <c r="R28" s="800"/>
      <c r="S28" s="800"/>
      <c r="T28" s="800"/>
      <c r="U28" s="800"/>
      <c r="V28" s="800"/>
      <c r="W28" s="800"/>
      <c r="X28" s="800"/>
      <c r="Y28" s="800"/>
      <c r="Z28" s="800"/>
      <c r="AA28" s="800"/>
      <c r="AB28" s="800"/>
      <c r="AC28" s="800"/>
      <c r="AD28" s="771"/>
    </row>
    <row r="29" spans="1:41" ht="27" customHeight="1">
      <c r="A29" s="792"/>
      <c r="B29" s="795"/>
      <c r="C29" s="796"/>
      <c r="D29" s="88" t="s">
        <v>30</v>
      </c>
      <c r="E29" s="88" t="s">
        <v>31</v>
      </c>
      <c r="F29" s="88" t="s">
        <v>32</v>
      </c>
      <c r="G29" s="88" t="s">
        <v>8</v>
      </c>
      <c r="H29" s="88" t="s">
        <v>33</v>
      </c>
      <c r="I29" s="88" t="s">
        <v>34</v>
      </c>
      <c r="J29" s="88" t="s">
        <v>35</v>
      </c>
      <c r="K29" s="88" t="s">
        <v>36</v>
      </c>
      <c r="L29" s="88" t="s">
        <v>37</v>
      </c>
      <c r="M29" s="88" t="s">
        <v>38</v>
      </c>
      <c r="N29" s="88" t="s">
        <v>39</v>
      </c>
      <c r="O29" s="88" t="s">
        <v>40</v>
      </c>
      <c r="P29" s="799"/>
      <c r="Q29" s="800"/>
      <c r="R29" s="800"/>
      <c r="S29" s="800"/>
      <c r="T29" s="800"/>
      <c r="U29" s="800"/>
      <c r="V29" s="800"/>
      <c r="W29" s="800"/>
      <c r="X29" s="800"/>
      <c r="Y29" s="800"/>
      <c r="Z29" s="800"/>
      <c r="AA29" s="800"/>
      <c r="AB29" s="800"/>
      <c r="AC29" s="800"/>
      <c r="AD29" s="771"/>
    </row>
    <row r="30" spans="1:41" ht="84" customHeight="1" thickBot="1">
      <c r="A30" s="395" t="str">
        <f>C17</f>
        <v>Diseñar 13 contenidos para el desarrollo de capacidades socioemocionales, técnicas y digitales de las mujeres, en toda su diversidad.</v>
      </c>
      <c r="B30" s="862"/>
      <c r="C30" s="863"/>
      <c r="D30" s="89"/>
      <c r="E30" s="89"/>
      <c r="F30" s="89"/>
      <c r="G30" s="89"/>
      <c r="H30" s="89"/>
      <c r="I30" s="89"/>
      <c r="J30" s="89"/>
      <c r="K30" s="89"/>
      <c r="L30" s="89"/>
      <c r="M30" s="89"/>
      <c r="N30" s="89"/>
      <c r="O30" s="89"/>
      <c r="P30" s="86">
        <f>SUM(D30:O30)</f>
        <v>0</v>
      </c>
      <c r="Q30" s="864" t="s">
        <v>1210</v>
      </c>
      <c r="R30" s="864"/>
      <c r="S30" s="864"/>
      <c r="T30" s="864"/>
      <c r="U30" s="864"/>
      <c r="V30" s="864"/>
      <c r="W30" s="864"/>
      <c r="X30" s="864"/>
      <c r="Y30" s="864"/>
      <c r="Z30" s="864"/>
      <c r="AA30" s="864"/>
      <c r="AB30" s="864"/>
      <c r="AC30" s="864"/>
      <c r="AD30" s="865"/>
    </row>
    <row r="31" spans="1:41" ht="45" customHeight="1">
      <c r="A31" s="805" t="s">
        <v>53</v>
      </c>
      <c r="B31" s="806"/>
      <c r="C31" s="806"/>
      <c r="D31" s="806"/>
      <c r="E31" s="806"/>
      <c r="F31" s="806"/>
      <c r="G31" s="806"/>
      <c r="H31" s="806"/>
      <c r="I31" s="806"/>
      <c r="J31" s="806"/>
      <c r="K31" s="806"/>
      <c r="L31" s="806"/>
      <c r="M31" s="806"/>
      <c r="N31" s="806"/>
      <c r="O31" s="806"/>
      <c r="P31" s="806"/>
      <c r="Q31" s="806"/>
      <c r="R31" s="806"/>
      <c r="S31" s="806"/>
      <c r="T31" s="806"/>
      <c r="U31" s="806"/>
      <c r="V31" s="806"/>
      <c r="W31" s="806"/>
      <c r="X31" s="806"/>
      <c r="Y31" s="806"/>
      <c r="Z31" s="806"/>
      <c r="AA31" s="806"/>
      <c r="AB31" s="806"/>
      <c r="AC31" s="806"/>
      <c r="AD31" s="807"/>
    </row>
    <row r="32" spans="1:41" ht="23.1" customHeight="1">
      <c r="A32" s="866" t="s">
        <v>54</v>
      </c>
      <c r="B32" s="800" t="s">
        <v>55</v>
      </c>
      <c r="C32" s="800" t="s">
        <v>50</v>
      </c>
      <c r="D32" s="800" t="s">
        <v>56</v>
      </c>
      <c r="E32" s="800"/>
      <c r="F32" s="800"/>
      <c r="G32" s="800"/>
      <c r="H32" s="800"/>
      <c r="I32" s="800"/>
      <c r="J32" s="800"/>
      <c r="K32" s="800"/>
      <c r="L32" s="800"/>
      <c r="M32" s="800"/>
      <c r="N32" s="800"/>
      <c r="O32" s="800"/>
      <c r="P32" s="800"/>
      <c r="Q32" s="800" t="s">
        <v>57</v>
      </c>
      <c r="R32" s="800"/>
      <c r="S32" s="800"/>
      <c r="T32" s="800"/>
      <c r="U32" s="800"/>
      <c r="V32" s="800"/>
      <c r="W32" s="800"/>
      <c r="X32" s="800"/>
      <c r="Y32" s="800"/>
      <c r="Z32" s="800"/>
      <c r="AA32" s="800"/>
      <c r="AB32" s="800"/>
      <c r="AC32" s="800"/>
      <c r="AD32" s="771"/>
      <c r="AG32" s="441"/>
      <c r="AH32" s="441"/>
      <c r="AI32" s="441"/>
      <c r="AJ32" s="441"/>
      <c r="AK32" s="87"/>
      <c r="AL32" s="87"/>
      <c r="AM32" s="87"/>
      <c r="AN32" s="87"/>
      <c r="AO32" s="87"/>
    </row>
    <row r="33" spans="1:41" ht="23.1" customHeight="1">
      <c r="A33" s="867"/>
      <c r="B33" s="800"/>
      <c r="C33" s="808"/>
      <c r="D33" s="88" t="s">
        <v>30</v>
      </c>
      <c r="E33" s="88" t="s">
        <v>31</v>
      </c>
      <c r="F33" s="88" t="s">
        <v>32</v>
      </c>
      <c r="G33" s="88" t="s">
        <v>8</v>
      </c>
      <c r="H33" s="88" t="s">
        <v>33</v>
      </c>
      <c r="I33" s="88" t="s">
        <v>34</v>
      </c>
      <c r="J33" s="88" t="s">
        <v>35</v>
      </c>
      <c r="K33" s="88" t="s">
        <v>36</v>
      </c>
      <c r="L33" s="88" t="s">
        <v>37</v>
      </c>
      <c r="M33" s="88" t="s">
        <v>38</v>
      </c>
      <c r="N33" s="88" t="s">
        <v>39</v>
      </c>
      <c r="O33" s="88" t="s">
        <v>40</v>
      </c>
      <c r="P33" s="88" t="s">
        <v>41</v>
      </c>
      <c r="Q33" s="795" t="s">
        <v>58</v>
      </c>
      <c r="R33" s="809"/>
      <c r="S33" s="809"/>
      <c r="T33" s="809"/>
      <c r="U33" s="809"/>
      <c r="V33" s="796"/>
      <c r="W33" s="795" t="s">
        <v>59</v>
      </c>
      <c r="X33" s="809"/>
      <c r="Y33" s="809"/>
      <c r="Z33" s="796"/>
      <c r="AA33" s="795" t="s">
        <v>60</v>
      </c>
      <c r="AB33" s="809"/>
      <c r="AC33" s="809"/>
      <c r="AD33" s="813"/>
      <c r="AF33" s="469" t="s">
        <v>61</v>
      </c>
      <c r="AG33" s="469" t="s">
        <v>62</v>
      </c>
      <c r="AH33" s="468" t="s">
        <v>63</v>
      </c>
      <c r="AI33" s="468" t="s">
        <v>64</v>
      </c>
      <c r="AJ33" s="468" t="s">
        <v>399</v>
      </c>
      <c r="AK33" s="87"/>
      <c r="AL33" s="87"/>
      <c r="AM33" s="87"/>
      <c r="AN33" s="87"/>
      <c r="AO33" s="87"/>
    </row>
    <row r="34" spans="1:41" ht="57.75" customHeight="1">
      <c r="A34" s="847" t="str">
        <f>C17</f>
        <v>Diseñar 13 contenidos para el desarrollo de capacidades socioemocionales, técnicas y digitales de las mujeres, en toda su diversidad.</v>
      </c>
      <c r="B34" s="816">
        <f>+B38</f>
        <v>0.1</v>
      </c>
      <c r="C34" s="90" t="s">
        <v>65</v>
      </c>
      <c r="D34" s="89">
        <v>0</v>
      </c>
      <c r="E34" s="89">
        <v>0</v>
      </c>
      <c r="F34" s="89">
        <v>0</v>
      </c>
      <c r="G34" s="89">
        <v>0</v>
      </c>
      <c r="H34" s="89">
        <v>0</v>
      </c>
      <c r="I34" s="89">
        <v>0</v>
      </c>
      <c r="J34" s="89">
        <v>0</v>
      </c>
      <c r="K34" s="89">
        <v>1</v>
      </c>
      <c r="L34" s="89">
        <v>0</v>
      </c>
      <c r="M34" s="89">
        <v>2</v>
      </c>
      <c r="N34" s="89">
        <v>0</v>
      </c>
      <c r="O34" s="89">
        <v>1</v>
      </c>
      <c r="P34" s="188">
        <f>SUM(D34:O34)</f>
        <v>4</v>
      </c>
      <c r="Q34" s="824" t="s">
        <v>1172</v>
      </c>
      <c r="R34" s="825"/>
      <c r="S34" s="825"/>
      <c r="T34" s="825"/>
      <c r="U34" s="825"/>
      <c r="V34" s="850"/>
      <c r="W34" s="854"/>
      <c r="X34" s="855"/>
      <c r="Y34" s="855"/>
      <c r="Z34" s="856"/>
      <c r="AA34" s="854"/>
      <c r="AB34" s="855"/>
      <c r="AC34" s="855"/>
      <c r="AD34" s="860"/>
      <c r="AF34" s="72" t="s">
        <v>97</v>
      </c>
      <c r="AG34" s="72" t="s">
        <v>98</v>
      </c>
      <c r="AH34" s="72" t="s">
        <v>99</v>
      </c>
      <c r="AI34" s="72" t="s">
        <v>1213</v>
      </c>
      <c r="AJ34" s="72" t="s">
        <v>1213</v>
      </c>
      <c r="AK34" s="87"/>
      <c r="AL34" s="87"/>
      <c r="AM34" s="87"/>
      <c r="AN34" s="87"/>
      <c r="AO34" s="87"/>
    </row>
    <row r="35" spans="1:41" ht="57.75" customHeight="1" thickBot="1">
      <c r="A35" s="848"/>
      <c r="B35" s="849"/>
      <c r="C35" s="91" t="s">
        <v>69</v>
      </c>
      <c r="D35" s="443">
        <v>0</v>
      </c>
      <c r="E35" s="443">
        <v>0</v>
      </c>
      <c r="F35" s="443">
        <v>0</v>
      </c>
      <c r="G35" s="552">
        <v>0</v>
      </c>
      <c r="H35" s="444">
        <v>0</v>
      </c>
      <c r="I35" s="444"/>
      <c r="J35" s="444"/>
      <c r="K35" s="444"/>
      <c r="L35" s="444"/>
      <c r="M35" s="444"/>
      <c r="N35" s="444"/>
      <c r="O35" s="444"/>
      <c r="P35" s="444">
        <f>SUM(D35:O35)</f>
        <v>0</v>
      </c>
      <c r="Q35" s="851"/>
      <c r="R35" s="852"/>
      <c r="S35" s="852"/>
      <c r="T35" s="852"/>
      <c r="U35" s="852"/>
      <c r="V35" s="853"/>
      <c r="W35" s="857"/>
      <c r="X35" s="858"/>
      <c r="Y35" s="858"/>
      <c r="Z35" s="859"/>
      <c r="AA35" s="857"/>
      <c r="AB35" s="858"/>
      <c r="AC35" s="858"/>
      <c r="AD35" s="861"/>
      <c r="AE35" s="49"/>
      <c r="AF35" s="468">
        <f>LEN(AF34)</f>
        <v>289</v>
      </c>
      <c r="AG35" s="468">
        <f>LEN(AG34)</f>
        <v>125</v>
      </c>
      <c r="AH35" s="468">
        <f>LEN(AH34)</f>
        <v>67</v>
      </c>
      <c r="AI35" s="468">
        <f>LEN(AI34)</f>
        <v>56</v>
      </c>
      <c r="AJ35" s="468">
        <f>LEN(AJ34)</f>
        <v>56</v>
      </c>
      <c r="AK35" s="87"/>
      <c r="AL35" s="87"/>
      <c r="AM35" s="87"/>
      <c r="AN35" s="87"/>
      <c r="AO35" s="87"/>
    </row>
    <row r="36" spans="1:41" ht="26.1" customHeight="1">
      <c r="A36" s="783" t="s">
        <v>70</v>
      </c>
      <c r="B36" s="840" t="s">
        <v>71</v>
      </c>
      <c r="C36" s="842" t="s">
        <v>72</v>
      </c>
      <c r="D36" s="842"/>
      <c r="E36" s="842"/>
      <c r="F36" s="842"/>
      <c r="G36" s="842"/>
      <c r="H36" s="842"/>
      <c r="I36" s="842"/>
      <c r="J36" s="842"/>
      <c r="K36" s="842"/>
      <c r="L36" s="842"/>
      <c r="M36" s="842"/>
      <c r="N36" s="842"/>
      <c r="O36" s="842"/>
      <c r="P36" s="842"/>
      <c r="Q36" s="843" t="s">
        <v>73</v>
      </c>
      <c r="R36" s="844"/>
      <c r="S36" s="844"/>
      <c r="T36" s="844"/>
      <c r="U36" s="844"/>
      <c r="V36" s="844"/>
      <c r="W36" s="844"/>
      <c r="X36" s="844"/>
      <c r="Y36" s="844"/>
      <c r="Z36" s="844"/>
      <c r="AA36" s="844"/>
      <c r="AB36" s="844"/>
      <c r="AC36" s="844"/>
      <c r="AD36" s="845"/>
      <c r="AG36" s="441"/>
      <c r="AH36" s="441"/>
      <c r="AI36" s="441"/>
      <c r="AJ36" s="441"/>
      <c r="AK36" s="87"/>
      <c r="AL36" s="87"/>
      <c r="AM36" s="87"/>
      <c r="AN36" s="87"/>
      <c r="AO36" s="87"/>
    </row>
    <row r="37" spans="1:41" ht="26.1" customHeight="1">
      <c r="A37" s="770"/>
      <c r="B37" s="841"/>
      <c r="C37" s="88" t="s">
        <v>74</v>
      </c>
      <c r="D37" s="88" t="s">
        <v>75</v>
      </c>
      <c r="E37" s="88" t="s">
        <v>76</v>
      </c>
      <c r="F37" s="88" t="s">
        <v>77</v>
      </c>
      <c r="G37" s="88" t="s">
        <v>78</v>
      </c>
      <c r="H37" s="88" t="s">
        <v>79</v>
      </c>
      <c r="I37" s="88" t="s">
        <v>80</v>
      </c>
      <c r="J37" s="88" t="s">
        <v>81</v>
      </c>
      <c r="K37" s="88" t="s">
        <v>82</v>
      </c>
      <c r="L37" s="88" t="s">
        <v>83</v>
      </c>
      <c r="M37" s="88" t="s">
        <v>84</v>
      </c>
      <c r="N37" s="88" t="s">
        <v>85</v>
      </c>
      <c r="O37" s="88" t="s">
        <v>86</v>
      </c>
      <c r="P37" s="88" t="s">
        <v>87</v>
      </c>
      <c r="Q37" s="797" t="s">
        <v>88</v>
      </c>
      <c r="R37" s="798"/>
      <c r="S37" s="798"/>
      <c r="T37" s="798"/>
      <c r="U37" s="798"/>
      <c r="V37" s="798"/>
      <c r="W37" s="798"/>
      <c r="X37" s="798"/>
      <c r="Y37" s="798"/>
      <c r="Z37" s="798"/>
      <c r="AA37" s="798"/>
      <c r="AB37" s="798"/>
      <c r="AC37" s="798"/>
      <c r="AD37" s="846"/>
      <c r="AG37" s="468"/>
      <c r="AH37" s="468"/>
      <c r="AI37" s="468"/>
      <c r="AJ37" s="468"/>
      <c r="AK37" s="94"/>
      <c r="AL37" s="94"/>
      <c r="AM37" s="94"/>
      <c r="AN37" s="94"/>
      <c r="AO37" s="94"/>
    </row>
    <row r="38" spans="1:41" ht="51" customHeight="1">
      <c r="A38" s="830" t="s">
        <v>100</v>
      </c>
      <c r="B38" s="832">
        <v>0.1</v>
      </c>
      <c r="C38" s="90" t="s">
        <v>65</v>
      </c>
      <c r="D38" s="95">
        <v>0</v>
      </c>
      <c r="E38" s="95">
        <v>0</v>
      </c>
      <c r="F38" s="95">
        <v>0</v>
      </c>
      <c r="G38" s="95">
        <v>0</v>
      </c>
      <c r="H38" s="95">
        <v>0</v>
      </c>
      <c r="I38" s="95">
        <v>0</v>
      </c>
      <c r="J38" s="95">
        <v>0</v>
      </c>
      <c r="K38" s="95">
        <v>0.25</v>
      </c>
      <c r="L38" s="95">
        <v>0</v>
      </c>
      <c r="M38" s="95">
        <v>0.5</v>
      </c>
      <c r="N38" s="95">
        <v>0</v>
      </c>
      <c r="O38" s="95">
        <v>0.25</v>
      </c>
      <c r="P38" s="96">
        <f t="shared" ref="P38:P39" si="0">SUM(D38:O38)</f>
        <v>1</v>
      </c>
      <c r="Q38" s="834" t="s">
        <v>101</v>
      </c>
      <c r="R38" s="835"/>
      <c r="S38" s="835"/>
      <c r="T38" s="835"/>
      <c r="U38" s="835"/>
      <c r="V38" s="835"/>
      <c r="W38" s="835"/>
      <c r="X38" s="835"/>
      <c r="Y38" s="835"/>
      <c r="Z38" s="835"/>
      <c r="AA38" s="835"/>
      <c r="AB38" s="835"/>
      <c r="AC38" s="835"/>
      <c r="AD38" s="836"/>
      <c r="AE38" s="97"/>
      <c r="AG38" s="469"/>
      <c r="AH38" s="469"/>
      <c r="AI38" s="469"/>
      <c r="AJ38" s="469"/>
      <c r="AK38" s="98"/>
      <c r="AL38" s="98"/>
      <c r="AM38" s="98"/>
      <c r="AN38" s="98"/>
      <c r="AO38" s="98"/>
    </row>
    <row r="39" spans="1:41" ht="51" customHeight="1" thickBot="1">
      <c r="A39" s="831"/>
      <c r="B39" s="833"/>
      <c r="C39" s="91" t="s">
        <v>69</v>
      </c>
      <c r="D39" s="105">
        <v>0</v>
      </c>
      <c r="E39" s="105">
        <v>0</v>
      </c>
      <c r="F39" s="105">
        <v>0</v>
      </c>
      <c r="G39" s="105">
        <v>0</v>
      </c>
      <c r="H39" s="105">
        <v>0</v>
      </c>
      <c r="I39" s="105"/>
      <c r="J39" s="105"/>
      <c r="K39" s="105"/>
      <c r="L39" s="105"/>
      <c r="M39" s="105"/>
      <c r="N39" s="105"/>
      <c r="O39" s="105"/>
      <c r="P39" s="107">
        <f t="shared" si="0"/>
        <v>0</v>
      </c>
      <c r="Q39" s="837"/>
      <c r="R39" s="838"/>
      <c r="S39" s="838"/>
      <c r="T39" s="838"/>
      <c r="U39" s="838"/>
      <c r="V39" s="838"/>
      <c r="W39" s="838"/>
      <c r="X39" s="838"/>
      <c r="Y39" s="838"/>
      <c r="Z39" s="838"/>
      <c r="AA39" s="838"/>
      <c r="AB39" s="838"/>
      <c r="AC39" s="838"/>
      <c r="AD39" s="839"/>
      <c r="AE39" s="97"/>
    </row>
    <row r="40" spans="1:41">
      <c r="A40" s="50" t="s">
        <v>95</v>
      </c>
    </row>
    <row r="45" spans="1:41">
      <c r="M45" s="553" t="s">
        <v>102</v>
      </c>
    </row>
  </sheetData>
  <mergeCells count="71">
    <mergeCell ref="AB4:AD4"/>
    <mergeCell ref="I7:J9"/>
    <mergeCell ref="K7:L9"/>
    <mergeCell ref="M7:N7"/>
    <mergeCell ref="A1:A4"/>
    <mergeCell ref="B1:AA1"/>
    <mergeCell ref="AB1:AD1"/>
    <mergeCell ref="B2:AA2"/>
    <mergeCell ref="AB2:AD2"/>
    <mergeCell ref="B3:AA4"/>
    <mergeCell ref="AB3:AD3"/>
    <mergeCell ref="O7:P7"/>
    <mergeCell ref="M8:N8"/>
    <mergeCell ref="O8:P8"/>
    <mergeCell ref="M9:N9"/>
    <mergeCell ref="O9:P9"/>
    <mergeCell ref="A11:B13"/>
    <mergeCell ref="C11:AD13"/>
    <mergeCell ref="A7:B9"/>
    <mergeCell ref="C7:C9"/>
    <mergeCell ref="D7:H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9:AD19"/>
    <mergeCell ref="C20:P20"/>
    <mergeCell ref="Q20:AD20"/>
    <mergeCell ref="A22:B22"/>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A33:AD33"/>
    <mergeCell ref="A34:A35"/>
    <mergeCell ref="B34:B35"/>
    <mergeCell ref="Q34:V35"/>
    <mergeCell ref="W34:Z35"/>
    <mergeCell ref="AA34:AD35"/>
    <mergeCell ref="A38:A39"/>
    <mergeCell ref="B38:B39"/>
    <mergeCell ref="Q38:AD39"/>
    <mergeCell ref="A36:A37"/>
    <mergeCell ref="B36:B37"/>
    <mergeCell ref="C36:P36"/>
    <mergeCell ref="Q36:AD36"/>
    <mergeCell ref="Q37:AD37"/>
  </mergeCells>
  <dataValidations count="3">
    <dataValidation type="list" allowBlank="1" showInputMessage="1" showErrorMessage="1" sqref="C7:C9 IY7:IY9 SU7:SU9 ACQ7:ACQ9 AMM7:AMM9 AWI7:AWI9 BGE7:BGE9 BQA7:BQA9 BZW7:BZW9 CJS7:CJS9 CTO7:CTO9 DDK7:DDK9 DNG7:DNG9 DXC7:DXC9 EGY7:EGY9 EQU7:EQU9 FAQ7:FAQ9 FKM7:FKM9 FUI7:FUI9 GEE7:GEE9 GOA7:GOA9 GXW7:GXW9 HHS7:HHS9 HRO7:HRO9 IBK7:IBK9 ILG7:ILG9 IVC7:IVC9 JEY7:JEY9 JOU7:JOU9 JYQ7:JYQ9 KIM7:KIM9 KSI7:KSI9 LCE7:LCE9 LMA7:LMA9 LVW7:LVW9 MFS7:MFS9 MPO7:MPO9 MZK7:MZK9 NJG7:NJG9 NTC7:NTC9 OCY7:OCY9 OMU7:OMU9 OWQ7:OWQ9 PGM7:PGM9 PQI7:PQI9 QAE7:QAE9 QKA7:QKA9 QTW7:QTW9 RDS7:RDS9 RNO7:RNO9 RXK7:RXK9 SHG7:SHG9 SRC7:SRC9 TAY7:TAY9 TKU7:TKU9 TUQ7:TUQ9 UEM7:UEM9 UOI7:UOI9 UYE7:UYE9 VIA7:VIA9 VRW7:VRW9 WBS7:WBS9 WLO7:WLO9 WVK7:WVK9" xr:uid="{2CAD77F4-E9FD-4E37-8E26-1635D9A67750}">
      <formula1>$C$21:$N$21</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textLength" operator="lessThanOrEqual" allowBlank="1" showInputMessage="1" showErrorMessage="1" errorTitle="Máximo 2.000 caracteres" error="Máximo 2.000 caracteres" sqref="AA34 Q34 W34 Q38:AD39" xr:uid="{20077FD2-028B-42CB-B849-FA2F9C7E0796}">
      <formula1>2000</formula1>
    </dataValidation>
  </dataValidations>
  <printOptions horizontalCentered="1"/>
  <pageMargins left="0.19685039370078741" right="0.19685039370078741" top="0.19685039370078741" bottom="0.19685039370078741" header="0" footer="0"/>
  <pageSetup scale="28"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A1:BC68"/>
  <sheetViews>
    <sheetView showGridLines="0" view="pageBreakPreview" topLeftCell="A14" zoomScale="60" zoomScaleNormal="75" workbookViewId="0">
      <selection activeCell="A17" sqref="A17:B17"/>
    </sheetView>
  </sheetViews>
  <sheetFormatPr baseColWidth="10" defaultColWidth="10.85546875" defaultRowHeight="15"/>
  <cols>
    <col min="1" max="1" width="38.5703125" style="50" customWidth="1"/>
    <col min="2" max="2" width="11.42578125" style="50" customWidth="1"/>
    <col min="3" max="3" width="14.42578125" style="50" customWidth="1"/>
    <col min="4" max="4" width="12.85546875" style="50" bestFit="1" customWidth="1"/>
    <col min="5" max="5" width="14.42578125" style="50" bestFit="1" customWidth="1"/>
    <col min="6" max="6" width="12.85546875" style="50" bestFit="1" customWidth="1"/>
    <col min="7" max="7" width="13.5703125" style="50" bestFit="1" customWidth="1"/>
    <col min="8" max="13" width="9.7109375" style="50" customWidth="1"/>
    <col min="14" max="14" width="13.85546875" style="50" customWidth="1"/>
    <col min="15" max="15" width="15.28515625" style="50" bestFit="1" customWidth="1"/>
    <col min="16" max="16" width="18.140625" style="50" customWidth="1"/>
    <col min="17" max="17" width="16.28515625" style="50" bestFit="1" customWidth="1"/>
    <col min="18" max="18" width="14" style="50" bestFit="1" customWidth="1"/>
    <col min="19" max="28" width="14.7109375" style="50" bestFit="1" customWidth="1"/>
    <col min="29" max="29" width="25" style="50" customWidth="1"/>
    <col min="30" max="30" width="19.42578125" style="50" customWidth="1"/>
    <col min="31" max="31" width="6.28515625" style="50" bestFit="1" customWidth="1"/>
    <col min="32" max="33" width="41.28515625" style="555" customWidth="1"/>
    <col min="34" max="36" width="17.42578125" style="555" customWidth="1"/>
    <col min="37" max="37" width="22.5703125" style="72" customWidth="1"/>
    <col min="38" max="39" width="22.42578125" style="72" customWidth="1"/>
    <col min="40" max="41" width="22.42578125" style="157" customWidth="1"/>
    <col min="42" max="42" width="20.42578125" style="157" customWidth="1"/>
    <col min="43" max="43" width="23" style="157" bestFit="1" customWidth="1"/>
    <col min="44" max="44" width="10.85546875" style="157"/>
    <col min="45" max="45" width="18.42578125" style="50" bestFit="1" customWidth="1"/>
    <col min="46" max="46" width="16.140625" style="50" customWidth="1"/>
    <col min="47" max="16384" width="10.85546875" style="50"/>
  </cols>
  <sheetData>
    <row r="1" spans="1:30" ht="32.25" customHeight="1">
      <c r="A1" s="702"/>
      <c r="B1" s="705" t="s">
        <v>0</v>
      </c>
      <c r="C1" s="706"/>
      <c r="D1" s="706"/>
      <c r="E1" s="706"/>
      <c r="F1" s="706"/>
      <c r="G1" s="706"/>
      <c r="H1" s="706"/>
      <c r="I1" s="706"/>
      <c r="J1" s="706"/>
      <c r="K1" s="706"/>
      <c r="L1" s="706"/>
      <c r="M1" s="706"/>
      <c r="N1" s="706"/>
      <c r="O1" s="706"/>
      <c r="P1" s="706"/>
      <c r="Q1" s="706"/>
      <c r="R1" s="706"/>
      <c r="S1" s="706"/>
      <c r="T1" s="706"/>
      <c r="U1" s="706"/>
      <c r="V1" s="706"/>
      <c r="W1" s="706"/>
      <c r="X1" s="706"/>
      <c r="Y1" s="706"/>
      <c r="Z1" s="706"/>
      <c r="AA1" s="707"/>
      <c r="AB1" s="878" t="s">
        <v>1</v>
      </c>
      <c r="AC1" s="879"/>
      <c r="AD1" s="880"/>
    </row>
    <row r="2" spans="1:30" ht="30.75" customHeight="1">
      <c r="A2" s="703"/>
      <c r="B2" s="711" t="s">
        <v>2</v>
      </c>
      <c r="C2" s="712"/>
      <c r="D2" s="712"/>
      <c r="E2" s="712"/>
      <c r="F2" s="712"/>
      <c r="G2" s="712"/>
      <c r="H2" s="712"/>
      <c r="I2" s="712"/>
      <c r="J2" s="712"/>
      <c r="K2" s="712"/>
      <c r="L2" s="712"/>
      <c r="M2" s="712"/>
      <c r="N2" s="712"/>
      <c r="O2" s="712"/>
      <c r="P2" s="712"/>
      <c r="Q2" s="712"/>
      <c r="R2" s="712"/>
      <c r="S2" s="712"/>
      <c r="T2" s="712"/>
      <c r="U2" s="712"/>
      <c r="V2" s="712"/>
      <c r="W2" s="712"/>
      <c r="X2" s="712"/>
      <c r="Y2" s="712"/>
      <c r="Z2" s="712"/>
      <c r="AA2" s="713"/>
      <c r="AB2" s="881" t="s">
        <v>3</v>
      </c>
      <c r="AC2" s="882"/>
      <c r="AD2" s="883"/>
    </row>
    <row r="3" spans="1:30" ht="24" customHeight="1">
      <c r="A3" s="703"/>
      <c r="B3" s="717" t="s">
        <v>4</v>
      </c>
      <c r="C3" s="718"/>
      <c r="D3" s="718"/>
      <c r="E3" s="718"/>
      <c r="F3" s="718"/>
      <c r="G3" s="718"/>
      <c r="H3" s="718"/>
      <c r="I3" s="718"/>
      <c r="J3" s="718"/>
      <c r="K3" s="718"/>
      <c r="L3" s="718"/>
      <c r="M3" s="718"/>
      <c r="N3" s="718"/>
      <c r="O3" s="718"/>
      <c r="P3" s="718"/>
      <c r="Q3" s="718"/>
      <c r="R3" s="718"/>
      <c r="S3" s="718"/>
      <c r="T3" s="718"/>
      <c r="U3" s="718"/>
      <c r="V3" s="718"/>
      <c r="W3" s="718"/>
      <c r="X3" s="718"/>
      <c r="Y3" s="718"/>
      <c r="Z3" s="718"/>
      <c r="AA3" s="719"/>
      <c r="AB3" s="881" t="s">
        <v>5</v>
      </c>
      <c r="AC3" s="882"/>
      <c r="AD3" s="883"/>
    </row>
    <row r="4" spans="1:30" ht="21.95" customHeight="1" thickBot="1">
      <c r="A4" s="704"/>
      <c r="B4" s="720"/>
      <c r="C4" s="721"/>
      <c r="D4" s="721"/>
      <c r="E4" s="721"/>
      <c r="F4" s="721"/>
      <c r="G4" s="721"/>
      <c r="H4" s="721"/>
      <c r="I4" s="721"/>
      <c r="J4" s="721"/>
      <c r="K4" s="721"/>
      <c r="L4" s="721"/>
      <c r="M4" s="721"/>
      <c r="N4" s="721"/>
      <c r="O4" s="721"/>
      <c r="P4" s="721"/>
      <c r="Q4" s="721"/>
      <c r="R4" s="721"/>
      <c r="S4" s="721"/>
      <c r="T4" s="721"/>
      <c r="U4" s="721"/>
      <c r="V4" s="721"/>
      <c r="W4" s="721"/>
      <c r="X4" s="721"/>
      <c r="Y4" s="721"/>
      <c r="Z4" s="721"/>
      <c r="AA4" s="722"/>
      <c r="AB4" s="875" t="s">
        <v>6</v>
      </c>
      <c r="AC4" s="876"/>
      <c r="AD4" s="877"/>
    </row>
    <row r="5" spans="1:30" ht="9" customHeight="1" thickBot="1">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c r="A7" s="726" t="s">
        <v>7</v>
      </c>
      <c r="B7" s="727"/>
      <c r="C7" s="735" t="s">
        <v>33</v>
      </c>
      <c r="D7" s="726" t="s">
        <v>9</v>
      </c>
      <c r="E7" s="738"/>
      <c r="F7" s="738"/>
      <c r="G7" s="738"/>
      <c r="H7" s="727"/>
      <c r="I7" s="741">
        <v>44714</v>
      </c>
      <c r="J7" s="742"/>
      <c r="K7" s="726" t="s">
        <v>10</v>
      </c>
      <c r="L7" s="727"/>
      <c r="M7" s="747" t="s">
        <v>11</v>
      </c>
      <c r="N7" s="748"/>
      <c r="O7" s="752"/>
      <c r="P7" s="753"/>
      <c r="Q7" s="54"/>
      <c r="R7" s="54"/>
      <c r="S7" s="54"/>
      <c r="T7" s="54"/>
      <c r="U7" s="54"/>
      <c r="V7" s="54"/>
      <c r="W7" s="54"/>
      <c r="X7" s="54"/>
      <c r="Y7" s="54"/>
      <c r="Z7" s="55"/>
      <c r="AA7" s="54"/>
      <c r="AB7" s="54"/>
      <c r="AC7" s="60"/>
      <c r="AD7" s="61"/>
    </row>
    <row r="8" spans="1:30" ht="15" customHeight="1">
      <c r="A8" s="728"/>
      <c r="B8" s="729"/>
      <c r="C8" s="736"/>
      <c r="D8" s="728"/>
      <c r="E8" s="739"/>
      <c r="F8" s="739"/>
      <c r="G8" s="739"/>
      <c r="H8" s="729"/>
      <c r="I8" s="743"/>
      <c r="J8" s="744"/>
      <c r="K8" s="728"/>
      <c r="L8" s="729"/>
      <c r="M8" s="754" t="s">
        <v>12</v>
      </c>
      <c r="N8" s="755"/>
      <c r="O8" s="756"/>
      <c r="P8" s="757"/>
      <c r="Q8" s="54"/>
      <c r="R8" s="54"/>
      <c r="S8" s="54"/>
      <c r="T8" s="54"/>
      <c r="U8" s="54"/>
      <c r="V8" s="54"/>
      <c r="W8" s="54"/>
      <c r="X8" s="54"/>
      <c r="Y8" s="54"/>
      <c r="Z8" s="55"/>
      <c r="AA8" s="54"/>
      <c r="AB8" s="54"/>
      <c r="AC8" s="60"/>
      <c r="AD8" s="61"/>
    </row>
    <row r="9" spans="1:30" ht="15.75" customHeight="1" thickBot="1">
      <c r="A9" s="730"/>
      <c r="B9" s="731"/>
      <c r="C9" s="737"/>
      <c r="D9" s="730"/>
      <c r="E9" s="740"/>
      <c r="F9" s="740"/>
      <c r="G9" s="740"/>
      <c r="H9" s="731"/>
      <c r="I9" s="745"/>
      <c r="J9" s="746"/>
      <c r="K9" s="730"/>
      <c r="L9" s="731"/>
      <c r="M9" s="758" t="s">
        <v>13</v>
      </c>
      <c r="N9" s="759"/>
      <c r="O9" s="760" t="s">
        <v>14</v>
      </c>
      <c r="P9" s="761"/>
      <c r="Q9" s="54"/>
      <c r="R9" s="54"/>
      <c r="S9" s="54"/>
      <c r="T9" s="54"/>
      <c r="U9" s="54"/>
      <c r="V9" s="54"/>
      <c r="W9" s="54"/>
      <c r="X9" s="54"/>
      <c r="Y9" s="54"/>
      <c r="Z9" s="55"/>
      <c r="AA9" s="54"/>
      <c r="AB9" s="54"/>
      <c r="AC9" s="60"/>
      <c r="AD9" s="61"/>
    </row>
    <row r="10" spans="1:30" ht="15" customHeight="1" thickBot="1">
      <c r="A10" s="158"/>
      <c r="B10" s="400"/>
      <c r="C10" s="400"/>
      <c r="D10" s="65"/>
      <c r="E10" s="65"/>
      <c r="F10" s="65"/>
      <c r="G10" s="65"/>
      <c r="H10" s="65"/>
      <c r="I10" s="401"/>
      <c r="J10" s="401"/>
      <c r="K10" s="65"/>
      <c r="L10" s="65"/>
      <c r="M10" s="156"/>
      <c r="N10" s="156"/>
      <c r="O10" s="157"/>
      <c r="P10" s="157"/>
      <c r="Q10" s="400"/>
      <c r="R10" s="400"/>
      <c r="S10" s="400"/>
      <c r="T10" s="400"/>
      <c r="U10" s="400"/>
      <c r="V10" s="400"/>
      <c r="W10" s="400"/>
      <c r="X10" s="400"/>
      <c r="Y10" s="400"/>
      <c r="Z10" s="402"/>
      <c r="AA10" s="400"/>
      <c r="AB10" s="400"/>
      <c r="AC10" s="403"/>
      <c r="AD10" s="159"/>
    </row>
    <row r="11" spans="1:30" ht="15" customHeight="1">
      <c r="A11" s="726" t="s">
        <v>15</v>
      </c>
      <c r="B11" s="727"/>
      <c r="C11" s="732" t="s">
        <v>16</v>
      </c>
      <c r="D11" s="733"/>
      <c r="E11" s="733"/>
      <c r="F11" s="733"/>
      <c r="G11" s="733"/>
      <c r="H11" s="733"/>
      <c r="I11" s="733"/>
      <c r="J11" s="733"/>
      <c r="K11" s="733"/>
      <c r="L11" s="733"/>
      <c r="M11" s="733"/>
      <c r="N11" s="733"/>
      <c r="O11" s="733"/>
      <c r="P11" s="733"/>
      <c r="Q11" s="733"/>
      <c r="R11" s="733"/>
      <c r="S11" s="733"/>
      <c r="T11" s="733"/>
      <c r="U11" s="733"/>
      <c r="V11" s="733"/>
      <c r="W11" s="733"/>
      <c r="X11" s="733"/>
      <c r="Y11" s="733"/>
      <c r="Z11" s="733"/>
      <c r="AA11" s="733"/>
      <c r="AB11" s="733"/>
      <c r="AC11" s="733"/>
      <c r="AD11" s="734"/>
    </row>
    <row r="12" spans="1:30" ht="15" customHeight="1">
      <c r="A12" s="728"/>
      <c r="B12" s="729"/>
      <c r="C12" s="717"/>
      <c r="D12" s="718"/>
      <c r="E12" s="718"/>
      <c r="F12" s="718"/>
      <c r="G12" s="718"/>
      <c r="H12" s="718"/>
      <c r="I12" s="718"/>
      <c r="J12" s="718"/>
      <c r="K12" s="718"/>
      <c r="L12" s="718"/>
      <c r="M12" s="718"/>
      <c r="N12" s="718"/>
      <c r="O12" s="718"/>
      <c r="P12" s="718"/>
      <c r="Q12" s="718"/>
      <c r="R12" s="718"/>
      <c r="S12" s="718"/>
      <c r="T12" s="718"/>
      <c r="U12" s="718"/>
      <c r="V12" s="718"/>
      <c r="W12" s="718"/>
      <c r="X12" s="718"/>
      <c r="Y12" s="718"/>
      <c r="Z12" s="718"/>
      <c r="AA12" s="718"/>
      <c r="AB12" s="718"/>
      <c r="AC12" s="718"/>
      <c r="AD12" s="719"/>
    </row>
    <row r="13" spans="1:30" ht="15" customHeight="1" thickBot="1">
      <c r="A13" s="730"/>
      <c r="B13" s="731"/>
      <c r="C13" s="720"/>
      <c r="D13" s="721"/>
      <c r="E13" s="721"/>
      <c r="F13" s="721"/>
      <c r="G13" s="721"/>
      <c r="H13" s="721"/>
      <c r="I13" s="721"/>
      <c r="J13" s="721"/>
      <c r="K13" s="721"/>
      <c r="L13" s="721"/>
      <c r="M13" s="721"/>
      <c r="N13" s="721"/>
      <c r="O13" s="721"/>
      <c r="P13" s="721"/>
      <c r="Q13" s="721"/>
      <c r="R13" s="721"/>
      <c r="S13" s="721"/>
      <c r="T13" s="721"/>
      <c r="U13" s="721"/>
      <c r="V13" s="721"/>
      <c r="W13" s="721"/>
      <c r="X13" s="721"/>
      <c r="Y13" s="721"/>
      <c r="Z13" s="721"/>
      <c r="AA13" s="721"/>
      <c r="AB13" s="721"/>
      <c r="AC13" s="721"/>
      <c r="AD13" s="722"/>
    </row>
    <row r="14" spans="1:30" ht="9" customHeight="1" thickBot="1">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c r="A15" s="762" t="s">
        <v>17</v>
      </c>
      <c r="B15" s="763"/>
      <c r="C15" s="749" t="s">
        <v>18</v>
      </c>
      <c r="D15" s="750"/>
      <c r="E15" s="750"/>
      <c r="F15" s="750"/>
      <c r="G15" s="750"/>
      <c r="H15" s="750"/>
      <c r="I15" s="750"/>
      <c r="J15" s="750"/>
      <c r="K15" s="751"/>
      <c r="L15" s="764" t="s">
        <v>19</v>
      </c>
      <c r="M15" s="765"/>
      <c r="N15" s="765"/>
      <c r="O15" s="765"/>
      <c r="P15" s="765"/>
      <c r="Q15" s="766"/>
      <c r="R15" s="767" t="s">
        <v>20</v>
      </c>
      <c r="S15" s="768"/>
      <c r="T15" s="768"/>
      <c r="U15" s="768"/>
      <c r="V15" s="768"/>
      <c r="W15" s="768"/>
      <c r="X15" s="769"/>
      <c r="Y15" s="764" t="s">
        <v>21</v>
      </c>
      <c r="Z15" s="766"/>
      <c r="AA15" s="749" t="s">
        <v>22</v>
      </c>
      <c r="AB15" s="750"/>
      <c r="AC15" s="750"/>
      <c r="AD15" s="751"/>
    </row>
    <row r="16" spans="1:30" ht="9" customHeight="1" thickBot="1">
      <c r="A16" s="59"/>
      <c r="B16" s="54"/>
      <c r="C16" s="772"/>
      <c r="D16" s="772"/>
      <c r="E16" s="772"/>
      <c r="F16" s="772"/>
      <c r="G16" s="772"/>
      <c r="H16" s="772"/>
      <c r="I16" s="772"/>
      <c r="J16" s="772"/>
      <c r="K16" s="772"/>
      <c r="L16" s="772"/>
      <c r="M16" s="772"/>
      <c r="N16" s="772"/>
      <c r="O16" s="772"/>
      <c r="P16" s="772"/>
      <c r="Q16" s="772"/>
      <c r="R16" s="772"/>
      <c r="S16" s="772"/>
      <c r="T16" s="772"/>
      <c r="U16" s="772"/>
      <c r="V16" s="772"/>
      <c r="W16" s="772"/>
      <c r="X16" s="772"/>
      <c r="Y16" s="772"/>
      <c r="Z16" s="772"/>
      <c r="AA16" s="772"/>
      <c r="AB16" s="772"/>
      <c r="AC16" s="73"/>
      <c r="AD16" s="74"/>
    </row>
    <row r="17" spans="1:45" s="76" customFormat="1" ht="37.5" customHeight="1" thickBot="1">
      <c r="A17" s="762" t="s">
        <v>23</v>
      </c>
      <c r="B17" s="763"/>
      <c r="C17" s="773" t="s">
        <v>1173</v>
      </c>
      <c r="D17" s="774"/>
      <c r="E17" s="774"/>
      <c r="F17" s="774"/>
      <c r="G17" s="774"/>
      <c r="H17" s="774"/>
      <c r="I17" s="774"/>
      <c r="J17" s="774"/>
      <c r="K17" s="774"/>
      <c r="L17" s="774"/>
      <c r="M17" s="774"/>
      <c r="N17" s="774"/>
      <c r="O17" s="774"/>
      <c r="P17" s="774"/>
      <c r="Q17" s="775"/>
      <c r="R17" s="764" t="s">
        <v>25</v>
      </c>
      <c r="S17" s="765"/>
      <c r="T17" s="765"/>
      <c r="U17" s="765"/>
      <c r="V17" s="766"/>
      <c r="W17" s="920">
        <v>0.2</v>
      </c>
      <c r="X17" s="921"/>
      <c r="Y17" s="765" t="s">
        <v>26</v>
      </c>
      <c r="Z17" s="765"/>
      <c r="AA17" s="765"/>
      <c r="AB17" s="766"/>
      <c r="AC17" s="778">
        <v>0.25</v>
      </c>
      <c r="AD17" s="779"/>
      <c r="AF17" s="556"/>
      <c r="AG17" s="556"/>
      <c r="AH17" s="556"/>
      <c r="AI17" s="556"/>
      <c r="AJ17" s="556"/>
      <c r="AK17" s="446"/>
      <c r="AL17" s="446"/>
      <c r="AM17" s="446"/>
      <c r="AN17" s="446"/>
      <c r="AO17" s="446"/>
      <c r="AP17" s="446"/>
      <c r="AQ17" s="446"/>
      <c r="AR17" s="446"/>
    </row>
    <row r="18" spans="1:45" ht="16.5" hidden="1" customHeight="1">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5" ht="32.1" hidden="1" customHeight="1">
      <c r="A19" s="764" t="s">
        <v>27</v>
      </c>
      <c r="B19" s="765"/>
      <c r="C19" s="765"/>
      <c r="D19" s="765"/>
      <c r="E19" s="765"/>
      <c r="F19" s="765"/>
      <c r="G19" s="765"/>
      <c r="H19" s="765"/>
      <c r="I19" s="765"/>
      <c r="J19" s="765"/>
      <c r="K19" s="765"/>
      <c r="L19" s="765"/>
      <c r="M19" s="765"/>
      <c r="N19" s="765"/>
      <c r="O19" s="765"/>
      <c r="P19" s="765"/>
      <c r="Q19" s="765"/>
      <c r="R19" s="765"/>
      <c r="S19" s="765"/>
      <c r="T19" s="765"/>
      <c r="U19" s="765"/>
      <c r="V19" s="765"/>
      <c r="W19" s="765"/>
      <c r="X19" s="765"/>
      <c r="Y19" s="765"/>
      <c r="Z19" s="765"/>
      <c r="AA19" s="765"/>
      <c r="AB19" s="765"/>
      <c r="AC19" s="765"/>
      <c r="AD19" s="766"/>
      <c r="AE19" s="83"/>
      <c r="AF19" s="557"/>
      <c r="AG19" s="557"/>
      <c r="AH19" s="557"/>
      <c r="AI19" s="557"/>
      <c r="AJ19" s="557"/>
    </row>
    <row r="20" spans="1:45" ht="32.1" customHeight="1" thickBot="1">
      <c r="A20" s="82"/>
      <c r="B20" s="60"/>
      <c r="C20" s="780" t="s">
        <v>28</v>
      </c>
      <c r="D20" s="781"/>
      <c r="E20" s="781"/>
      <c r="F20" s="781"/>
      <c r="G20" s="781"/>
      <c r="H20" s="781"/>
      <c r="I20" s="781"/>
      <c r="J20" s="781"/>
      <c r="K20" s="781"/>
      <c r="L20" s="781"/>
      <c r="M20" s="781"/>
      <c r="N20" s="781"/>
      <c r="O20" s="781"/>
      <c r="P20" s="782"/>
      <c r="Q20" s="919" t="s">
        <v>29</v>
      </c>
      <c r="R20" s="868"/>
      <c r="S20" s="868"/>
      <c r="T20" s="868"/>
      <c r="U20" s="868"/>
      <c r="V20" s="868"/>
      <c r="W20" s="868"/>
      <c r="X20" s="868"/>
      <c r="Y20" s="868"/>
      <c r="Z20" s="868"/>
      <c r="AA20" s="868"/>
      <c r="AB20" s="868"/>
      <c r="AC20" s="868"/>
      <c r="AD20" s="869"/>
      <c r="AE20" s="83"/>
      <c r="AF20" s="557"/>
      <c r="AG20" s="557"/>
      <c r="AH20" s="557"/>
      <c r="AI20" s="557"/>
      <c r="AJ20" s="557"/>
    </row>
    <row r="21" spans="1:45" ht="32.1" customHeight="1" thickBot="1">
      <c r="A21" s="375"/>
      <c r="B21" s="56"/>
      <c r="C21" s="396" t="s">
        <v>30</v>
      </c>
      <c r="D21" s="397" t="s">
        <v>31</v>
      </c>
      <c r="E21" s="397" t="s">
        <v>32</v>
      </c>
      <c r="F21" s="397" t="s">
        <v>8</v>
      </c>
      <c r="G21" s="397" t="s">
        <v>33</v>
      </c>
      <c r="H21" s="397" t="s">
        <v>34</v>
      </c>
      <c r="I21" s="397" t="s">
        <v>35</v>
      </c>
      <c r="J21" s="397" t="s">
        <v>36</v>
      </c>
      <c r="K21" s="397" t="s">
        <v>37</v>
      </c>
      <c r="L21" s="397" t="s">
        <v>38</v>
      </c>
      <c r="M21" s="397" t="s">
        <v>39</v>
      </c>
      <c r="N21" s="397" t="s">
        <v>40</v>
      </c>
      <c r="O21" s="397" t="s">
        <v>41</v>
      </c>
      <c r="P21" s="398" t="s">
        <v>42</v>
      </c>
      <c r="Q21" s="396" t="s">
        <v>30</v>
      </c>
      <c r="R21" s="397" t="s">
        <v>31</v>
      </c>
      <c r="S21" s="397" t="s">
        <v>32</v>
      </c>
      <c r="T21" s="397" t="s">
        <v>8</v>
      </c>
      <c r="U21" s="397" t="s">
        <v>33</v>
      </c>
      <c r="V21" s="397" t="s">
        <v>34</v>
      </c>
      <c r="W21" s="397" t="s">
        <v>35</v>
      </c>
      <c r="X21" s="397" t="s">
        <v>36</v>
      </c>
      <c r="Y21" s="397" t="s">
        <v>37</v>
      </c>
      <c r="Z21" s="397" t="s">
        <v>38</v>
      </c>
      <c r="AA21" s="397" t="s">
        <v>39</v>
      </c>
      <c r="AB21" s="397" t="s">
        <v>40</v>
      </c>
      <c r="AC21" s="397" t="s">
        <v>41</v>
      </c>
      <c r="AD21" s="398" t="s">
        <v>42</v>
      </c>
      <c r="AE21" s="3"/>
      <c r="AF21" s="558"/>
      <c r="AG21" s="558"/>
      <c r="AH21" s="558"/>
      <c r="AI21" s="558"/>
      <c r="AJ21" s="558"/>
    </row>
    <row r="22" spans="1:45" ht="32.1" customHeight="1">
      <c r="A22" s="783" t="s">
        <v>43</v>
      </c>
      <c r="B22" s="843"/>
      <c r="C22" s="164">
        <v>0</v>
      </c>
      <c r="D22" s="163">
        <v>0</v>
      </c>
      <c r="E22" s="163">
        <v>0</v>
      </c>
      <c r="F22" s="163">
        <v>0</v>
      </c>
      <c r="G22" s="163">
        <v>0</v>
      </c>
      <c r="H22" s="163">
        <v>0</v>
      </c>
      <c r="I22" s="163">
        <v>0</v>
      </c>
      <c r="J22" s="163">
        <v>0</v>
      </c>
      <c r="K22" s="163">
        <v>0</v>
      </c>
      <c r="L22" s="163">
        <v>0</v>
      </c>
      <c r="M22" s="163">
        <v>0</v>
      </c>
      <c r="N22" s="163">
        <v>0</v>
      </c>
      <c r="O22" s="163">
        <f>SUM(C22:N22)</f>
        <v>0</v>
      </c>
      <c r="P22" s="376"/>
      <c r="Q22" s="362">
        <v>1452847000</v>
      </c>
      <c r="R22" s="163">
        <v>0</v>
      </c>
      <c r="S22" s="363">
        <v>0</v>
      </c>
      <c r="T22" s="363">
        <f>(5500000*9%)+(150000000*67%)</f>
        <v>100995000</v>
      </c>
      <c r="U22" s="363">
        <f>(471340694*5%)+8000000</f>
        <v>31567034.700000003</v>
      </c>
      <c r="V22" s="363">
        <f>(58000000*14%)+(5117000*29%)+(71651306*19%)</f>
        <v>23217678.140000001</v>
      </c>
      <c r="W22" s="363">
        <v>0</v>
      </c>
      <c r="X22" s="163">
        <v>0</v>
      </c>
      <c r="Y22" s="363">
        <v>0</v>
      </c>
      <c r="Z22" s="163">
        <v>0</v>
      </c>
      <c r="AA22" s="163">
        <v>0</v>
      </c>
      <c r="AB22" s="163">
        <v>0</v>
      </c>
      <c r="AC22" s="363">
        <f>SUM(Q22:AB22)</f>
        <v>1608626712.8400002</v>
      </c>
      <c r="AD22" s="167"/>
      <c r="AE22" s="3"/>
      <c r="AF22" s="558"/>
      <c r="AG22" s="558"/>
      <c r="AH22" s="558"/>
      <c r="AI22" s="558"/>
      <c r="AJ22" s="558"/>
      <c r="AK22" s="471"/>
    </row>
    <row r="23" spans="1:45" ht="32.1" customHeight="1">
      <c r="A23" s="770" t="s">
        <v>44</v>
      </c>
      <c r="B23" s="797"/>
      <c r="C23" s="161">
        <v>0</v>
      </c>
      <c r="D23" s="160">
        <v>0</v>
      </c>
      <c r="E23" s="160">
        <v>0</v>
      </c>
      <c r="F23" s="160">
        <v>0</v>
      </c>
      <c r="G23" s="160">
        <v>0</v>
      </c>
      <c r="H23" s="160">
        <v>0</v>
      </c>
      <c r="I23" s="160">
        <v>0</v>
      </c>
      <c r="J23" s="160">
        <v>0</v>
      </c>
      <c r="K23" s="160">
        <v>0</v>
      </c>
      <c r="L23" s="160">
        <v>0</v>
      </c>
      <c r="M23" s="160">
        <v>0</v>
      </c>
      <c r="N23" s="160">
        <v>0</v>
      </c>
      <c r="O23" s="163">
        <f>SUM(C23:N23)</f>
        <v>0</v>
      </c>
      <c r="P23" s="165" t="str">
        <f>IFERROR(O23/(SUMIF(C23:N23,"&gt;0",C22:N22))," ")</f>
        <v xml:space="preserve"> </v>
      </c>
      <c r="Q23" s="362">
        <v>1451347000</v>
      </c>
      <c r="R23" s="163">
        <v>0</v>
      </c>
      <c r="S23" s="363">
        <v>100000000</v>
      </c>
      <c r="T23" s="363">
        <v>0</v>
      </c>
      <c r="U23" s="580">
        <v>18390456</v>
      </c>
      <c r="V23" s="163">
        <v>0</v>
      </c>
      <c r="W23" s="163">
        <v>0</v>
      </c>
      <c r="X23" s="163">
        <v>0</v>
      </c>
      <c r="Y23" s="163">
        <v>0</v>
      </c>
      <c r="Z23" s="163">
        <v>0</v>
      </c>
      <c r="AA23" s="163">
        <v>0</v>
      </c>
      <c r="AB23" s="163">
        <v>0</v>
      </c>
      <c r="AC23" s="581">
        <f>SUM(Q23:AB23)</f>
        <v>1569737456</v>
      </c>
      <c r="AD23" s="165">
        <f>AC23/AC22</f>
        <v>0.97582456108083526</v>
      </c>
      <c r="AE23" s="3"/>
      <c r="AF23" s="560" t="s">
        <v>103</v>
      </c>
      <c r="AG23" s="560"/>
      <c r="AH23" s="560"/>
      <c r="AI23" s="560"/>
      <c r="AJ23" s="560"/>
    </row>
    <row r="24" spans="1:45" ht="32.1" customHeight="1">
      <c r="A24" s="770" t="s">
        <v>46</v>
      </c>
      <c r="B24" s="797"/>
      <c r="C24" s="161">
        <v>0</v>
      </c>
      <c r="D24" s="215">
        <f>4533333</f>
        <v>4533333</v>
      </c>
      <c r="E24" s="215">
        <v>3795913.4249999998</v>
      </c>
      <c r="F24" s="215">
        <v>6507926.4249999998</v>
      </c>
      <c r="G24" s="215">
        <v>7591826.8499999996</v>
      </c>
      <c r="H24" s="160">
        <v>0</v>
      </c>
      <c r="I24" s="160">
        <v>0</v>
      </c>
      <c r="J24" s="160">
        <v>0</v>
      </c>
      <c r="K24" s="160">
        <v>0</v>
      </c>
      <c r="L24" s="160">
        <v>0</v>
      </c>
      <c r="M24" s="160">
        <v>0</v>
      </c>
      <c r="N24" s="160">
        <v>0</v>
      </c>
      <c r="O24" s="466">
        <f>SUM(C24:N24)</f>
        <v>22428999.699999999</v>
      </c>
      <c r="P24" s="377"/>
      <c r="Q24" s="362">
        <v>0</v>
      </c>
      <c r="R24" s="363">
        <v>47124065.236666664</v>
      </c>
      <c r="S24" s="363">
        <v>135175398.56999999</v>
      </c>
      <c r="T24" s="363">
        <v>135175398.56999999</v>
      </c>
      <c r="U24" s="364">
        <v>135175398.56999999</v>
      </c>
      <c r="V24" s="364">
        <v>135237273.56999999</v>
      </c>
      <c r="W24" s="364">
        <v>170752273.56999999</v>
      </c>
      <c r="X24" s="364">
        <v>137252273.56999999</v>
      </c>
      <c r="Y24" s="364">
        <v>170752273.56999999</v>
      </c>
      <c r="Z24" s="364">
        <v>137252273.56999999</v>
      </c>
      <c r="AA24" s="364">
        <v>170752273.56999999</v>
      </c>
      <c r="AB24" s="364">
        <f>137252273.57+96725536.9033333</f>
        <v>233977810.4733333</v>
      </c>
      <c r="AC24" s="364">
        <f>SUM(Q24:AB24)</f>
        <v>1608626712.8399997</v>
      </c>
      <c r="AD24" s="165"/>
      <c r="AE24" s="3"/>
      <c r="AF24" s="558"/>
      <c r="AG24" s="558"/>
      <c r="AH24" s="558"/>
      <c r="AI24" s="558"/>
      <c r="AJ24" s="558"/>
    </row>
    <row r="25" spans="1:45" ht="32.1" customHeight="1" thickBot="1">
      <c r="A25" s="785" t="s">
        <v>47</v>
      </c>
      <c r="B25" s="786"/>
      <c r="C25" s="455">
        <v>1721301.54</v>
      </c>
      <c r="D25" s="451">
        <v>600398.46</v>
      </c>
      <c r="E25" s="451">
        <v>10231325.92</v>
      </c>
      <c r="F25" s="451">
        <v>0</v>
      </c>
      <c r="G25" s="451">
        <v>3424236.48</v>
      </c>
      <c r="H25" s="162">
        <v>0</v>
      </c>
      <c r="I25" s="162">
        <v>0</v>
      </c>
      <c r="J25" s="162">
        <v>0</v>
      </c>
      <c r="K25" s="162">
        <v>0</v>
      </c>
      <c r="L25" s="162">
        <v>0</v>
      </c>
      <c r="M25" s="162">
        <v>0</v>
      </c>
      <c r="N25" s="162">
        <v>0</v>
      </c>
      <c r="O25" s="485">
        <f>SUM(C25:N25)</f>
        <v>15977262.4</v>
      </c>
      <c r="P25" s="512">
        <f>O25/O24</f>
        <v>0.71234841560945761</v>
      </c>
      <c r="Q25" s="445">
        <v>0</v>
      </c>
      <c r="R25" s="442">
        <v>47866500</v>
      </c>
      <c r="S25" s="442">
        <v>133077000</v>
      </c>
      <c r="T25" s="442">
        <v>133077000</v>
      </c>
      <c r="U25" s="442">
        <v>142927000</v>
      </c>
      <c r="V25" s="374">
        <v>0</v>
      </c>
      <c r="W25" s="374">
        <v>0</v>
      </c>
      <c r="X25" s="374">
        <v>0</v>
      </c>
      <c r="Y25" s="374"/>
      <c r="Z25" s="374">
        <v>0</v>
      </c>
      <c r="AA25" s="374">
        <v>0</v>
      </c>
      <c r="AB25" s="374">
        <v>0</v>
      </c>
      <c r="AC25" s="365">
        <f>SUM(Q25:AB25)</f>
        <v>456947500</v>
      </c>
      <c r="AD25" s="166">
        <f>AC25/AC24</f>
        <v>0.28406061913100272</v>
      </c>
      <c r="AE25" s="3"/>
      <c r="AF25" s="558"/>
      <c r="AG25" s="558"/>
      <c r="AH25" s="558"/>
      <c r="AI25" s="558"/>
      <c r="AJ25" s="558"/>
      <c r="AK25" s="50"/>
      <c r="AL25" s="50"/>
      <c r="AM25" s="50"/>
      <c r="AN25" s="50"/>
      <c r="AO25" s="50"/>
      <c r="AP25" s="50"/>
      <c r="AQ25" s="50"/>
      <c r="AR25" s="50"/>
    </row>
    <row r="26" spans="1:45" ht="32.1" customHeight="1" thickBot="1">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59"/>
      <c r="AF26" s="559"/>
      <c r="AG26" s="559"/>
      <c r="AH26" s="559"/>
      <c r="AI26" s="559"/>
      <c r="AJ26" s="559"/>
    </row>
    <row r="27" spans="1:45" ht="33.950000000000003" customHeight="1">
      <c r="A27" s="787" t="s">
        <v>48</v>
      </c>
      <c r="B27" s="788"/>
      <c r="C27" s="789"/>
      <c r="D27" s="789"/>
      <c r="E27" s="789"/>
      <c r="F27" s="789"/>
      <c r="G27" s="789"/>
      <c r="H27" s="789"/>
      <c r="I27" s="789"/>
      <c r="J27" s="789"/>
      <c r="K27" s="789"/>
      <c r="L27" s="789"/>
      <c r="M27" s="789"/>
      <c r="N27" s="789"/>
      <c r="O27" s="789"/>
      <c r="P27" s="789"/>
      <c r="Q27" s="789"/>
      <c r="R27" s="789"/>
      <c r="S27" s="789"/>
      <c r="T27" s="789"/>
      <c r="U27" s="789"/>
      <c r="V27" s="789"/>
      <c r="W27" s="789"/>
      <c r="X27" s="789"/>
      <c r="Y27" s="789"/>
      <c r="Z27" s="789"/>
      <c r="AA27" s="789"/>
      <c r="AB27" s="789"/>
      <c r="AC27" s="789"/>
      <c r="AD27" s="790"/>
    </row>
    <row r="28" spans="1:45" ht="15" customHeight="1">
      <c r="A28" s="791" t="s">
        <v>49</v>
      </c>
      <c r="B28" s="793" t="s">
        <v>50</v>
      </c>
      <c r="C28" s="794"/>
      <c r="D28" s="797" t="s">
        <v>51</v>
      </c>
      <c r="E28" s="798"/>
      <c r="F28" s="798"/>
      <c r="G28" s="798"/>
      <c r="H28" s="798"/>
      <c r="I28" s="798"/>
      <c r="J28" s="798"/>
      <c r="K28" s="798"/>
      <c r="L28" s="798"/>
      <c r="M28" s="798"/>
      <c r="N28" s="798"/>
      <c r="O28" s="799"/>
      <c r="P28" s="800" t="s">
        <v>41</v>
      </c>
      <c r="Q28" s="800" t="s">
        <v>52</v>
      </c>
      <c r="R28" s="800"/>
      <c r="S28" s="800"/>
      <c r="T28" s="800"/>
      <c r="U28" s="800"/>
      <c r="V28" s="800"/>
      <c r="W28" s="800"/>
      <c r="X28" s="800"/>
      <c r="Y28" s="800"/>
      <c r="Z28" s="800"/>
      <c r="AA28" s="800"/>
      <c r="AB28" s="800"/>
      <c r="AC28" s="800"/>
      <c r="AD28" s="771"/>
    </row>
    <row r="29" spans="1:45" ht="27" customHeight="1">
      <c r="A29" s="792"/>
      <c r="B29" s="795"/>
      <c r="C29" s="796"/>
      <c r="D29" s="88" t="s">
        <v>30</v>
      </c>
      <c r="E29" s="88" t="s">
        <v>31</v>
      </c>
      <c r="F29" s="88" t="s">
        <v>32</v>
      </c>
      <c r="G29" s="88" t="s">
        <v>8</v>
      </c>
      <c r="H29" s="88" t="s">
        <v>33</v>
      </c>
      <c r="I29" s="88" t="s">
        <v>34</v>
      </c>
      <c r="J29" s="88" t="s">
        <v>35</v>
      </c>
      <c r="K29" s="88" t="s">
        <v>36</v>
      </c>
      <c r="L29" s="88" t="s">
        <v>37</v>
      </c>
      <c r="M29" s="88" t="s">
        <v>38</v>
      </c>
      <c r="N29" s="88" t="s">
        <v>39</v>
      </c>
      <c r="O29" s="88" t="s">
        <v>40</v>
      </c>
      <c r="P29" s="799"/>
      <c r="Q29" s="800"/>
      <c r="R29" s="800"/>
      <c r="S29" s="800"/>
      <c r="T29" s="800"/>
      <c r="U29" s="800"/>
      <c r="V29" s="800"/>
      <c r="W29" s="800"/>
      <c r="X29" s="800"/>
      <c r="Y29" s="800"/>
      <c r="Z29" s="800"/>
      <c r="AA29" s="800"/>
      <c r="AB29" s="800"/>
      <c r="AC29" s="800"/>
      <c r="AD29" s="771"/>
    </row>
    <row r="30" spans="1:45" ht="181.5" customHeight="1" thickBot="1">
      <c r="A30" s="395" t="str">
        <f>C17</f>
        <v>Diseñar e implementar una (1) estrategia para el desarrollo de capacidades socioemocionales y técnicas de las mujeres en toda su diversidad para su emprendimiento y empleabilidad.</v>
      </c>
      <c r="B30" s="862"/>
      <c r="C30" s="863"/>
      <c r="D30" s="89"/>
      <c r="E30" s="89"/>
      <c r="F30" s="89"/>
      <c r="G30" s="89"/>
      <c r="H30" s="89"/>
      <c r="I30" s="89"/>
      <c r="J30" s="89"/>
      <c r="K30" s="89"/>
      <c r="L30" s="89"/>
      <c r="M30" s="89"/>
      <c r="N30" s="89"/>
      <c r="O30" s="89"/>
      <c r="P30" s="86">
        <f>SUM(D30:O30)</f>
        <v>0</v>
      </c>
      <c r="Q30" s="803" t="s">
        <v>1159</v>
      </c>
      <c r="R30" s="803"/>
      <c r="S30" s="803"/>
      <c r="T30" s="803"/>
      <c r="U30" s="803"/>
      <c r="V30" s="803"/>
      <c r="W30" s="803"/>
      <c r="X30" s="803"/>
      <c r="Y30" s="803"/>
      <c r="Z30" s="803"/>
      <c r="AA30" s="803"/>
      <c r="AB30" s="803"/>
      <c r="AC30" s="803"/>
      <c r="AD30" s="804"/>
    </row>
    <row r="31" spans="1:45" ht="45" customHeight="1">
      <c r="A31" s="805" t="s">
        <v>53</v>
      </c>
      <c r="B31" s="806"/>
      <c r="C31" s="806"/>
      <c r="D31" s="806"/>
      <c r="E31" s="806"/>
      <c r="F31" s="806"/>
      <c r="G31" s="806"/>
      <c r="H31" s="806"/>
      <c r="I31" s="806"/>
      <c r="J31" s="806"/>
      <c r="K31" s="806"/>
      <c r="L31" s="806"/>
      <c r="M31" s="806"/>
      <c r="N31" s="806"/>
      <c r="O31" s="806"/>
      <c r="P31" s="806"/>
      <c r="Q31" s="806"/>
      <c r="R31" s="806"/>
      <c r="S31" s="806"/>
      <c r="T31" s="806"/>
      <c r="U31" s="806"/>
      <c r="V31" s="806"/>
      <c r="W31" s="806"/>
      <c r="X31" s="806"/>
      <c r="Y31" s="806"/>
      <c r="Z31" s="806"/>
      <c r="AA31" s="806"/>
      <c r="AB31" s="806"/>
      <c r="AC31" s="806"/>
      <c r="AD31" s="807"/>
    </row>
    <row r="32" spans="1:45" ht="23.1" customHeight="1">
      <c r="A32" s="770" t="s">
        <v>54</v>
      </c>
      <c r="B32" s="800" t="s">
        <v>55</v>
      </c>
      <c r="C32" s="800" t="s">
        <v>50</v>
      </c>
      <c r="D32" s="800" t="s">
        <v>56</v>
      </c>
      <c r="E32" s="800"/>
      <c r="F32" s="800"/>
      <c r="G32" s="800"/>
      <c r="H32" s="800"/>
      <c r="I32" s="800"/>
      <c r="J32" s="800"/>
      <c r="K32" s="800"/>
      <c r="L32" s="800"/>
      <c r="M32" s="800"/>
      <c r="N32" s="800"/>
      <c r="O32" s="800"/>
      <c r="P32" s="800"/>
      <c r="Q32" s="800" t="s">
        <v>57</v>
      </c>
      <c r="R32" s="800"/>
      <c r="S32" s="800"/>
      <c r="T32" s="800"/>
      <c r="U32" s="800"/>
      <c r="V32" s="800"/>
      <c r="W32" s="800"/>
      <c r="X32" s="800"/>
      <c r="Y32" s="800"/>
      <c r="Z32" s="800"/>
      <c r="AA32" s="800"/>
      <c r="AB32" s="800"/>
      <c r="AC32" s="800"/>
      <c r="AD32" s="771"/>
      <c r="AK32" s="472"/>
      <c r="AL32" s="472"/>
      <c r="AM32" s="472"/>
      <c r="AN32" s="441"/>
      <c r="AO32" s="441"/>
      <c r="AP32" s="441"/>
      <c r="AQ32" s="441"/>
      <c r="AR32" s="441"/>
      <c r="AS32" s="87"/>
    </row>
    <row r="33" spans="1:53" ht="23.1" customHeight="1">
      <c r="A33" s="770"/>
      <c r="B33" s="800"/>
      <c r="C33" s="808"/>
      <c r="D33" s="88" t="s">
        <v>30</v>
      </c>
      <c r="E33" s="88" t="s">
        <v>31</v>
      </c>
      <c r="F33" s="88" t="s">
        <v>32</v>
      </c>
      <c r="G33" s="88" t="s">
        <v>8</v>
      </c>
      <c r="H33" s="88" t="s">
        <v>33</v>
      </c>
      <c r="I33" s="88" t="s">
        <v>34</v>
      </c>
      <c r="J33" s="88" t="s">
        <v>35</v>
      </c>
      <c r="K33" s="88" t="s">
        <v>36</v>
      </c>
      <c r="L33" s="88" t="s">
        <v>37</v>
      </c>
      <c r="M33" s="88" t="s">
        <v>38</v>
      </c>
      <c r="N33" s="88" t="s">
        <v>39</v>
      </c>
      <c r="O33" s="88" t="s">
        <v>40</v>
      </c>
      <c r="P33" s="88" t="s">
        <v>41</v>
      </c>
      <c r="Q33" s="795" t="s">
        <v>58</v>
      </c>
      <c r="R33" s="809"/>
      <c r="S33" s="809"/>
      <c r="T33" s="809"/>
      <c r="U33" s="809"/>
      <c r="V33" s="796"/>
      <c r="W33" s="795" t="s">
        <v>59</v>
      </c>
      <c r="X33" s="809"/>
      <c r="Y33" s="809"/>
      <c r="Z33" s="796"/>
      <c r="AA33" s="795" t="s">
        <v>60</v>
      </c>
      <c r="AB33" s="809"/>
      <c r="AC33" s="809"/>
      <c r="AD33" s="813"/>
      <c r="AF33" s="555" t="s">
        <v>104</v>
      </c>
      <c r="AG33" s="555" t="s">
        <v>105</v>
      </c>
      <c r="AL33" s="72" t="s">
        <v>61</v>
      </c>
      <c r="AM33" s="472" t="s">
        <v>62</v>
      </c>
      <c r="AN33" s="530" t="s">
        <v>63</v>
      </c>
      <c r="AO33" s="472" t="s">
        <v>64</v>
      </c>
      <c r="AP33" s="441"/>
      <c r="AQ33" s="441"/>
      <c r="AR33" s="441"/>
      <c r="AS33" s="87"/>
    </row>
    <row r="34" spans="1:53" ht="96" customHeight="1">
      <c r="A34" s="847" t="str">
        <f>C17</f>
        <v>Diseñar e implementar una (1) estrategia para el desarrollo de capacidades socioemocionales y técnicas de las mujeres en toda su diversidad para su emprendimiento y empleabilidad.</v>
      </c>
      <c r="B34" s="816">
        <f>B38+B40+B42+B44+B46</f>
        <v>0.25</v>
      </c>
      <c r="C34" s="90" t="s">
        <v>65</v>
      </c>
      <c r="D34" s="213">
        <f>D68</f>
        <v>0</v>
      </c>
      <c r="E34" s="213">
        <f t="shared" ref="E34:O34" si="0">E68</f>
        <v>1.0400000000000003E-2</v>
      </c>
      <c r="F34" s="213">
        <f t="shared" si="0"/>
        <v>2.0000000000000004E-2</v>
      </c>
      <c r="G34" s="213">
        <f t="shared" si="0"/>
        <v>2.0000000000000004E-2</v>
      </c>
      <c r="H34" s="213">
        <f t="shared" si="0"/>
        <v>2.0000000000000004E-2</v>
      </c>
      <c r="I34" s="213">
        <f t="shared" si="0"/>
        <v>2.0000000000000004E-2</v>
      </c>
      <c r="J34" s="213">
        <f t="shared" si="0"/>
        <v>2.0000000000000004E-2</v>
      </c>
      <c r="K34" s="213">
        <f t="shared" si="0"/>
        <v>2.0000000000000004E-2</v>
      </c>
      <c r="L34" s="213">
        <f t="shared" si="0"/>
        <v>2.0000000000000004E-2</v>
      </c>
      <c r="M34" s="213">
        <f t="shared" si="0"/>
        <v>2.0000000000000004E-2</v>
      </c>
      <c r="N34" s="213">
        <f t="shared" si="0"/>
        <v>2.0000000000000004E-2</v>
      </c>
      <c r="O34" s="213">
        <f t="shared" si="0"/>
        <v>9.6000000000000026E-3</v>
      </c>
      <c r="P34" s="213">
        <f>SUM(D34:O34)</f>
        <v>0.20000000000000007</v>
      </c>
      <c r="Q34" s="899" t="s">
        <v>106</v>
      </c>
      <c r="R34" s="900"/>
      <c r="S34" s="900"/>
      <c r="T34" s="900"/>
      <c r="U34" s="900"/>
      <c r="V34" s="901"/>
      <c r="W34" s="905" t="s">
        <v>107</v>
      </c>
      <c r="X34" s="906"/>
      <c r="Y34" s="906"/>
      <c r="Z34" s="907"/>
      <c r="AA34" s="905" t="s">
        <v>108</v>
      </c>
      <c r="AB34" s="911"/>
      <c r="AC34" s="911"/>
      <c r="AD34" s="912"/>
      <c r="AF34" s="674" t="s">
        <v>109</v>
      </c>
      <c r="AG34" s="675" t="s">
        <v>110</v>
      </c>
      <c r="AH34" s="675"/>
      <c r="AI34" s="675"/>
      <c r="AJ34" s="675"/>
      <c r="AL34" s="555" t="s">
        <v>1174</v>
      </c>
      <c r="AM34" s="555" t="s">
        <v>111</v>
      </c>
      <c r="AN34" s="555" t="s">
        <v>1175</v>
      </c>
      <c r="AO34" s="555" t="s">
        <v>112</v>
      </c>
      <c r="AP34" s="555"/>
      <c r="AQ34" s="555"/>
      <c r="AR34" s="555"/>
      <c r="AS34" s="555"/>
      <c r="AT34" s="555"/>
      <c r="AU34" s="555"/>
    </row>
    <row r="35" spans="1:53" ht="96" customHeight="1" thickBot="1">
      <c r="A35" s="848"/>
      <c r="B35" s="849"/>
      <c r="C35" s="386" t="s">
        <v>69</v>
      </c>
      <c r="D35" s="433">
        <f t="shared" ref="D35:O35" si="1">D65</f>
        <v>0</v>
      </c>
      <c r="E35" s="433">
        <f t="shared" si="1"/>
        <v>1.0480000000000003E-2</v>
      </c>
      <c r="F35" s="433">
        <f t="shared" si="1"/>
        <v>1.9440000000000006E-2</v>
      </c>
      <c r="G35" s="433">
        <f t="shared" si="1"/>
        <v>1.7280000000000007E-2</v>
      </c>
      <c r="H35" s="433">
        <f t="shared" si="1"/>
        <v>2.0000000000000004E-2</v>
      </c>
      <c r="I35" s="433">
        <f t="shared" si="1"/>
        <v>0</v>
      </c>
      <c r="J35" s="433">
        <f t="shared" si="1"/>
        <v>0</v>
      </c>
      <c r="K35" s="433">
        <f t="shared" si="1"/>
        <v>0</v>
      </c>
      <c r="L35" s="433">
        <f t="shared" si="1"/>
        <v>0</v>
      </c>
      <c r="M35" s="433">
        <f t="shared" si="1"/>
        <v>0</v>
      </c>
      <c r="N35" s="433">
        <f t="shared" si="1"/>
        <v>0</v>
      </c>
      <c r="O35" s="433">
        <f t="shared" si="1"/>
        <v>0</v>
      </c>
      <c r="P35" s="432">
        <f>SUM(D35:O35)</f>
        <v>6.7200000000000024E-2</v>
      </c>
      <c r="Q35" s="902"/>
      <c r="R35" s="903"/>
      <c r="S35" s="903"/>
      <c r="T35" s="903"/>
      <c r="U35" s="903"/>
      <c r="V35" s="904"/>
      <c r="W35" s="908"/>
      <c r="X35" s="909"/>
      <c r="Y35" s="909"/>
      <c r="Z35" s="910"/>
      <c r="AA35" s="913"/>
      <c r="AB35" s="914"/>
      <c r="AC35" s="914"/>
      <c r="AD35" s="915"/>
      <c r="AE35" s="49"/>
      <c r="AG35" s="676"/>
      <c r="AH35" s="676"/>
      <c r="AI35" s="676"/>
      <c r="AJ35" s="676"/>
      <c r="AL35" s="574">
        <f>LEN(AL34)</f>
        <v>301</v>
      </c>
      <c r="AM35" s="574">
        <f>LEN(AM34)</f>
        <v>288</v>
      </c>
      <c r="AN35" s="574">
        <f>LEN(AN34)</f>
        <v>301</v>
      </c>
      <c r="AO35" s="574">
        <f>LEN(AO34)</f>
        <v>298</v>
      </c>
      <c r="AP35" s="571"/>
      <c r="AQ35" s="571"/>
      <c r="AR35" s="571"/>
      <c r="AS35" s="572"/>
      <c r="AT35" s="573"/>
    </row>
    <row r="36" spans="1:53" ht="32.25" customHeight="1">
      <c r="A36" s="783" t="s">
        <v>70</v>
      </c>
      <c r="B36" s="840" t="s">
        <v>71</v>
      </c>
      <c r="C36" s="842" t="s">
        <v>72</v>
      </c>
      <c r="D36" s="842"/>
      <c r="E36" s="842"/>
      <c r="F36" s="842"/>
      <c r="G36" s="842"/>
      <c r="H36" s="842"/>
      <c r="I36" s="842"/>
      <c r="J36" s="842"/>
      <c r="K36" s="842"/>
      <c r="L36" s="842"/>
      <c r="M36" s="842"/>
      <c r="N36" s="842"/>
      <c r="O36" s="842"/>
      <c r="P36" s="842"/>
      <c r="Q36" s="843" t="s">
        <v>73</v>
      </c>
      <c r="R36" s="844"/>
      <c r="S36" s="844"/>
      <c r="T36" s="844"/>
      <c r="U36" s="844"/>
      <c r="V36" s="844"/>
      <c r="W36" s="844"/>
      <c r="X36" s="844"/>
      <c r="Y36" s="844"/>
      <c r="Z36" s="844"/>
      <c r="AA36" s="844"/>
      <c r="AB36" s="844"/>
      <c r="AC36" s="844"/>
      <c r="AD36" s="845"/>
      <c r="AG36" s="675"/>
      <c r="AH36" s="675"/>
      <c r="AI36" s="675"/>
      <c r="AJ36" s="675"/>
      <c r="AK36" s="472"/>
      <c r="AL36" s="472"/>
      <c r="AM36" s="472"/>
      <c r="AN36" s="441"/>
      <c r="AO36" s="441"/>
      <c r="AP36" s="441"/>
      <c r="AQ36" s="441"/>
      <c r="AR36" s="441"/>
      <c r="AS36" s="87"/>
    </row>
    <row r="37" spans="1:53" ht="32.25" customHeight="1" thickBot="1">
      <c r="A37" s="866"/>
      <c r="B37" s="916"/>
      <c r="C37" s="210" t="s">
        <v>74</v>
      </c>
      <c r="D37" s="210" t="s">
        <v>75</v>
      </c>
      <c r="E37" s="210" t="s">
        <v>76</v>
      </c>
      <c r="F37" s="210" t="s">
        <v>77</v>
      </c>
      <c r="G37" s="210" t="s">
        <v>78</v>
      </c>
      <c r="H37" s="210" t="s">
        <v>79</v>
      </c>
      <c r="I37" s="210" t="s">
        <v>80</v>
      </c>
      <c r="J37" s="210" t="s">
        <v>81</v>
      </c>
      <c r="K37" s="210" t="s">
        <v>82</v>
      </c>
      <c r="L37" s="210" t="s">
        <v>83</v>
      </c>
      <c r="M37" s="210" t="s">
        <v>84</v>
      </c>
      <c r="N37" s="210" t="s">
        <v>85</v>
      </c>
      <c r="O37" s="210" t="s">
        <v>86</v>
      </c>
      <c r="P37" s="210" t="s">
        <v>87</v>
      </c>
      <c r="Q37" s="793" t="s">
        <v>88</v>
      </c>
      <c r="R37" s="917"/>
      <c r="S37" s="917"/>
      <c r="T37" s="917"/>
      <c r="U37" s="917"/>
      <c r="V37" s="917"/>
      <c r="W37" s="917"/>
      <c r="X37" s="917"/>
      <c r="Y37" s="917"/>
      <c r="Z37" s="917"/>
      <c r="AA37" s="917"/>
      <c r="AB37" s="917"/>
      <c r="AC37" s="917"/>
      <c r="AD37" s="918"/>
      <c r="AF37" s="156" t="s">
        <v>113</v>
      </c>
      <c r="AG37" s="564" t="s">
        <v>114</v>
      </c>
      <c r="AH37" s="564"/>
      <c r="AI37" s="564"/>
      <c r="AJ37" s="564"/>
      <c r="AK37" s="564"/>
      <c r="AL37" s="473"/>
      <c r="AM37" s="473"/>
      <c r="AN37" s="468"/>
      <c r="AO37" s="468"/>
      <c r="AP37" s="468"/>
      <c r="AQ37" s="468"/>
      <c r="AR37" s="468"/>
      <c r="AS37" s="94"/>
    </row>
    <row r="38" spans="1:53" ht="50.25" customHeight="1">
      <c r="A38" s="886" t="s">
        <v>115</v>
      </c>
      <c r="B38" s="888">
        <v>7.0000000000000007E-2</v>
      </c>
      <c r="C38" s="211" t="s">
        <v>65</v>
      </c>
      <c r="D38" s="212">
        <v>0</v>
      </c>
      <c r="E38" s="212">
        <v>0.05</v>
      </c>
      <c r="F38" s="212">
        <v>0.1</v>
      </c>
      <c r="G38" s="212">
        <v>0.1</v>
      </c>
      <c r="H38" s="212">
        <v>0.1</v>
      </c>
      <c r="I38" s="212">
        <v>0.1</v>
      </c>
      <c r="J38" s="212">
        <v>0.1</v>
      </c>
      <c r="K38" s="212">
        <v>0.1</v>
      </c>
      <c r="L38" s="212">
        <v>0.1</v>
      </c>
      <c r="M38" s="212">
        <v>0.1</v>
      </c>
      <c r="N38" s="212">
        <v>0.1</v>
      </c>
      <c r="O38" s="212">
        <v>0.05</v>
      </c>
      <c r="P38" s="357">
        <f t="shared" ref="P38:P45" si="2">SUM(D38:O38)</f>
        <v>0.99999999999999989</v>
      </c>
      <c r="Q38" s="890" t="s">
        <v>1176</v>
      </c>
      <c r="R38" s="890"/>
      <c r="S38" s="890"/>
      <c r="T38" s="890"/>
      <c r="U38" s="890"/>
      <c r="V38" s="890"/>
      <c r="W38" s="890"/>
      <c r="X38" s="890"/>
      <c r="Y38" s="890"/>
      <c r="Z38" s="890"/>
      <c r="AA38" s="890"/>
      <c r="AB38" s="890"/>
      <c r="AC38" s="890"/>
      <c r="AD38" s="891"/>
      <c r="AE38" s="565"/>
      <c r="AF38" s="922" t="s">
        <v>1177</v>
      </c>
      <c r="AG38" s="699" t="s">
        <v>116</v>
      </c>
      <c r="AH38" s="674"/>
      <c r="AI38" s="674"/>
      <c r="AJ38" s="674"/>
      <c r="AK38" s="565"/>
      <c r="AL38" s="156"/>
      <c r="AM38" s="156"/>
      <c r="AN38" s="469"/>
      <c r="AO38" s="469"/>
      <c r="AP38" s="469"/>
      <c r="AQ38" s="469"/>
      <c r="AR38" s="469"/>
      <c r="AS38" s="98"/>
    </row>
    <row r="39" spans="1:53" ht="50.25" customHeight="1">
      <c r="A39" s="887"/>
      <c r="B39" s="889"/>
      <c r="C39" s="99" t="s">
        <v>69</v>
      </c>
      <c r="D39" s="100">
        <v>0</v>
      </c>
      <c r="E39" s="100">
        <v>0.04</v>
      </c>
      <c r="F39" s="100">
        <v>0.09</v>
      </c>
      <c r="G39" s="100">
        <v>0.08</v>
      </c>
      <c r="H39" s="100">
        <v>0.1</v>
      </c>
      <c r="I39" s="100"/>
      <c r="J39" s="100"/>
      <c r="K39" s="100"/>
      <c r="L39" s="100"/>
      <c r="M39" s="100"/>
      <c r="N39" s="100"/>
      <c r="O39" s="100"/>
      <c r="P39" s="358">
        <f t="shared" si="2"/>
        <v>0.31000000000000005</v>
      </c>
      <c r="Q39" s="890"/>
      <c r="R39" s="890"/>
      <c r="S39" s="890"/>
      <c r="T39" s="890"/>
      <c r="U39" s="890"/>
      <c r="V39" s="890"/>
      <c r="W39" s="890"/>
      <c r="X39" s="890"/>
      <c r="Y39" s="890"/>
      <c r="Z39" s="890"/>
      <c r="AA39" s="890"/>
      <c r="AB39" s="890"/>
      <c r="AC39" s="890"/>
      <c r="AD39" s="891"/>
      <c r="AE39" s="565"/>
      <c r="AF39" s="922"/>
      <c r="AG39" s="673"/>
      <c r="AH39" s="695"/>
      <c r="AI39" s="695"/>
      <c r="AJ39" s="695"/>
      <c r="AK39" s="565"/>
    </row>
    <row r="40" spans="1:53" ht="72.75" customHeight="1">
      <c r="A40" s="887" t="s">
        <v>117</v>
      </c>
      <c r="B40" s="816">
        <v>0.05</v>
      </c>
      <c r="C40" s="102" t="s">
        <v>65</v>
      </c>
      <c r="D40" s="103">
        <v>0</v>
      </c>
      <c r="E40" s="103">
        <v>0.1</v>
      </c>
      <c r="F40" s="103">
        <v>0.1</v>
      </c>
      <c r="G40" s="103">
        <v>0.1</v>
      </c>
      <c r="H40" s="103">
        <v>0.1</v>
      </c>
      <c r="I40" s="103">
        <v>0.1</v>
      </c>
      <c r="J40" s="103">
        <v>0.1</v>
      </c>
      <c r="K40" s="103">
        <v>0.1</v>
      </c>
      <c r="L40" s="103">
        <v>0.1</v>
      </c>
      <c r="M40" s="103">
        <v>0.1</v>
      </c>
      <c r="N40" s="103">
        <v>0.1</v>
      </c>
      <c r="O40" s="103">
        <v>0</v>
      </c>
      <c r="P40" s="358">
        <f t="shared" si="2"/>
        <v>0.99999999999999989</v>
      </c>
      <c r="Q40" s="894" t="s">
        <v>118</v>
      </c>
      <c r="R40" s="894"/>
      <c r="S40" s="894"/>
      <c r="T40" s="894"/>
      <c r="U40" s="894"/>
      <c r="V40" s="894"/>
      <c r="W40" s="894"/>
      <c r="X40" s="894"/>
      <c r="Y40" s="894"/>
      <c r="Z40" s="894"/>
      <c r="AA40" s="894"/>
      <c r="AB40" s="894"/>
      <c r="AC40" s="894"/>
      <c r="AD40" s="895"/>
      <c r="AE40" s="565"/>
      <c r="AF40" s="922" t="s">
        <v>119</v>
      </c>
      <c r="AG40" s="674" t="s">
        <v>120</v>
      </c>
      <c r="AH40" s="674"/>
      <c r="AI40" s="674"/>
      <c r="AJ40" s="674"/>
      <c r="AK40" s="565"/>
    </row>
    <row r="41" spans="1:53" ht="72.75" customHeight="1">
      <c r="A41" s="887"/>
      <c r="B41" s="889"/>
      <c r="C41" s="99" t="s">
        <v>69</v>
      </c>
      <c r="D41" s="100">
        <v>0</v>
      </c>
      <c r="E41" s="100">
        <v>0.1</v>
      </c>
      <c r="F41" s="100">
        <v>0.1</v>
      </c>
      <c r="G41" s="100">
        <v>0.1</v>
      </c>
      <c r="H41" s="100">
        <v>0.1</v>
      </c>
      <c r="I41" s="100"/>
      <c r="J41" s="100"/>
      <c r="K41" s="100"/>
      <c r="L41" s="100"/>
      <c r="M41" s="100"/>
      <c r="N41" s="100"/>
      <c r="O41" s="100"/>
      <c r="P41" s="358">
        <f t="shared" si="2"/>
        <v>0.4</v>
      </c>
      <c r="Q41" s="894"/>
      <c r="R41" s="894"/>
      <c r="S41" s="894"/>
      <c r="T41" s="894"/>
      <c r="U41" s="894"/>
      <c r="V41" s="894"/>
      <c r="W41" s="894"/>
      <c r="X41" s="894"/>
      <c r="Y41" s="894"/>
      <c r="Z41" s="894"/>
      <c r="AA41" s="894"/>
      <c r="AB41" s="894"/>
      <c r="AC41" s="894"/>
      <c r="AD41" s="895"/>
      <c r="AE41" s="565"/>
      <c r="AF41" s="922"/>
      <c r="AG41" s="673"/>
      <c r="AH41" s="695"/>
      <c r="AI41" s="695"/>
      <c r="AJ41" s="695"/>
      <c r="AK41" s="565"/>
    </row>
    <row r="42" spans="1:53" ht="69.75" customHeight="1">
      <c r="A42" s="887" t="s">
        <v>121</v>
      </c>
      <c r="B42" s="816">
        <v>0.05</v>
      </c>
      <c r="C42" s="102" t="s">
        <v>65</v>
      </c>
      <c r="D42" s="103">
        <v>0</v>
      </c>
      <c r="E42" s="103">
        <v>0.05</v>
      </c>
      <c r="F42" s="103">
        <v>0.1</v>
      </c>
      <c r="G42" s="103">
        <v>0.1</v>
      </c>
      <c r="H42" s="103">
        <v>0.1</v>
      </c>
      <c r="I42" s="103">
        <v>0.1</v>
      </c>
      <c r="J42" s="103">
        <v>0.1</v>
      </c>
      <c r="K42" s="103">
        <v>0.1</v>
      </c>
      <c r="L42" s="103">
        <v>0.1</v>
      </c>
      <c r="M42" s="103">
        <v>0.1</v>
      </c>
      <c r="N42" s="103">
        <v>0.1</v>
      </c>
      <c r="O42" s="103">
        <v>0.05</v>
      </c>
      <c r="P42" s="358">
        <f>SUM(D42:O42)</f>
        <v>0.99999999999999989</v>
      </c>
      <c r="Q42" s="894" t="s">
        <v>1178</v>
      </c>
      <c r="R42" s="894"/>
      <c r="S42" s="894"/>
      <c r="T42" s="894"/>
      <c r="U42" s="894"/>
      <c r="V42" s="894"/>
      <c r="W42" s="894"/>
      <c r="X42" s="894"/>
      <c r="Y42" s="894"/>
      <c r="Z42" s="894"/>
      <c r="AA42" s="894"/>
      <c r="AB42" s="894"/>
      <c r="AC42" s="894"/>
      <c r="AD42" s="895"/>
      <c r="AE42" s="97"/>
      <c r="AF42" s="922" t="s">
        <v>1179</v>
      </c>
      <c r="AG42" s="930" t="s">
        <v>122</v>
      </c>
      <c r="AH42" s="674"/>
      <c r="AI42" s="674"/>
      <c r="AJ42" s="674"/>
    </row>
    <row r="43" spans="1:53" ht="69.75" customHeight="1">
      <c r="A43" s="887"/>
      <c r="B43" s="889"/>
      <c r="C43" s="99" t="s">
        <v>69</v>
      </c>
      <c r="D43" s="100">
        <v>0</v>
      </c>
      <c r="E43" s="100">
        <v>0.05</v>
      </c>
      <c r="F43" s="100">
        <v>0.1</v>
      </c>
      <c r="G43" s="100">
        <v>0.1</v>
      </c>
      <c r="H43" s="100">
        <v>0.1</v>
      </c>
      <c r="I43" s="100"/>
      <c r="J43" s="100"/>
      <c r="K43" s="100"/>
      <c r="L43" s="100"/>
      <c r="M43" s="100"/>
      <c r="N43" s="100"/>
      <c r="O43" s="100"/>
      <c r="P43" s="358">
        <f>SUM(D43:O43)</f>
        <v>0.35</v>
      </c>
      <c r="Q43" s="894"/>
      <c r="R43" s="894"/>
      <c r="S43" s="894"/>
      <c r="T43" s="894"/>
      <c r="U43" s="894"/>
      <c r="V43" s="894"/>
      <c r="W43" s="894"/>
      <c r="X43" s="894"/>
      <c r="Y43" s="894"/>
      <c r="Z43" s="894"/>
      <c r="AA43" s="894"/>
      <c r="AB43" s="894"/>
      <c r="AC43" s="894"/>
      <c r="AD43" s="895"/>
      <c r="AE43" s="97"/>
      <c r="AF43" s="922"/>
      <c r="AG43" s="930"/>
      <c r="AH43" s="695"/>
      <c r="AI43" s="695"/>
      <c r="AJ43" s="695"/>
      <c r="AK43" s="695"/>
      <c r="AL43" s="156" t="s">
        <v>1216</v>
      </c>
      <c r="AM43" s="156" t="s">
        <v>123</v>
      </c>
      <c r="AN43" s="156" t="s">
        <v>124</v>
      </c>
      <c r="AO43" s="156" t="s">
        <v>125</v>
      </c>
      <c r="AP43" s="156" t="s">
        <v>1214</v>
      </c>
    </row>
    <row r="44" spans="1:53" ht="53.25" customHeight="1">
      <c r="A44" s="887" t="s">
        <v>126</v>
      </c>
      <c r="B44" s="816">
        <v>0.04</v>
      </c>
      <c r="C44" s="102" t="s">
        <v>65</v>
      </c>
      <c r="D44" s="103">
        <v>0</v>
      </c>
      <c r="E44" s="103">
        <v>0</v>
      </c>
      <c r="F44" s="103">
        <v>0.1</v>
      </c>
      <c r="G44" s="103">
        <v>0.1</v>
      </c>
      <c r="H44" s="103">
        <v>0.1</v>
      </c>
      <c r="I44" s="103">
        <v>0.1</v>
      </c>
      <c r="J44" s="103">
        <v>0.1</v>
      </c>
      <c r="K44" s="103">
        <v>0.1</v>
      </c>
      <c r="L44" s="103">
        <v>0.1</v>
      </c>
      <c r="M44" s="103">
        <v>0.1</v>
      </c>
      <c r="N44" s="103">
        <v>0.1</v>
      </c>
      <c r="O44" s="103">
        <v>0.1</v>
      </c>
      <c r="P44" s="358">
        <f t="shared" si="2"/>
        <v>0.99999999999999989</v>
      </c>
      <c r="Q44" s="892" t="s">
        <v>1180</v>
      </c>
      <c r="R44" s="892"/>
      <c r="S44" s="892"/>
      <c r="T44" s="892"/>
      <c r="U44" s="892"/>
      <c r="V44" s="892"/>
      <c r="W44" s="892"/>
      <c r="X44" s="892"/>
      <c r="Y44" s="892"/>
      <c r="Z44" s="892"/>
      <c r="AA44" s="892"/>
      <c r="AB44" s="892"/>
      <c r="AC44" s="892"/>
      <c r="AD44" s="893"/>
      <c r="AE44" s="97"/>
      <c r="AF44" s="922" t="s">
        <v>1181</v>
      </c>
      <c r="AG44" s="929" t="s">
        <v>127</v>
      </c>
      <c r="AH44" s="695"/>
      <c r="AI44" s="695"/>
      <c r="AJ44" s="695"/>
      <c r="AK44" s="695"/>
      <c r="AL44" s="695"/>
      <c r="AM44" s="695"/>
      <c r="AN44" s="695"/>
      <c r="AO44" s="695"/>
      <c r="AP44" s="695" t="s">
        <v>1217</v>
      </c>
      <c r="AQ44" s="695"/>
      <c r="AR44" s="695"/>
      <c r="AS44" s="695"/>
      <c r="AT44" s="695"/>
      <c r="AU44" s="695"/>
      <c r="AV44" s="695"/>
      <c r="AW44" s="695"/>
      <c r="AX44" s="695"/>
      <c r="AY44" s="695"/>
      <c r="AZ44" s="695"/>
      <c r="BA44" s="695"/>
    </row>
    <row r="45" spans="1:53" ht="53.25" customHeight="1">
      <c r="A45" s="887"/>
      <c r="B45" s="889"/>
      <c r="C45" s="99" t="s">
        <v>69</v>
      </c>
      <c r="D45" s="100">
        <v>0</v>
      </c>
      <c r="E45" s="100">
        <v>0.02</v>
      </c>
      <c r="F45" s="100">
        <v>0.1</v>
      </c>
      <c r="G45" s="100">
        <v>0.05</v>
      </c>
      <c r="H45" s="100">
        <v>0.1</v>
      </c>
      <c r="I45" s="100"/>
      <c r="J45" s="100"/>
      <c r="K45" s="100"/>
      <c r="L45" s="100"/>
      <c r="M45" s="100"/>
      <c r="N45" s="100"/>
      <c r="O45" s="100"/>
      <c r="P45" s="358">
        <f t="shared" si="2"/>
        <v>0.27</v>
      </c>
      <c r="Q45" s="892"/>
      <c r="R45" s="892"/>
      <c r="S45" s="892"/>
      <c r="T45" s="892"/>
      <c r="U45" s="892"/>
      <c r="V45" s="892"/>
      <c r="W45" s="892"/>
      <c r="X45" s="892"/>
      <c r="Y45" s="892"/>
      <c r="Z45" s="892"/>
      <c r="AA45" s="892"/>
      <c r="AB45" s="892"/>
      <c r="AC45" s="892"/>
      <c r="AD45" s="893"/>
      <c r="AE45" s="97"/>
      <c r="AF45" s="922"/>
      <c r="AG45" s="929"/>
      <c r="AH45" s="695"/>
      <c r="AI45" s="695"/>
      <c r="AJ45" s="695"/>
      <c r="AK45" s="695"/>
      <c r="AL45" s="700">
        <f>LEN(AL44)</f>
        <v>0</v>
      </c>
      <c r="AM45" s="700">
        <f t="shared" ref="AM45:AP45" si="3">LEN(AM44)</f>
        <v>0</v>
      </c>
      <c r="AN45" s="700">
        <f t="shared" si="3"/>
        <v>0</v>
      </c>
      <c r="AO45" s="700">
        <f t="shared" si="3"/>
        <v>0</v>
      </c>
      <c r="AP45" s="701">
        <f t="shared" si="3"/>
        <v>262</v>
      </c>
      <c r="AQ45" s="695"/>
      <c r="AR45" s="695"/>
      <c r="AS45" s="695"/>
      <c r="AT45" s="695"/>
      <c r="AU45" s="695"/>
      <c r="AV45" s="695"/>
      <c r="AW45" s="695"/>
      <c r="AX45" s="695"/>
      <c r="AY45" s="695"/>
      <c r="AZ45" s="695"/>
      <c r="BA45" s="695"/>
    </row>
    <row r="46" spans="1:53" ht="116.25" customHeight="1">
      <c r="A46" s="887" t="s">
        <v>128</v>
      </c>
      <c r="B46" s="816">
        <v>0.04</v>
      </c>
      <c r="C46" s="102" t="s">
        <v>65</v>
      </c>
      <c r="D46" s="103">
        <v>0</v>
      </c>
      <c r="E46" s="103">
        <v>0.05</v>
      </c>
      <c r="F46" s="103">
        <v>0.1</v>
      </c>
      <c r="G46" s="103">
        <v>0.1</v>
      </c>
      <c r="H46" s="103">
        <v>0.1</v>
      </c>
      <c r="I46" s="103">
        <v>0.1</v>
      </c>
      <c r="J46" s="103">
        <v>0.1</v>
      </c>
      <c r="K46" s="103">
        <v>0.1</v>
      </c>
      <c r="L46" s="103">
        <v>0.1</v>
      </c>
      <c r="M46" s="103">
        <v>0.1</v>
      </c>
      <c r="N46" s="103">
        <v>0.1</v>
      </c>
      <c r="O46" s="103">
        <v>0.05</v>
      </c>
      <c r="P46" s="358">
        <f>SUM(D46:O46)</f>
        <v>0.99999999999999989</v>
      </c>
      <c r="Q46" s="925" t="s">
        <v>129</v>
      </c>
      <c r="R46" s="925"/>
      <c r="S46" s="925"/>
      <c r="T46" s="925"/>
      <c r="U46" s="925"/>
      <c r="V46" s="925"/>
      <c r="W46" s="925"/>
      <c r="X46" s="925"/>
      <c r="Y46" s="925"/>
      <c r="Z46" s="925"/>
      <c r="AA46" s="925"/>
      <c r="AB46" s="925"/>
      <c r="AC46" s="925"/>
      <c r="AD46" s="926"/>
      <c r="AE46" s="97"/>
      <c r="AF46" s="922"/>
      <c r="AG46" s="673"/>
      <c r="AH46" s="695"/>
      <c r="AI46" s="695"/>
      <c r="AJ46" s="695"/>
      <c r="AK46" s="695"/>
      <c r="AL46" s="72" t="s">
        <v>130</v>
      </c>
      <c r="AM46" s="72" t="s">
        <v>131</v>
      </c>
      <c r="AN46" s="72" t="s">
        <v>132</v>
      </c>
      <c r="AO46" s="157" t="s">
        <v>133</v>
      </c>
      <c r="AP46" s="157" t="s">
        <v>1215</v>
      </c>
    </row>
    <row r="47" spans="1:53" ht="116.25" customHeight="1" thickBot="1">
      <c r="A47" s="831"/>
      <c r="B47" s="924"/>
      <c r="C47" s="91" t="s">
        <v>69</v>
      </c>
      <c r="D47" s="105">
        <v>0</v>
      </c>
      <c r="E47" s="105">
        <v>0.05</v>
      </c>
      <c r="F47" s="105">
        <v>0.1</v>
      </c>
      <c r="G47" s="105">
        <v>0.1</v>
      </c>
      <c r="H47" s="105">
        <v>0.1</v>
      </c>
      <c r="I47" s="105"/>
      <c r="J47" s="105"/>
      <c r="K47" s="105"/>
      <c r="L47" s="105"/>
      <c r="M47" s="105"/>
      <c r="N47" s="105"/>
      <c r="O47" s="105"/>
      <c r="P47" s="359">
        <f>SUM(D47:O47)</f>
        <v>0.35</v>
      </c>
      <c r="Q47" s="927"/>
      <c r="R47" s="927"/>
      <c r="S47" s="927"/>
      <c r="T47" s="927"/>
      <c r="U47" s="927"/>
      <c r="V47" s="927"/>
      <c r="W47" s="927"/>
      <c r="X47" s="927"/>
      <c r="Y47" s="927"/>
      <c r="Z47" s="927"/>
      <c r="AA47" s="927"/>
      <c r="AB47" s="927"/>
      <c r="AC47" s="927"/>
      <c r="AD47" s="928"/>
      <c r="AE47" s="97"/>
      <c r="AF47" s="922"/>
      <c r="AG47" s="673"/>
      <c r="AH47" s="695"/>
      <c r="AI47" s="695"/>
      <c r="AJ47" s="695"/>
      <c r="AL47" s="72" t="s">
        <v>134</v>
      </c>
      <c r="AM47" s="72" t="s">
        <v>135</v>
      </c>
      <c r="AN47" s="72" t="s">
        <v>136</v>
      </c>
      <c r="AO47" s="72" t="s">
        <v>137</v>
      </c>
    </row>
    <row r="48" spans="1:53">
      <c r="A48" s="50" t="s">
        <v>95</v>
      </c>
      <c r="AL48" s="575">
        <f>LEN(AL47)</f>
        <v>300</v>
      </c>
      <c r="AM48" s="575">
        <f>LEN(AM47)</f>
        <v>263</v>
      </c>
      <c r="AN48" s="575">
        <f>LEN(AN47)</f>
        <v>300</v>
      </c>
      <c r="AO48" s="575">
        <f>LEN(AO47)</f>
        <v>299</v>
      </c>
    </row>
    <row r="49" spans="1:55">
      <c r="AL49" s="472"/>
      <c r="AM49" s="472"/>
      <c r="AN49" s="72"/>
    </row>
    <row r="50" spans="1:55">
      <c r="AM50" s="72" t="s">
        <v>131</v>
      </c>
      <c r="AN50" s="72" t="s">
        <v>132</v>
      </c>
      <c r="AO50" s="157" t="s">
        <v>133</v>
      </c>
    </row>
    <row r="51" spans="1:55">
      <c r="AN51" s="72"/>
    </row>
    <row r="52" spans="1:55" s="199" customFormat="1" ht="165">
      <c r="A52" s="923" t="s">
        <v>138</v>
      </c>
      <c r="B52" s="923" t="s">
        <v>71</v>
      </c>
      <c r="C52" s="896" t="s">
        <v>72</v>
      </c>
      <c r="D52" s="897"/>
      <c r="E52" s="897"/>
      <c r="F52" s="897"/>
      <c r="G52" s="897"/>
      <c r="H52" s="897"/>
      <c r="I52" s="897"/>
      <c r="J52" s="897"/>
      <c r="K52" s="897"/>
      <c r="L52" s="897"/>
      <c r="M52" s="897"/>
      <c r="N52" s="897"/>
      <c r="O52" s="897"/>
      <c r="P52" s="898"/>
      <c r="Q52" s="197"/>
      <c r="R52" s="197"/>
      <c r="S52" s="197"/>
      <c r="T52" s="197"/>
      <c r="U52" s="197"/>
      <c r="V52" s="197"/>
      <c r="W52" s="197"/>
      <c r="X52" s="197"/>
      <c r="Y52" s="197"/>
      <c r="Z52" s="197"/>
      <c r="AA52" s="197"/>
      <c r="AB52" s="197"/>
      <c r="AC52" s="197"/>
      <c r="AD52" s="197"/>
      <c r="AE52" s="197"/>
      <c r="AF52" s="567"/>
      <c r="AG52" s="567"/>
      <c r="AH52" s="567"/>
      <c r="AI52" s="567"/>
      <c r="AJ52" s="567"/>
      <c r="AL52" s="474"/>
      <c r="AM52" s="72" t="s">
        <v>139</v>
      </c>
      <c r="AN52" s="72" t="s">
        <v>140</v>
      </c>
      <c r="AO52" s="72" t="s">
        <v>1182</v>
      </c>
      <c r="AP52" s="470"/>
      <c r="AQ52" s="470"/>
      <c r="AR52" s="470"/>
      <c r="AS52" s="197"/>
      <c r="AT52" s="197"/>
      <c r="AU52" s="198"/>
      <c r="AV52" s="198"/>
      <c r="AW52" s="198"/>
      <c r="AX52" s="198"/>
      <c r="AY52" s="198"/>
      <c r="AZ52" s="198"/>
      <c r="BA52" s="198"/>
      <c r="BB52" s="198"/>
      <c r="BC52" s="198"/>
    </row>
    <row r="53" spans="1:55" s="199" customFormat="1" ht="21">
      <c r="A53" s="885"/>
      <c r="B53" s="885"/>
      <c r="C53" s="200" t="s">
        <v>74</v>
      </c>
      <c r="D53" s="200" t="s">
        <v>75</v>
      </c>
      <c r="E53" s="200" t="s">
        <v>76</v>
      </c>
      <c r="F53" s="200" t="s">
        <v>77</v>
      </c>
      <c r="G53" s="200" t="s">
        <v>78</v>
      </c>
      <c r="H53" s="200" t="s">
        <v>79</v>
      </c>
      <c r="I53" s="200" t="s">
        <v>80</v>
      </c>
      <c r="J53" s="200" t="s">
        <v>81</v>
      </c>
      <c r="K53" s="200" t="s">
        <v>82</v>
      </c>
      <c r="L53" s="200" t="s">
        <v>83</v>
      </c>
      <c r="M53" s="200" t="s">
        <v>84</v>
      </c>
      <c r="N53" s="200" t="s">
        <v>85</v>
      </c>
      <c r="O53" s="200" t="s">
        <v>86</v>
      </c>
      <c r="P53" s="200" t="s">
        <v>87</v>
      </c>
      <c r="Q53" s="197"/>
      <c r="R53" s="197"/>
      <c r="S53" s="197"/>
      <c r="T53" s="197"/>
      <c r="U53" s="197"/>
      <c r="V53" s="197"/>
      <c r="W53" s="197"/>
      <c r="X53" s="197"/>
      <c r="Y53" s="197"/>
      <c r="Z53" s="197"/>
      <c r="AA53" s="197"/>
      <c r="AB53" s="197"/>
      <c r="AC53" s="197"/>
      <c r="AD53" s="197"/>
      <c r="AE53" s="197"/>
      <c r="AF53" s="567"/>
      <c r="AG53" s="567"/>
      <c r="AH53" s="567"/>
      <c r="AI53" s="567"/>
      <c r="AJ53" s="567"/>
      <c r="AL53" s="474"/>
      <c r="AM53" s="575">
        <f>LEN(AM52)</f>
        <v>196</v>
      </c>
      <c r="AN53" s="575">
        <f>LEN(AN52)</f>
        <v>218</v>
      </c>
      <c r="AO53" s="575">
        <f>LEN(AO52)</f>
        <v>199</v>
      </c>
      <c r="AP53" s="470"/>
      <c r="AQ53" s="470"/>
      <c r="AR53" s="470"/>
      <c r="AS53" s="197"/>
      <c r="AT53" s="197"/>
      <c r="AU53" s="198"/>
      <c r="AV53" s="198"/>
      <c r="AW53" s="198"/>
      <c r="AX53" s="198"/>
      <c r="AY53" s="198"/>
      <c r="AZ53" s="198"/>
      <c r="BA53" s="198"/>
      <c r="BB53" s="198"/>
      <c r="BC53" s="198"/>
    </row>
    <row r="54" spans="1:55" s="199" customFormat="1">
      <c r="A54" s="884" t="str">
        <f>A38</f>
        <v>8. Implementar la ruta de divulgación y orientación para la formación y oferta de empleo y emprendimiento de mujeres diseñada en el marco de la estrategia de emprendimiento y empleabilidad.</v>
      </c>
      <c r="B54" s="884">
        <f>B38</f>
        <v>7.0000000000000007E-2</v>
      </c>
      <c r="C54" s="201" t="s">
        <v>65</v>
      </c>
      <c r="D54" s="360">
        <f>D38*$B$38/$P$38</f>
        <v>0</v>
      </c>
      <c r="E54" s="202">
        <f t="shared" ref="E54:O54" si="4">E38*$B$38/$P$38</f>
        <v>3.5000000000000009E-3</v>
      </c>
      <c r="F54" s="202">
        <f t="shared" si="4"/>
        <v>7.0000000000000019E-3</v>
      </c>
      <c r="G54" s="202">
        <f t="shared" si="4"/>
        <v>7.0000000000000019E-3</v>
      </c>
      <c r="H54" s="202">
        <f t="shared" si="4"/>
        <v>7.0000000000000019E-3</v>
      </c>
      <c r="I54" s="202">
        <f t="shared" si="4"/>
        <v>7.0000000000000019E-3</v>
      </c>
      <c r="J54" s="202">
        <f t="shared" si="4"/>
        <v>7.0000000000000019E-3</v>
      </c>
      <c r="K54" s="202">
        <f t="shared" si="4"/>
        <v>7.0000000000000019E-3</v>
      </c>
      <c r="L54" s="202">
        <f t="shared" si="4"/>
        <v>7.0000000000000019E-3</v>
      </c>
      <c r="M54" s="202">
        <f t="shared" si="4"/>
        <v>7.0000000000000019E-3</v>
      </c>
      <c r="N54" s="202">
        <f t="shared" si="4"/>
        <v>7.0000000000000019E-3</v>
      </c>
      <c r="O54" s="202">
        <f t="shared" si="4"/>
        <v>3.5000000000000009E-3</v>
      </c>
      <c r="P54" s="356">
        <f t="shared" ref="P54:P57" si="5">SUM(D54:O54)</f>
        <v>7.0000000000000007E-2</v>
      </c>
      <c r="Q54" s="202"/>
      <c r="R54" s="202"/>
      <c r="S54" s="202"/>
      <c r="T54" s="202"/>
      <c r="U54" s="202"/>
      <c r="V54" s="202"/>
      <c r="W54" s="202"/>
      <c r="X54" s="202"/>
      <c r="Y54" s="202"/>
      <c r="Z54" s="202"/>
      <c r="AA54" s="202"/>
      <c r="AB54" s="202"/>
      <c r="AC54" s="202"/>
      <c r="AD54" s="202"/>
      <c r="AE54" s="202"/>
      <c r="AF54" s="567"/>
      <c r="AG54" s="567"/>
      <c r="AH54" s="567"/>
      <c r="AI54" s="567"/>
      <c r="AJ54" s="567"/>
      <c r="AL54" s="475"/>
      <c r="AM54" s="156" t="s">
        <v>131</v>
      </c>
      <c r="AN54" s="156" t="s">
        <v>132</v>
      </c>
      <c r="AO54" s="156" t="s">
        <v>64</v>
      </c>
      <c r="AP54" s="202"/>
      <c r="AQ54" s="202"/>
      <c r="AR54" s="202"/>
      <c r="AS54" s="202"/>
      <c r="AT54" s="202"/>
      <c r="AU54" s="198"/>
      <c r="AV54" s="198"/>
      <c r="AW54" s="198"/>
      <c r="AX54" s="198"/>
      <c r="AY54" s="198"/>
      <c r="AZ54" s="198"/>
      <c r="BA54" s="198"/>
      <c r="BB54" s="198"/>
      <c r="BC54" s="198"/>
    </row>
    <row r="55" spans="1:55" s="199" customFormat="1">
      <c r="A55" s="885"/>
      <c r="B55" s="885"/>
      <c r="C55" s="203" t="s">
        <v>69</v>
      </c>
      <c r="D55" s="204">
        <f>D38*$B$38/$P$38</f>
        <v>0</v>
      </c>
      <c r="E55" s="204">
        <f t="shared" ref="E55:O55" si="6">E39*$B$38/$P$38</f>
        <v>2.8000000000000008E-3</v>
      </c>
      <c r="F55" s="204">
        <f t="shared" si="6"/>
        <v>6.3000000000000009E-3</v>
      </c>
      <c r="G55" s="204">
        <f t="shared" si="6"/>
        <v>5.6000000000000017E-3</v>
      </c>
      <c r="H55" s="204">
        <f t="shared" si="6"/>
        <v>7.0000000000000019E-3</v>
      </c>
      <c r="I55" s="204">
        <f t="shared" si="6"/>
        <v>0</v>
      </c>
      <c r="J55" s="204">
        <f t="shared" si="6"/>
        <v>0</v>
      </c>
      <c r="K55" s="204">
        <f t="shared" si="6"/>
        <v>0</v>
      </c>
      <c r="L55" s="204">
        <f t="shared" si="6"/>
        <v>0</v>
      </c>
      <c r="M55" s="204">
        <f t="shared" si="6"/>
        <v>0</v>
      </c>
      <c r="N55" s="204">
        <f t="shared" si="6"/>
        <v>0</v>
      </c>
      <c r="O55" s="204">
        <f t="shared" si="6"/>
        <v>0</v>
      </c>
      <c r="P55" s="205">
        <f t="shared" si="5"/>
        <v>2.1700000000000007E-2</v>
      </c>
      <c r="Q55" s="202"/>
      <c r="R55" s="202"/>
      <c r="S55" s="202"/>
      <c r="T55" s="202"/>
      <c r="U55" s="202"/>
      <c r="V55" s="202"/>
      <c r="W55" s="202"/>
      <c r="X55" s="202"/>
      <c r="Y55" s="202"/>
      <c r="Z55" s="202"/>
      <c r="AA55" s="202"/>
      <c r="AB55" s="202"/>
      <c r="AC55" s="202"/>
      <c r="AD55" s="202"/>
      <c r="AE55" s="202"/>
      <c r="AF55" s="567"/>
      <c r="AG55" s="567"/>
      <c r="AH55" s="567"/>
      <c r="AI55" s="567"/>
      <c r="AJ55" s="567"/>
      <c r="AL55" s="475"/>
      <c r="AM55" s="72"/>
      <c r="AN55" s="475"/>
      <c r="AO55" s="202"/>
      <c r="AP55" s="202"/>
      <c r="AQ55" s="202"/>
      <c r="AR55" s="202"/>
      <c r="AS55" s="202"/>
      <c r="AT55" s="202"/>
      <c r="AU55" s="198"/>
      <c r="AV55" s="198"/>
      <c r="AW55" s="198"/>
      <c r="AX55" s="198"/>
      <c r="AY55" s="198"/>
      <c r="AZ55" s="198"/>
      <c r="BA55" s="198"/>
      <c r="BB55" s="198"/>
      <c r="BC55" s="198"/>
    </row>
    <row r="56" spans="1:55" s="199" customFormat="1">
      <c r="A56" s="884" t="str">
        <f>+A40</f>
        <v>9. Gestionar y articular con el sector público y privado, acciones que contribuyan a la implementación del Decreto 332 del 29 de diciembre de 2020 "Por medio del cual se establecen medidas afirmativas para promover la participación de las mujeres en la Contratación del distritito Capital"</v>
      </c>
      <c r="B56" s="884">
        <f>B40</f>
        <v>0.05</v>
      </c>
      <c r="C56" s="201" t="s">
        <v>65</v>
      </c>
      <c r="D56" s="202">
        <f>D40*$B$40/$P$40</f>
        <v>0</v>
      </c>
      <c r="E56" s="202">
        <f t="shared" ref="E56:O56" si="7">E40*$B$40/$P$40</f>
        <v>5.0000000000000018E-3</v>
      </c>
      <c r="F56" s="202">
        <f t="shared" si="7"/>
        <v>5.0000000000000018E-3</v>
      </c>
      <c r="G56" s="202">
        <f t="shared" si="7"/>
        <v>5.0000000000000018E-3</v>
      </c>
      <c r="H56" s="202">
        <f t="shared" si="7"/>
        <v>5.0000000000000018E-3</v>
      </c>
      <c r="I56" s="202">
        <f t="shared" si="7"/>
        <v>5.0000000000000018E-3</v>
      </c>
      <c r="J56" s="202">
        <f t="shared" si="7"/>
        <v>5.0000000000000018E-3</v>
      </c>
      <c r="K56" s="202">
        <f t="shared" si="7"/>
        <v>5.0000000000000018E-3</v>
      </c>
      <c r="L56" s="202">
        <f t="shared" si="7"/>
        <v>5.0000000000000018E-3</v>
      </c>
      <c r="M56" s="202">
        <f t="shared" si="7"/>
        <v>5.0000000000000018E-3</v>
      </c>
      <c r="N56" s="202">
        <f t="shared" si="7"/>
        <v>5.0000000000000018E-3</v>
      </c>
      <c r="O56" s="202">
        <f t="shared" si="7"/>
        <v>0</v>
      </c>
      <c r="P56" s="356">
        <f t="shared" si="5"/>
        <v>5.0000000000000024E-2</v>
      </c>
      <c r="Q56" s="202"/>
      <c r="R56" s="202"/>
      <c r="S56" s="202"/>
      <c r="T56" s="202"/>
      <c r="U56" s="202"/>
      <c r="V56" s="202"/>
      <c r="W56" s="202"/>
      <c r="X56" s="202"/>
      <c r="Y56" s="202"/>
      <c r="Z56" s="202"/>
      <c r="AA56" s="202"/>
      <c r="AB56" s="202"/>
      <c r="AC56" s="202"/>
      <c r="AD56" s="202"/>
      <c r="AE56" s="202"/>
      <c r="AF56" s="567"/>
      <c r="AG56" s="567"/>
      <c r="AH56" s="567"/>
      <c r="AI56" s="567"/>
      <c r="AJ56" s="567"/>
      <c r="AL56" s="475"/>
      <c r="AM56" s="72">
        <f>'Meta 4'!AI40</f>
        <v>0</v>
      </c>
      <c r="AN56" s="72">
        <f>'Meta 4'!AJ40</f>
        <v>0</v>
      </c>
      <c r="AO56" s="72">
        <f>'Meta 4'!AK40</f>
        <v>0</v>
      </c>
      <c r="AP56" s="202"/>
      <c r="AQ56" s="202"/>
      <c r="AR56" s="202"/>
      <c r="AS56" s="202"/>
      <c r="AT56" s="202"/>
      <c r="AU56" s="198"/>
      <c r="AV56" s="198"/>
      <c r="AW56" s="198"/>
      <c r="AX56" s="198"/>
      <c r="AY56" s="198"/>
      <c r="AZ56" s="198"/>
      <c r="BA56" s="198"/>
      <c r="BB56" s="198"/>
      <c r="BC56" s="198"/>
    </row>
    <row r="57" spans="1:55" s="199" customFormat="1">
      <c r="A57" s="885"/>
      <c r="B57" s="885"/>
      <c r="C57" s="203" t="s">
        <v>69</v>
      </c>
      <c r="D57" s="204">
        <f t="shared" ref="D57" si="8">D41*$B$40/$P$40</f>
        <v>0</v>
      </c>
      <c r="E57" s="204">
        <f t="shared" ref="E57:O57" si="9">E41*$B$40/$P$40</f>
        <v>5.0000000000000018E-3</v>
      </c>
      <c r="F57" s="204">
        <f t="shared" si="9"/>
        <v>5.0000000000000018E-3</v>
      </c>
      <c r="G57" s="204">
        <f t="shared" si="9"/>
        <v>5.0000000000000018E-3</v>
      </c>
      <c r="H57" s="204">
        <f t="shared" si="9"/>
        <v>5.0000000000000018E-3</v>
      </c>
      <c r="I57" s="204">
        <f t="shared" si="9"/>
        <v>0</v>
      </c>
      <c r="J57" s="204">
        <f t="shared" si="9"/>
        <v>0</v>
      </c>
      <c r="K57" s="204">
        <f t="shared" si="9"/>
        <v>0</v>
      </c>
      <c r="L57" s="204">
        <f t="shared" si="9"/>
        <v>0</v>
      </c>
      <c r="M57" s="204">
        <f t="shared" si="9"/>
        <v>0</v>
      </c>
      <c r="N57" s="204">
        <f t="shared" si="9"/>
        <v>0</v>
      </c>
      <c r="O57" s="204">
        <f t="shared" si="9"/>
        <v>0</v>
      </c>
      <c r="P57" s="205">
        <f t="shared" si="5"/>
        <v>2.0000000000000007E-2</v>
      </c>
      <c r="Q57" s="202"/>
      <c r="R57" s="202"/>
      <c r="S57" s="202"/>
      <c r="T57" s="202"/>
      <c r="U57" s="202"/>
      <c r="V57" s="202"/>
      <c r="W57" s="202"/>
      <c r="X57" s="202"/>
      <c r="Y57" s="202"/>
      <c r="Z57" s="202"/>
      <c r="AA57" s="202"/>
      <c r="AB57" s="202"/>
      <c r="AC57" s="202"/>
      <c r="AD57" s="202"/>
      <c r="AE57" s="202"/>
      <c r="AF57" s="567"/>
      <c r="AG57" s="567"/>
      <c r="AH57" s="567"/>
      <c r="AI57" s="567"/>
      <c r="AJ57" s="567"/>
      <c r="AL57" s="475"/>
      <c r="AM57" s="575">
        <f>LEN(AM56)</f>
        <v>1</v>
      </c>
      <c r="AN57" s="575">
        <f>LEN(AN56)</f>
        <v>1</v>
      </c>
      <c r="AO57" s="575">
        <f>LEN(AO56)</f>
        <v>1</v>
      </c>
      <c r="AP57" s="202"/>
      <c r="AQ57" s="202"/>
      <c r="AR57" s="202"/>
      <c r="AS57" s="202"/>
      <c r="AT57" s="202"/>
      <c r="AU57" s="198"/>
      <c r="AV57" s="198"/>
      <c r="AW57" s="198"/>
      <c r="AX57" s="198"/>
      <c r="AY57" s="198"/>
      <c r="AZ57" s="198"/>
      <c r="BA57" s="198"/>
      <c r="BB57" s="198"/>
      <c r="BC57" s="198"/>
    </row>
    <row r="58" spans="1:55" s="199" customFormat="1">
      <c r="A58" s="884" t="str">
        <f>A42</f>
        <v>10. Promover acciones que contribuyan a la generación de ingresos y empleo para las mujeres, conforme a la oferta de las diferentes entidades del distrito.</v>
      </c>
      <c r="B58" s="884">
        <f>B42</f>
        <v>0.05</v>
      </c>
      <c r="C58" s="201" t="s">
        <v>65</v>
      </c>
      <c r="D58" s="202">
        <f>D42*$B$42/$P$42</f>
        <v>0</v>
      </c>
      <c r="E58" s="202">
        <f t="shared" ref="E58:O58" si="10">E42*$B$42/$P$42</f>
        <v>2.5000000000000009E-3</v>
      </c>
      <c r="F58" s="202">
        <f t="shared" si="10"/>
        <v>5.0000000000000018E-3</v>
      </c>
      <c r="G58" s="202">
        <f t="shared" si="10"/>
        <v>5.0000000000000018E-3</v>
      </c>
      <c r="H58" s="202">
        <f t="shared" si="10"/>
        <v>5.0000000000000018E-3</v>
      </c>
      <c r="I58" s="202">
        <f t="shared" si="10"/>
        <v>5.0000000000000018E-3</v>
      </c>
      <c r="J58" s="202">
        <f t="shared" si="10"/>
        <v>5.0000000000000018E-3</v>
      </c>
      <c r="K58" s="202">
        <f t="shared" si="10"/>
        <v>5.0000000000000018E-3</v>
      </c>
      <c r="L58" s="202">
        <f t="shared" si="10"/>
        <v>5.0000000000000018E-3</v>
      </c>
      <c r="M58" s="202">
        <f t="shared" si="10"/>
        <v>5.0000000000000018E-3</v>
      </c>
      <c r="N58" s="202">
        <f t="shared" si="10"/>
        <v>5.0000000000000018E-3</v>
      </c>
      <c r="O58" s="202">
        <f t="shared" si="10"/>
        <v>2.5000000000000009E-3</v>
      </c>
      <c r="P58" s="356">
        <f t="shared" ref="P58:P61" si="11">SUM(D58:O58)</f>
        <v>5.0000000000000024E-2</v>
      </c>
      <c r="Q58" s="202"/>
      <c r="R58" s="202"/>
      <c r="S58" s="202"/>
      <c r="T58" s="202"/>
      <c r="U58" s="202"/>
      <c r="V58" s="202"/>
      <c r="W58" s="202"/>
      <c r="X58" s="202"/>
      <c r="Y58" s="202"/>
      <c r="Z58" s="202"/>
      <c r="AA58" s="202"/>
      <c r="AB58" s="202"/>
      <c r="AC58" s="202"/>
      <c r="AD58" s="202"/>
      <c r="AE58" s="202"/>
      <c r="AF58" s="567"/>
      <c r="AG58" s="567"/>
      <c r="AH58" s="567"/>
      <c r="AI58" s="567"/>
      <c r="AJ58" s="567"/>
      <c r="AL58" s="475"/>
      <c r="AM58" s="475"/>
      <c r="AN58" s="475"/>
      <c r="AO58" s="202"/>
      <c r="AP58" s="202"/>
      <c r="AQ58" s="202"/>
      <c r="AR58" s="202"/>
      <c r="AS58" s="202"/>
      <c r="AT58" s="202"/>
      <c r="AU58" s="198"/>
      <c r="AV58" s="198"/>
      <c r="AW58" s="198"/>
      <c r="AX58" s="198"/>
      <c r="AY58" s="198"/>
      <c r="AZ58" s="198"/>
      <c r="BA58" s="198"/>
      <c r="BB58" s="198"/>
      <c r="BC58" s="198"/>
    </row>
    <row r="59" spans="1:55" s="199" customFormat="1">
      <c r="A59" s="885"/>
      <c r="B59" s="885"/>
      <c r="C59" s="203" t="s">
        <v>69</v>
      </c>
      <c r="D59" s="204">
        <f>D43*$B$42/$P$42</f>
        <v>0</v>
      </c>
      <c r="E59" s="204">
        <f t="shared" ref="E59:O59" si="12">E43*$B$42/$P$42</f>
        <v>2.5000000000000009E-3</v>
      </c>
      <c r="F59" s="204">
        <f t="shared" si="12"/>
        <v>5.0000000000000018E-3</v>
      </c>
      <c r="G59" s="204">
        <f t="shared" si="12"/>
        <v>5.0000000000000018E-3</v>
      </c>
      <c r="H59" s="204">
        <f t="shared" si="12"/>
        <v>5.0000000000000018E-3</v>
      </c>
      <c r="I59" s="204">
        <f t="shared" si="12"/>
        <v>0</v>
      </c>
      <c r="J59" s="204">
        <f t="shared" si="12"/>
        <v>0</v>
      </c>
      <c r="K59" s="204">
        <f t="shared" si="12"/>
        <v>0</v>
      </c>
      <c r="L59" s="204">
        <f t="shared" si="12"/>
        <v>0</v>
      </c>
      <c r="M59" s="204">
        <f t="shared" si="12"/>
        <v>0</v>
      </c>
      <c r="N59" s="204">
        <f t="shared" si="12"/>
        <v>0</v>
      </c>
      <c r="O59" s="204">
        <f t="shared" si="12"/>
        <v>0</v>
      </c>
      <c r="P59" s="205">
        <f t="shared" si="11"/>
        <v>1.7500000000000005E-2</v>
      </c>
      <c r="Q59" s="202"/>
      <c r="R59" s="202"/>
      <c r="S59" s="202"/>
      <c r="T59" s="202"/>
      <c r="U59" s="202"/>
      <c r="V59" s="202"/>
      <c r="W59" s="202"/>
      <c r="X59" s="202"/>
      <c r="Y59" s="202"/>
      <c r="Z59" s="202"/>
      <c r="AA59" s="202"/>
      <c r="AB59" s="202"/>
      <c r="AC59" s="202"/>
      <c r="AD59" s="202"/>
      <c r="AE59" s="202"/>
      <c r="AF59" s="567"/>
      <c r="AG59" s="567"/>
      <c r="AH59" s="567"/>
      <c r="AI59" s="567"/>
      <c r="AJ59" s="567"/>
      <c r="AL59" s="475"/>
      <c r="AM59" s="156" t="s">
        <v>131</v>
      </c>
      <c r="AN59" s="156" t="s">
        <v>132</v>
      </c>
      <c r="AO59" s="156" t="s">
        <v>132</v>
      </c>
      <c r="AP59" s="202"/>
      <c r="AQ59" s="202"/>
      <c r="AR59" s="202"/>
      <c r="AS59" s="202"/>
      <c r="AT59" s="202"/>
      <c r="AU59" s="198"/>
      <c r="AV59" s="198"/>
      <c r="AW59" s="198"/>
      <c r="AX59" s="198"/>
      <c r="AY59" s="198"/>
      <c r="AZ59" s="198"/>
      <c r="BA59" s="198"/>
      <c r="BB59" s="198"/>
      <c r="BC59" s="198"/>
    </row>
    <row r="60" spans="1:55" s="199" customFormat="1" ht="105">
      <c r="A60" s="884" t="str">
        <f>A44</f>
        <v>11. Diseñar dos (2) programas que promuevan la autonomía económica de mujeres, en especial cuidadoras.</v>
      </c>
      <c r="B60" s="884">
        <f>B44</f>
        <v>0.04</v>
      </c>
      <c r="C60" s="201" t="s">
        <v>65</v>
      </c>
      <c r="D60" s="202">
        <f>D44*$B$44/$P$44</f>
        <v>0</v>
      </c>
      <c r="E60" s="202">
        <f t="shared" ref="E60:O60" si="13">E44*$B$44/$P$44</f>
        <v>0</v>
      </c>
      <c r="F60" s="202">
        <f t="shared" si="13"/>
        <v>4.000000000000001E-3</v>
      </c>
      <c r="G60" s="202">
        <f t="shared" si="13"/>
        <v>4.000000000000001E-3</v>
      </c>
      <c r="H60" s="202">
        <f t="shared" si="13"/>
        <v>4.000000000000001E-3</v>
      </c>
      <c r="I60" s="202">
        <f t="shared" si="13"/>
        <v>4.000000000000001E-3</v>
      </c>
      <c r="J60" s="202">
        <f t="shared" si="13"/>
        <v>4.000000000000001E-3</v>
      </c>
      <c r="K60" s="202">
        <f t="shared" si="13"/>
        <v>4.000000000000001E-3</v>
      </c>
      <c r="L60" s="202">
        <f t="shared" si="13"/>
        <v>4.000000000000001E-3</v>
      </c>
      <c r="M60" s="202">
        <f t="shared" si="13"/>
        <v>4.000000000000001E-3</v>
      </c>
      <c r="N60" s="202">
        <f t="shared" si="13"/>
        <v>4.000000000000001E-3</v>
      </c>
      <c r="O60" s="202">
        <f t="shared" si="13"/>
        <v>4.000000000000001E-3</v>
      </c>
      <c r="P60" s="356">
        <f t="shared" si="11"/>
        <v>4.0000000000000015E-2</v>
      </c>
      <c r="Q60" s="202"/>
      <c r="R60" s="202"/>
      <c r="S60" s="202"/>
      <c r="T60" s="202"/>
      <c r="U60" s="202"/>
      <c r="V60" s="202"/>
      <c r="W60" s="202"/>
      <c r="X60" s="202"/>
      <c r="Y60" s="202"/>
      <c r="Z60" s="202"/>
      <c r="AA60" s="202"/>
      <c r="AB60" s="202"/>
      <c r="AC60" s="202"/>
      <c r="AD60" s="202"/>
      <c r="AE60" s="202"/>
      <c r="AF60" s="567"/>
      <c r="AG60" s="567"/>
      <c r="AH60" s="567"/>
      <c r="AI60" s="567"/>
      <c r="AJ60" s="567"/>
      <c r="AL60" s="475"/>
      <c r="AM60" s="72" t="s">
        <v>141</v>
      </c>
      <c r="AN60" s="72" t="s">
        <v>142</v>
      </c>
      <c r="AO60" s="72" t="s">
        <v>143</v>
      </c>
      <c r="AP60" s="202"/>
      <c r="AQ60" s="202"/>
      <c r="AR60" s="202"/>
      <c r="AS60" s="202"/>
      <c r="AT60" s="202"/>
      <c r="AU60" s="198"/>
      <c r="AV60" s="198"/>
      <c r="AW60" s="198"/>
      <c r="AX60" s="198"/>
      <c r="AY60" s="198"/>
      <c r="AZ60" s="198"/>
      <c r="BA60" s="198"/>
      <c r="BB60" s="198"/>
      <c r="BC60" s="198"/>
    </row>
    <row r="61" spans="1:55" s="199" customFormat="1">
      <c r="A61" s="885"/>
      <c r="B61" s="885"/>
      <c r="C61" s="203" t="s">
        <v>69</v>
      </c>
      <c r="D61" s="204">
        <f>D45*$B$44/$P$44</f>
        <v>0</v>
      </c>
      <c r="E61" s="204">
        <f t="shared" ref="E61:O61" si="14">E45*$B$44/$P$44</f>
        <v>8.0000000000000015E-4</v>
      </c>
      <c r="F61" s="204">
        <f t="shared" si="14"/>
        <v>4.000000000000001E-3</v>
      </c>
      <c r="G61" s="204">
        <f t="shared" si="14"/>
        <v>2.0000000000000005E-3</v>
      </c>
      <c r="H61" s="204">
        <f t="shared" si="14"/>
        <v>4.000000000000001E-3</v>
      </c>
      <c r="I61" s="204">
        <f t="shared" si="14"/>
        <v>0</v>
      </c>
      <c r="J61" s="204">
        <f t="shared" si="14"/>
        <v>0</v>
      </c>
      <c r="K61" s="204">
        <f t="shared" si="14"/>
        <v>0</v>
      </c>
      <c r="L61" s="204">
        <f t="shared" si="14"/>
        <v>0</v>
      </c>
      <c r="M61" s="204">
        <f t="shared" si="14"/>
        <v>0</v>
      </c>
      <c r="N61" s="204">
        <f t="shared" si="14"/>
        <v>0</v>
      </c>
      <c r="O61" s="204">
        <f t="shared" si="14"/>
        <v>0</v>
      </c>
      <c r="P61" s="205">
        <f t="shared" si="11"/>
        <v>1.0800000000000004E-2</v>
      </c>
      <c r="Q61" s="202"/>
      <c r="R61" s="202"/>
      <c r="S61" s="202"/>
      <c r="T61" s="202"/>
      <c r="U61" s="202"/>
      <c r="V61" s="202"/>
      <c r="W61" s="202"/>
      <c r="X61" s="202"/>
      <c r="Y61" s="202"/>
      <c r="Z61" s="202"/>
      <c r="AA61" s="202"/>
      <c r="AB61" s="202"/>
      <c r="AC61" s="202"/>
      <c r="AD61" s="202"/>
      <c r="AE61" s="202"/>
      <c r="AF61" s="567"/>
      <c r="AG61" s="567"/>
      <c r="AH61" s="567"/>
      <c r="AI61" s="567"/>
      <c r="AJ61" s="567"/>
      <c r="AL61" s="475"/>
      <c r="AM61" s="575">
        <f>LEN(AM60)</f>
        <v>135</v>
      </c>
      <c r="AN61" s="575">
        <f>LEN(AN60)</f>
        <v>143</v>
      </c>
      <c r="AO61" s="575">
        <f>LEN(AO60)</f>
        <v>67</v>
      </c>
      <c r="AP61" s="202"/>
      <c r="AQ61" s="202"/>
      <c r="AR61" s="202"/>
      <c r="AS61" s="202"/>
      <c r="AT61" s="202"/>
      <c r="AU61" s="198"/>
      <c r="AV61" s="198"/>
      <c r="AW61" s="198"/>
      <c r="AX61" s="198"/>
      <c r="AY61" s="198"/>
      <c r="AZ61" s="198"/>
      <c r="BA61" s="198"/>
      <c r="BB61" s="198"/>
      <c r="BC61" s="198"/>
    </row>
    <row r="62" spans="1:55" s="199" customFormat="1">
      <c r="A62" s="884" t="str">
        <f>+A46</f>
        <v xml:space="preserve">12. Generar y desarrollar alianzas estratégicas que contribuyan a la implementación de la estrategia de emprendimiento y empleabilidad. </v>
      </c>
      <c r="B62" s="884">
        <f>B46</f>
        <v>0.04</v>
      </c>
      <c r="C62" s="201" t="s">
        <v>65</v>
      </c>
      <c r="D62" s="202">
        <f>D46*$B$46/$P$46</f>
        <v>0</v>
      </c>
      <c r="E62" s="202">
        <f t="shared" ref="E62:O62" si="15">E46*$B$46/$P$46</f>
        <v>2.0000000000000005E-3</v>
      </c>
      <c r="F62" s="202">
        <f t="shared" si="15"/>
        <v>4.000000000000001E-3</v>
      </c>
      <c r="G62" s="202">
        <f t="shared" si="15"/>
        <v>4.000000000000001E-3</v>
      </c>
      <c r="H62" s="202">
        <f t="shared" si="15"/>
        <v>4.000000000000001E-3</v>
      </c>
      <c r="I62" s="202">
        <f t="shared" si="15"/>
        <v>4.000000000000001E-3</v>
      </c>
      <c r="J62" s="202">
        <f t="shared" si="15"/>
        <v>4.000000000000001E-3</v>
      </c>
      <c r="K62" s="202">
        <f t="shared" si="15"/>
        <v>4.000000000000001E-3</v>
      </c>
      <c r="L62" s="202">
        <f t="shared" si="15"/>
        <v>4.000000000000001E-3</v>
      </c>
      <c r="M62" s="202">
        <f t="shared" si="15"/>
        <v>4.000000000000001E-3</v>
      </c>
      <c r="N62" s="202">
        <f t="shared" si="15"/>
        <v>4.000000000000001E-3</v>
      </c>
      <c r="O62" s="202">
        <f t="shared" si="15"/>
        <v>2.0000000000000005E-3</v>
      </c>
      <c r="P62" s="356">
        <f t="shared" ref="P62:P63" si="16">SUM(D62:O62)</f>
        <v>4.0000000000000008E-2</v>
      </c>
      <c r="Q62" s="202"/>
      <c r="R62" s="202"/>
      <c r="S62" s="202"/>
      <c r="T62" s="202"/>
      <c r="U62" s="202"/>
      <c r="V62" s="202"/>
      <c r="W62" s="202"/>
      <c r="X62" s="202"/>
      <c r="Y62" s="202"/>
      <c r="Z62" s="202"/>
      <c r="AA62" s="202"/>
      <c r="AB62" s="202"/>
      <c r="AC62" s="202"/>
      <c r="AD62" s="202"/>
      <c r="AE62" s="202"/>
      <c r="AF62" s="568"/>
      <c r="AG62" s="568"/>
      <c r="AH62" s="568"/>
      <c r="AI62" s="568"/>
      <c r="AJ62" s="568"/>
      <c r="AK62" s="475"/>
      <c r="AL62" s="475"/>
      <c r="AM62" s="475"/>
      <c r="AN62" s="202"/>
      <c r="AO62" s="202"/>
      <c r="AP62" s="202"/>
      <c r="AQ62" s="202"/>
      <c r="AR62" s="202"/>
      <c r="AS62" s="202"/>
      <c r="AT62" s="202"/>
      <c r="AU62" s="198"/>
      <c r="AV62" s="198"/>
      <c r="AW62" s="198"/>
      <c r="AX62" s="198"/>
      <c r="AY62" s="198"/>
      <c r="AZ62" s="198"/>
      <c r="BA62" s="198"/>
      <c r="BB62" s="198"/>
      <c r="BC62" s="198"/>
    </row>
    <row r="63" spans="1:55" s="199" customFormat="1">
      <c r="A63" s="885"/>
      <c r="B63" s="885"/>
      <c r="C63" s="203" t="s">
        <v>69</v>
      </c>
      <c r="D63" s="204">
        <f>D47*$B$46/$P$46</f>
        <v>0</v>
      </c>
      <c r="E63" s="204">
        <f t="shared" ref="E63:O63" si="17">E47*$B$46/$P$46</f>
        <v>2.0000000000000005E-3</v>
      </c>
      <c r="F63" s="204">
        <f t="shared" si="17"/>
        <v>4.000000000000001E-3</v>
      </c>
      <c r="G63" s="204">
        <f t="shared" si="17"/>
        <v>4.000000000000001E-3</v>
      </c>
      <c r="H63" s="204">
        <f t="shared" si="17"/>
        <v>4.000000000000001E-3</v>
      </c>
      <c r="I63" s="204">
        <f t="shared" si="17"/>
        <v>0</v>
      </c>
      <c r="J63" s="204">
        <f t="shared" si="17"/>
        <v>0</v>
      </c>
      <c r="K63" s="204">
        <f t="shared" si="17"/>
        <v>0</v>
      </c>
      <c r="L63" s="204">
        <f t="shared" si="17"/>
        <v>0</v>
      </c>
      <c r="M63" s="204">
        <f t="shared" si="17"/>
        <v>0</v>
      </c>
      <c r="N63" s="204">
        <f t="shared" si="17"/>
        <v>0</v>
      </c>
      <c r="O63" s="204">
        <f t="shared" si="17"/>
        <v>0</v>
      </c>
      <c r="P63" s="205">
        <f t="shared" si="16"/>
        <v>1.4000000000000002E-2</v>
      </c>
      <c r="Q63" s="202"/>
      <c r="R63" s="202"/>
      <c r="S63" s="202"/>
      <c r="T63" s="202"/>
      <c r="U63" s="202"/>
      <c r="V63" s="202"/>
      <c r="W63" s="202"/>
      <c r="X63" s="202"/>
      <c r="Y63" s="202"/>
      <c r="Z63" s="202"/>
      <c r="AA63" s="202"/>
      <c r="AB63" s="202"/>
      <c r="AC63" s="202"/>
      <c r="AD63" s="202"/>
      <c r="AE63" s="202"/>
      <c r="AF63" s="568"/>
      <c r="AG63" s="568"/>
      <c r="AH63" s="568"/>
      <c r="AI63" s="568"/>
      <c r="AJ63" s="568"/>
      <c r="AK63" s="475"/>
      <c r="AL63" s="475"/>
      <c r="AM63" s="475"/>
      <c r="AN63" s="202"/>
      <c r="AO63" s="202"/>
      <c r="AP63" s="202"/>
      <c r="AQ63" s="202"/>
      <c r="AR63" s="202"/>
      <c r="AS63" s="202"/>
      <c r="AT63" s="202"/>
      <c r="AU63" s="198"/>
      <c r="AV63" s="198"/>
      <c r="AW63" s="198"/>
      <c r="AX63" s="198"/>
      <c r="AY63" s="198"/>
      <c r="AZ63" s="198"/>
      <c r="BA63" s="198"/>
      <c r="BB63" s="198"/>
      <c r="BC63" s="198"/>
    </row>
    <row r="64" spans="1:55" s="199" customFormat="1">
      <c r="A64" s="202"/>
      <c r="B64" s="202"/>
      <c r="C64" s="206"/>
      <c r="D64" s="207">
        <f>D55+D57+D59+D61+D63</f>
        <v>0</v>
      </c>
      <c r="E64" s="207">
        <f t="shared" ref="E64:O64" si="18">E55+E57+E59+E61+E63</f>
        <v>1.3100000000000004E-2</v>
      </c>
      <c r="F64" s="207">
        <f t="shared" si="18"/>
        <v>2.4300000000000006E-2</v>
      </c>
      <c r="G64" s="207">
        <f t="shared" si="18"/>
        <v>2.1600000000000008E-2</v>
      </c>
      <c r="H64" s="207">
        <f t="shared" si="18"/>
        <v>2.5000000000000005E-2</v>
      </c>
      <c r="I64" s="207">
        <f t="shared" si="18"/>
        <v>0</v>
      </c>
      <c r="J64" s="207">
        <f t="shared" si="18"/>
        <v>0</v>
      </c>
      <c r="K64" s="207">
        <f t="shared" si="18"/>
        <v>0</v>
      </c>
      <c r="L64" s="207">
        <f t="shared" si="18"/>
        <v>0</v>
      </c>
      <c r="M64" s="207">
        <f t="shared" si="18"/>
        <v>0</v>
      </c>
      <c r="N64" s="207">
        <f t="shared" si="18"/>
        <v>0</v>
      </c>
      <c r="O64" s="207">
        <f t="shared" si="18"/>
        <v>0</v>
      </c>
      <c r="P64" s="207">
        <f>P55+P57+P59+P61+P63</f>
        <v>8.4000000000000019E-2</v>
      </c>
      <c r="Q64" s="202"/>
      <c r="R64" s="202"/>
      <c r="S64" s="202"/>
      <c r="T64" s="202"/>
      <c r="U64" s="202"/>
      <c r="V64" s="202"/>
      <c r="W64" s="202"/>
      <c r="X64" s="202"/>
      <c r="Y64" s="202"/>
      <c r="Z64" s="202"/>
      <c r="AA64" s="202"/>
      <c r="AB64" s="202"/>
      <c r="AC64" s="202"/>
      <c r="AD64" s="202"/>
      <c r="AE64" s="202"/>
      <c r="AF64" s="568"/>
      <c r="AG64" s="568"/>
      <c r="AH64" s="568"/>
      <c r="AI64" s="568"/>
      <c r="AJ64" s="568"/>
      <c r="AK64" s="475"/>
      <c r="AL64" s="475"/>
      <c r="AM64" s="475"/>
      <c r="AN64" s="202"/>
      <c r="AO64" s="202"/>
      <c r="AP64" s="202"/>
      <c r="AQ64" s="202"/>
      <c r="AR64" s="202"/>
      <c r="AS64" s="202"/>
      <c r="AT64" s="202"/>
      <c r="AU64" s="198"/>
      <c r="AV64" s="198"/>
      <c r="AW64" s="198"/>
      <c r="AX64" s="198"/>
      <c r="AY64" s="198"/>
      <c r="AZ64" s="198"/>
      <c r="BA64" s="198"/>
      <c r="BB64" s="198"/>
      <c r="BC64" s="198"/>
    </row>
    <row r="65" spans="1:55" s="393" customFormat="1">
      <c r="A65" s="209"/>
      <c r="B65" s="209"/>
      <c r="C65" s="390" t="s">
        <v>69</v>
      </c>
      <c r="D65" s="391">
        <f>D64*$W$17/$B$34</f>
        <v>0</v>
      </c>
      <c r="E65" s="391">
        <f t="shared" ref="E65:O65" si="19">E64*$W$17/$B$34</f>
        <v>1.0480000000000003E-2</v>
      </c>
      <c r="F65" s="391">
        <f t="shared" si="19"/>
        <v>1.9440000000000006E-2</v>
      </c>
      <c r="G65" s="391">
        <f t="shared" si="19"/>
        <v>1.7280000000000007E-2</v>
      </c>
      <c r="H65" s="391">
        <f t="shared" si="19"/>
        <v>2.0000000000000004E-2</v>
      </c>
      <c r="I65" s="391">
        <f t="shared" si="19"/>
        <v>0</v>
      </c>
      <c r="J65" s="391">
        <f t="shared" si="19"/>
        <v>0</v>
      </c>
      <c r="K65" s="391">
        <f t="shared" si="19"/>
        <v>0</v>
      </c>
      <c r="L65" s="391">
        <f t="shared" si="19"/>
        <v>0</v>
      </c>
      <c r="M65" s="391">
        <f t="shared" si="19"/>
        <v>0</v>
      </c>
      <c r="N65" s="391">
        <f t="shared" si="19"/>
        <v>0</v>
      </c>
      <c r="O65" s="391">
        <f t="shared" si="19"/>
        <v>0</v>
      </c>
      <c r="P65" s="392">
        <f>SUM(D65:O65)</f>
        <v>6.7200000000000024E-2</v>
      </c>
      <c r="Q65" s="208"/>
      <c r="R65" s="209"/>
      <c r="S65" s="209"/>
      <c r="T65" s="209"/>
      <c r="U65" s="209"/>
      <c r="V65" s="209"/>
      <c r="W65" s="209"/>
      <c r="X65" s="209"/>
      <c r="Y65" s="209"/>
      <c r="Z65" s="209"/>
      <c r="AA65" s="209"/>
      <c r="AB65" s="209"/>
      <c r="AC65" s="209"/>
      <c r="AD65" s="209"/>
      <c r="AE65" s="209"/>
      <c r="AF65" s="569"/>
      <c r="AG65" s="569"/>
      <c r="AH65" s="569"/>
      <c r="AI65" s="569"/>
      <c r="AJ65" s="569"/>
      <c r="AK65" s="474"/>
      <c r="AL65" s="474"/>
      <c r="AM65" s="474"/>
      <c r="AN65" s="470"/>
      <c r="AO65" s="470"/>
      <c r="AP65" s="470"/>
      <c r="AQ65" s="470"/>
      <c r="AR65" s="470"/>
      <c r="AS65" s="209"/>
      <c r="AT65" s="209"/>
      <c r="AU65" s="209"/>
      <c r="AV65" s="209"/>
      <c r="AW65" s="209"/>
      <c r="AX65" s="209"/>
      <c r="AY65" s="209"/>
      <c r="AZ65" s="209"/>
      <c r="BA65" s="209"/>
      <c r="BB65" s="209"/>
      <c r="BC65" s="209"/>
    </row>
    <row r="66" spans="1:55" s="393" customFormat="1">
      <c r="A66" s="208"/>
      <c r="B66" s="208"/>
      <c r="C66" s="208"/>
      <c r="D66" s="208"/>
      <c r="E66" s="208"/>
      <c r="F66" s="208"/>
      <c r="G66" s="208"/>
      <c r="H66" s="208"/>
      <c r="I66" s="208"/>
      <c r="J66" s="208"/>
      <c r="K66" s="208"/>
      <c r="L66" s="208"/>
      <c r="M66" s="208"/>
      <c r="N66" s="208"/>
      <c r="O66" s="208"/>
      <c r="P66" s="208"/>
      <c r="Q66" s="208"/>
      <c r="R66" s="208"/>
      <c r="S66" s="208"/>
      <c r="T66" s="208"/>
      <c r="U66" s="208"/>
      <c r="V66" s="208"/>
      <c r="W66" s="208"/>
      <c r="X66" s="208"/>
      <c r="Y66" s="208"/>
      <c r="Z66" s="208"/>
      <c r="AA66" s="208"/>
      <c r="AB66" s="208"/>
      <c r="AC66" s="208"/>
      <c r="AD66" s="209"/>
      <c r="AE66" s="209"/>
      <c r="AF66" s="569"/>
      <c r="AG66" s="569"/>
      <c r="AH66" s="569"/>
      <c r="AI66" s="569"/>
      <c r="AJ66" s="569"/>
      <c r="AK66" s="474"/>
      <c r="AL66" s="474"/>
      <c r="AM66" s="474"/>
      <c r="AN66" s="470"/>
      <c r="AO66" s="470"/>
      <c r="AP66" s="470"/>
      <c r="AQ66" s="470"/>
      <c r="AR66" s="470"/>
      <c r="AS66" s="209"/>
      <c r="AT66" s="209"/>
      <c r="AU66" s="209"/>
      <c r="AV66" s="209"/>
      <c r="AW66" s="209"/>
      <c r="AX66" s="209"/>
      <c r="AY66" s="209"/>
      <c r="AZ66" s="209"/>
      <c r="BA66" s="209"/>
      <c r="BB66" s="209"/>
      <c r="BC66" s="209"/>
    </row>
    <row r="67" spans="1:55" s="108" customFormat="1">
      <c r="D67" s="394">
        <f>D54+D56+D58+D60+D62</f>
        <v>0</v>
      </c>
      <c r="E67" s="394">
        <f t="shared" ref="E67:O67" si="20">E54+E56+E58+E60+E62</f>
        <v>1.3000000000000003E-2</v>
      </c>
      <c r="F67" s="394">
        <f t="shared" si="20"/>
        <v>2.5000000000000005E-2</v>
      </c>
      <c r="G67" s="394">
        <f t="shared" si="20"/>
        <v>2.5000000000000005E-2</v>
      </c>
      <c r="H67" s="394">
        <f t="shared" si="20"/>
        <v>2.5000000000000005E-2</v>
      </c>
      <c r="I67" s="394">
        <f t="shared" si="20"/>
        <v>2.5000000000000005E-2</v>
      </c>
      <c r="J67" s="394">
        <f t="shared" si="20"/>
        <v>2.5000000000000005E-2</v>
      </c>
      <c r="K67" s="394">
        <f t="shared" si="20"/>
        <v>2.5000000000000005E-2</v>
      </c>
      <c r="L67" s="394">
        <f t="shared" si="20"/>
        <v>2.5000000000000005E-2</v>
      </c>
      <c r="M67" s="394">
        <f t="shared" si="20"/>
        <v>2.5000000000000005E-2</v>
      </c>
      <c r="N67" s="394">
        <f t="shared" si="20"/>
        <v>2.5000000000000005E-2</v>
      </c>
      <c r="O67" s="394">
        <f t="shared" si="20"/>
        <v>1.2000000000000002E-2</v>
      </c>
      <c r="P67" s="394">
        <f>SUM(D67:O67)</f>
        <v>0.25</v>
      </c>
      <c r="AF67" s="570"/>
      <c r="AG67" s="570"/>
      <c r="AH67" s="570"/>
      <c r="AI67" s="570"/>
      <c r="AJ67" s="570"/>
      <c r="AK67" s="467"/>
      <c r="AL67" s="467"/>
      <c r="AM67" s="467"/>
      <c r="AN67" s="114"/>
      <c r="AO67" s="114"/>
      <c r="AP67" s="114"/>
      <c r="AQ67" s="114"/>
      <c r="AR67" s="114"/>
    </row>
    <row r="68" spans="1:55" s="393" customFormat="1">
      <c r="A68" s="209"/>
      <c r="B68" s="209"/>
      <c r="C68" s="390" t="s">
        <v>65</v>
      </c>
      <c r="D68" s="391">
        <f>D67*$W$17/$B$34</f>
        <v>0</v>
      </c>
      <c r="E68" s="391">
        <f t="shared" ref="E68:O68" si="21">E67*$W$17/$B$34</f>
        <v>1.0400000000000003E-2</v>
      </c>
      <c r="F68" s="391">
        <f t="shared" si="21"/>
        <v>2.0000000000000004E-2</v>
      </c>
      <c r="G68" s="391">
        <f t="shared" si="21"/>
        <v>2.0000000000000004E-2</v>
      </c>
      <c r="H68" s="391">
        <f t="shared" si="21"/>
        <v>2.0000000000000004E-2</v>
      </c>
      <c r="I68" s="391">
        <f t="shared" si="21"/>
        <v>2.0000000000000004E-2</v>
      </c>
      <c r="J68" s="391">
        <f t="shared" si="21"/>
        <v>2.0000000000000004E-2</v>
      </c>
      <c r="K68" s="391">
        <f t="shared" si="21"/>
        <v>2.0000000000000004E-2</v>
      </c>
      <c r="L68" s="391">
        <f t="shared" si="21"/>
        <v>2.0000000000000004E-2</v>
      </c>
      <c r="M68" s="391">
        <f t="shared" si="21"/>
        <v>2.0000000000000004E-2</v>
      </c>
      <c r="N68" s="391">
        <f t="shared" si="21"/>
        <v>2.0000000000000004E-2</v>
      </c>
      <c r="O68" s="391">
        <f t="shared" si="21"/>
        <v>9.6000000000000026E-3</v>
      </c>
      <c r="P68" s="392">
        <f>SUM(D68:O68)</f>
        <v>0.20000000000000007</v>
      </c>
      <c r="Q68" s="208"/>
      <c r="R68" s="209"/>
      <c r="S68" s="209"/>
      <c r="T68" s="209"/>
      <c r="U68" s="209"/>
      <c r="V68" s="209"/>
      <c r="W68" s="209"/>
      <c r="X68" s="209"/>
      <c r="Y68" s="209"/>
      <c r="Z68" s="209"/>
      <c r="AA68" s="209"/>
      <c r="AB68" s="209"/>
      <c r="AC68" s="209"/>
      <c r="AD68" s="209"/>
      <c r="AE68" s="209"/>
      <c r="AF68" s="569"/>
      <c r="AG68" s="569"/>
      <c r="AH68" s="569"/>
      <c r="AI68" s="569"/>
      <c r="AJ68" s="569"/>
      <c r="AK68" s="474"/>
      <c r="AL68" s="474"/>
      <c r="AM68" s="474"/>
      <c r="AN68" s="470"/>
      <c r="AO68" s="470"/>
      <c r="AP68" s="470"/>
      <c r="AQ68" s="470"/>
      <c r="AR68" s="470"/>
      <c r="AS68" s="209"/>
      <c r="AT68" s="209"/>
      <c r="AU68" s="209"/>
      <c r="AV68" s="209"/>
      <c r="AW68" s="209"/>
      <c r="AX68" s="209"/>
      <c r="AY68" s="209"/>
      <c r="AZ68" s="209"/>
      <c r="BA68" s="209"/>
      <c r="BB68" s="209"/>
      <c r="BC68" s="209"/>
    </row>
  </sheetData>
  <mergeCells count="103">
    <mergeCell ref="AG44:AG45"/>
    <mergeCell ref="AG42:AG43"/>
    <mergeCell ref="AF38:AF39"/>
    <mergeCell ref="AF40:AF41"/>
    <mergeCell ref="AF42:AF43"/>
    <mergeCell ref="AF44:AF45"/>
    <mergeCell ref="AF46:AF47"/>
    <mergeCell ref="A58:A59"/>
    <mergeCell ref="B58:B59"/>
    <mergeCell ref="A52:A53"/>
    <mergeCell ref="B52:B53"/>
    <mergeCell ref="A46:A47"/>
    <mergeCell ref="B46:B47"/>
    <mergeCell ref="A42:A43"/>
    <mergeCell ref="B42:B43"/>
    <mergeCell ref="A54:A55"/>
    <mergeCell ref="B54:B55"/>
    <mergeCell ref="A56:A57"/>
    <mergeCell ref="B56:B57"/>
    <mergeCell ref="Q46:AD47"/>
    <mergeCell ref="Q42:AD43"/>
    <mergeCell ref="AA15:AD15"/>
    <mergeCell ref="C16:AB16"/>
    <mergeCell ref="AC17:AD17"/>
    <mergeCell ref="A19:AD19"/>
    <mergeCell ref="C20:P20"/>
    <mergeCell ref="Q20:AD20"/>
    <mergeCell ref="A17:B17"/>
    <mergeCell ref="C17:Q17"/>
    <mergeCell ref="R17:V17"/>
    <mergeCell ref="W17:X17"/>
    <mergeCell ref="Y17:AB17"/>
    <mergeCell ref="A15:B15"/>
    <mergeCell ref="C15:K15"/>
    <mergeCell ref="L15:Q15"/>
    <mergeCell ref="R15:X15"/>
    <mergeCell ref="Y15:Z15"/>
    <mergeCell ref="A1:A4"/>
    <mergeCell ref="B1:AA1"/>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O7:P7"/>
    <mergeCell ref="M8:N8"/>
    <mergeCell ref="O8:P8"/>
    <mergeCell ref="M9:N9"/>
    <mergeCell ref="O9:P9"/>
    <mergeCell ref="A22:B22"/>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A33:AD33"/>
    <mergeCell ref="A34:A35"/>
    <mergeCell ref="B34:B35"/>
    <mergeCell ref="Q34:V35"/>
    <mergeCell ref="W34:Z35"/>
    <mergeCell ref="AA34:AD35"/>
    <mergeCell ref="A36:A37"/>
    <mergeCell ref="B36:B37"/>
    <mergeCell ref="C36:P36"/>
    <mergeCell ref="Q36:AD36"/>
    <mergeCell ref="Q37:AD37"/>
    <mergeCell ref="A62:A63"/>
    <mergeCell ref="B62:B63"/>
    <mergeCell ref="A38:A39"/>
    <mergeCell ref="B38:B39"/>
    <mergeCell ref="Q38:AD39"/>
    <mergeCell ref="A44:A45"/>
    <mergeCell ref="B44:B45"/>
    <mergeCell ref="Q44:AD45"/>
    <mergeCell ref="A40:A41"/>
    <mergeCell ref="B40:B41"/>
    <mergeCell ref="Q40:AD41"/>
    <mergeCell ref="C52:P52"/>
    <mergeCell ref="A60:A61"/>
    <mergeCell ref="B60:B61"/>
  </mergeCells>
  <dataValidations count="3">
    <dataValidation type="textLength" operator="lessThanOrEqual" allowBlank="1" showInputMessage="1" showErrorMessage="1" errorTitle="Máximo 2.000 caracteres" error="Máximo 2.000 caracteres" sqref="W34 AA34 Q38:AD47 Q34 AG44:AJ44 AK44:AW45"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D38D317C-C352-42BC-BA6C-7A0245C01227}">
      <formula1>2000</formula1>
    </dataValidation>
    <dataValidation type="list" allowBlank="1" showInputMessage="1" showErrorMessage="1" sqref="WVO7:WVO9 JC7:JC9 SY7:SY9 ACU7:ACU9 AMQ7:AMQ9 AWM7:AWM9 BGI7:BGI9 BQE7:BQE9 CAA7:CAA9 CJW7:CJW9 CTS7:CTS9 DDO7:DDO9 DNK7:DNK9 DXG7:DXG9 EHC7:EHC9 EQY7:EQY9 FAU7:FAU9 FKQ7:FKQ9 FUM7:FUM9 GEI7:GEI9 GOE7:GOE9 GYA7:GYA9 HHW7:HHW9 HRS7:HRS9 IBO7:IBO9 ILK7:ILK9 IVG7:IVG9 JFC7:JFC9 JOY7:JOY9 JYU7:JYU9 KIQ7:KIQ9 KSM7:KSM9 LCI7:LCI9 LME7:LME9 LWA7:LWA9 MFW7:MFW9 MPS7:MPS9 MZO7:MZO9 NJK7:NJK9 NTG7:NTG9 ODC7:ODC9 OMY7:OMY9 OWU7:OWU9 PGQ7:PGQ9 PQM7:PQM9 QAI7:QAI9 QKE7:QKE9 QUA7:QUA9 RDW7:RDW9 RNS7:RNS9 RXO7:RXO9 SHK7:SHK9 SRG7:SRG9 TBC7:TBC9 TKY7:TKY9 TUU7:TUU9 UEQ7:UEQ9 UOM7:UOM9 UYI7:UYI9 VIE7:VIE9 VSA7:VSA9 WBW7:WBW9 WLS7:WLS9 C7:C9" xr:uid="{D19E3A7A-625A-4028-A70C-DF4B4E8F8D3F}">
      <formula1>$C$21:$N$21</formula1>
    </dataValidation>
  </dataValidations>
  <printOptions horizontalCentered="1"/>
  <pageMargins left="0.19685039370078741" right="0.19685039370078741" top="0.19685039370078741" bottom="0.19685039370078741" header="0" footer="0"/>
  <pageSetup scale="30"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AY65"/>
  <sheetViews>
    <sheetView showGridLines="0" view="pageBreakPreview" topLeftCell="W28" zoomScale="60" zoomScaleNormal="75" workbookViewId="0">
      <selection activeCell="AL28" sqref="AL28"/>
    </sheetView>
  </sheetViews>
  <sheetFormatPr baseColWidth="10" defaultColWidth="10.85546875" defaultRowHeight="15"/>
  <cols>
    <col min="1" max="1" width="38.42578125" style="50" customWidth="1"/>
    <col min="2" max="2" width="15.42578125"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30.7109375" style="50" customWidth="1"/>
    <col min="33" max="33" width="22.5703125" style="50" customWidth="1"/>
    <col min="34" max="38" width="17.7109375" style="555" customWidth="1"/>
    <col min="39" max="43" width="17.7109375" style="50" customWidth="1"/>
    <col min="44" max="16384" width="10.85546875" style="50"/>
  </cols>
  <sheetData>
    <row r="1" spans="1:30" ht="32.25" customHeight="1">
      <c r="A1" s="702"/>
      <c r="B1" s="705" t="s">
        <v>0</v>
      </c>
      <c r="C1" s="706"/>
      <c r="D1" s="706"/>
      <c r="E1" s="706"/>
      <c r="F1" s="706"/>
      <c r="G1" s="706"/>
      <c r="H1" s="706"/>
      <c r="I1" s="706"/>
      <c r="J1" s="706"/>
      <c r="K1" s="706"/>
      <c r="L1" s="706"/>
      <c r="M1" s="706"/>
      <c r="N1" s="706"/>
      <c r="O1" s="706"/>
      <c r="P1" s="706"/>
      <c r="Q1" s="706"/>
      <c r="R1" s="706"/>
      <c r="S1" s="706"/>
      <c r="T1" s="706"/>
      <c r="U1" s="706"/>
      <c r="V1" s="706"/>
      <c r="W1" s="706"/>
      <c r="X1" s="706"/>
      <c r="Y1" s="706"/>
      <c r="Z1" s="706"/>
      <c r="AA1" s="707"/>
      <c r="AB1" s="878" t="s">
        <v>1</v>
      </c>
      <c r="AC1" s="879"/>
      <c r="AD1" s="880"/>
    </row>
    <row r="2" spans="1:30" ht="30.75" customHeight="1">
      <c r="A2" s="703"/>
      <c r="B2" s="711" t="s">
        <v>2</v>
      </c>
      <c r="C2" s="712"/>
      <c r="D2" s="712"/>
      <c r="E2" s="712"/>
      <c r="F2" s="712"/>
      <c r="G2" s="712"/>
      <c r="H2" s="712"/>
      <c r="I2" s="712"/>
      <c r="J2" s="712"/>
      <c r="K2" s="712"/>
      <c r="L2" s="712"/>
      <c r="M2" s="712"/>
      <c r="N2" s="712"/>
      <c r="O2" s="712"/>
      <c r="P2" s="712"/>
      <c r="Q2" s="712"/>
      <c r="R2" s="712"/>
      <c r="S2" s="712"/>
      <c r="T2" s="712"/>
      <c r="U2" s="712"/>
      <c r="V2" s="712"/>
      <c r="W2" s="712"/>
      <c r="X2" s="712"/>
      <c r="Y2" s="712"/>
      <c r="Z2" s="712"/>
      <c r="AA2" s="713"/>
      <c r="AB2" s="881" t="s">
        <v>3</v>
      </c>
      <c r="AC2" s="882"/>
      <c r="AD2" s="883"/>
    </row>
    <row r="3" spans="1:30" ht="24" customHeight="1">
      <c r="A3" s="703"/>
      <c r="B3" s="717" t="s">
        <v>4</v>
      </c>
      <c r="C3" s="718"/>
      <c r="D3" s="718"/>
      <c r="E3" s="718"/>
      <c r="F3" s="718"/>
      <c r="G3" s="718"/>
      <c r="H3" s="718"/>
      <c r="I3" s="718"/>
      <c r="J3" s="718"/>
      <c r="K3" s="718"/>
      <c r="L3" s="718"/>
      <c r="M3" s="718"/>
      <c r="N3" s="718"/>
      <c r="O3" s="718"/>
      <c r="P3" s="718"/>
      <c r="Q3" s="718"/>
      <c r="R3" s="718"/>
      <c r="S3" s="718"/>
      <c r="T3" s="718"/>
      <c r="U3" s="718"/>
      <c r="V3" s="718"/>
      <c r="W3" s="718"/>
      <c r="X3" s="718"/>
      <c r="Y3" s="718"/>
      <c r="Z3" s="718"/>
      <c r="AA3" s="719"/>
      <c r="AB3" s="881" t="s">
        <v>5</v>
      </c>
      <c r="AC3" s="882"/>
      <c r="AD3" s="883"/>
    </row>
    <row r="4" spans="1:30" ht="21.95" customHeight="1" thickBot="1">
      <c r="A4" s="704"/>
      <c r="B4" s="720"/>
      <c r="C4" s="721"/>
      <c r="D4" s="721"/>
      <c r="E4" s="721"/>
      <c r="F4" s="721"/>
      <c r="G4" s="721"/>
      <c r="H4" s="721"/>
      <c r="I4" s="721"/>
      <c r="J4" s="721"/>
      <c r="K4" s="721"/>
      <c r="L4" s="721"/>
      <c r="M4" s="721"/>
      <c r="N4" s="721"/>
      <c r="O4" s="721"/>
      <c r="P4" s="721"/>
      <c r="Q4" s="721"/>
      <c r="R4" s="721"/>
      <c r="S4" s="721"/>
      <c r="T4" s="721"/>
      <c r="U4" s="721"/>
      <c r="V4" s="721"/>
      <c r="W4" s="721"/>
      <c r="X4" s="721"/>
      <c r="Y4" s="721"/>
      <c r="Z4" s="721"/>
      <c r="AA4" s="722"/>
      <c r="AB4" s="875" t="s">
        <v>6</v>
      </c>
      <c r="AC4" s="876"/>
      <c r="AD4" s="877"/>
    </row>
    <row r="5" spans="1:30" ht="9" customHeight="1" thickBot="1">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c r="A7" s="726" t="s">
        <v>7</v>
      </c>
      <c r="B7" s="727"/>
      <c r="C7" s="735" t="s">
        <v>33</v>
      </c>
      <c r="D7" s="726" t="s">
        <v>9</v>
      </c>
      <c r="E7" s="738"/>
      <c r="F7" s="738"/>
      <c r="G7" s="738"/>
      <c r="H7" s="727"/>
      <c r="I7" s="741">
        <v>44714</v>
      </c>
      <c r="J7" s="742"/>
      <c r="K7" s="726" t="s">
        <v>10</v>
      </c>
      <c r="L7" s="727"/>
      <c r="M7" s="747" t="s">
        <v>11</v>
      </c>
      <c r="N7" s="748"/>
      <c r="O7" s="752"/>
      <c r="P7" s="753"/>
      <c r="Q7" s="54"/>
      <c r="R7" s="54"/>
      <c r="S7" s="54"/>
      <c r="T7" s="54"/>
      <c r="U7" s="54"/>
      <c r="V7" s="54"/>
      <c r="W7" s="54"/>
      <c r="X7" s="54"/>
      <c r="Y7" s="54"/>
      <c r="Z7" s="55"/>
      <c r="AA7" s="54"/>
      <c r="AB7" s="54"/>
      <c r="AC7" s="60"/>
      <c r="AD7" s="61"/>
    </row>
    <row r="8" spans="1:30" ht="15" customHeight="1">
      <c r="A8" s="728"/>
      <c r="B8" s="729"/>
      <c r="C8" s="736"/>
      <c r="D8" s="728"/>
      <c r="E8" s="739"/>
      <c r="F8" s="739"/>
      <c r="G8" s="739"/>
      <c r="H8" s="729"/>
      <c r="I8" s="743"/>
      <c r="J8" s="744"/>
      <c r="K8" s="728"/>
      <c r="L8" s="729"/>
      <c r="M8" s="754" t="s">
        <v>12</v>
      </c>
      <c r="N8" s="755"/>
      <c r="O8" s="756"/>
      <c r="P8" s="757"/>
      <c r="Q8" s="54"/>
      <c r="R8" s="54"/>
      <c r="S8" s="54"/>
      <c r="T8" s="54"/>
      <c r="U8" s="54"/>
      <c r="V8" s="54"/>
      <c r="W8" s="54"/>
      <c r="X8" s="54"/>
      <c r="Y8" s="54"/>
      <c r="Z8" s="55"/>
      <c r="AA8" s="54"/>
      <c r="AB8" s="54"/>
      <c r="AC8" s="60"/>
      <c r="AD8" s="61"/>
    </row>
    <row r="9" spans="1:30" ht="15.75" customHeight="1" thickBot="1">
      <c r="A9" s="730"/>
      <c r="B9" s="731"/>
      <c r="C9" s="737"/>
      <c r="D9" s="730"/>
      <c r="E9" s="740"/>
      <c r="F9" s="740"/>
      <c r="G9" s="740"/>
      <c r="H9" s="731"/>
      <c r="I9" s="745"/>
      <c r="J9" s="746"/>
      <c r="K9" s="730"/>
      <c r="L9" s="731"/>
      <c r="M9" s="758" t="s">
        <v>13</v>
      </c>
      <c r="N9" s="759"/>
      <c r="O9" s="760" t="s">
        <v>14</v>
      </c>
      <c r="P9" s="761"/>
      <c r="Q9" s="54"/>
      <c r="R9" s="54"/>
      <c r="S9" s="54"/>
      <c r="T9" s="54"/>
      <c r="U9" s="54"/>
      <c r="V9" s="54"/>
      <c r="W9" s="54"/>
      <c r="X9" s="54"/>
      <c r="Y9" s="54"/>
      <c r="Z9" s="55"/>
      <c r="AA9" s="54"/>
      <c r="AB9" s="54"/>
      <c r="AC9" s="60"/>
      <c r="AD9" s="61"/>
    </row>
    <row r="10" spans="1:30" ht="15" customHeight="1" thickBot="1">
      <c r="A10" s="158"/>
      <c r="B10" s="400"/>
      <c r="C10" s="400"/>
      <c r="D10" s="65"/>
      <c r="E10" s="65"/>
      <c r="F10" s="65"/>
      <c r="G10" s="65"/>
      <c r="H10" s="65"/>
      <c r="I10" s="401"/>
      <c r="J10" s="401"/>
      <c r="K10" s="65"/>
      <c r="L10" s="65"/>
      <c r="M10" s="156"/>
      <c r="N10" s="156"/>
      <c r="O10" s="157"/>
      <c r="P10" s="157"/>
      <c r="Q10" s="400"/>
      <c r="R10" s="400"/>
      <c r="S10" s="400"/>
      <c r="T10" s="400"/>
      <c r="U10" s="400"/>
      <c r="V10" s="400"/>
      <c r="W10" s="400"/>
      <c r="X10" s="400"/>
      <c r="Y10" s="400"/>
      <c r="Z10" s="402"/>
      <c r="AA10" s="400"/>
      <c r="AB10" s="400"/>
      <c r="AC10" s="403"/>
      <c r="AD10" s="159"/>
    </row>
    <row r="11" spans="1:30" ht="15" customHeight="1">
      <c r="A11" s="726" t="s">
        <v>15</v>
      </c>
      <c r="B11" s="727"/>
      <c r="C11" s="732" t="s">
        <v>16</v>
      </c>
      <c r="D11" s="733"/>
      <c r="E11" s="733"/>
      <c r="F11" s="733"/>
      <c r="G11" s="733"/>
      <c r="H11" s="733"/>
      <c r="I11" s="733"/>
      <c r="J11" s="733"/>
      <c r="K11" s="733"/>
      <c r="L11" s="733"/>
      <c r="M11" s="733"/>
      <c r="N11" s="733"/>
      <c r="O11" s="733"/>
      <c r="P11" s="733"/>
      <c r="Q11" s="733"/>
      <c r="R11" s="733"/>
      <c r="S11" s="733"/>
      <c r="T11" s="733"/>
      <c r="U11" s="733"/>
      <c r="V11" s="733"/>
      <c r="W11" s="733"/>
      <c r="X11" s="733"/>
      <c r="Y11" s="733"/>
      <c r="Z11" s="733"/>
      <c r="AA11" s="733"/>
      <c r="AB11" s="733"/>
      <c r="AC11" s="733"/>
      <c r="AD11" s="734"/>
    </row>
    <row r="12" spans="1:30" ht="15" customHeight="1">
      <c r="A12" s="728"/>
      <c r="B12" s="729"/>
      <c r="C12" s="717"/>
      <c r="D12" s="718"/>
      <c r="E12" s="718"/>
      <c r="F12" s="718"/>
      <c r="G12" s="718"/>
      <c r="H12" s="718"/>
      <c r="I12" s="718"/>
      <c r="J12" s="718"/>
      <c r="K12" s="718"/>
      <c r="L12" s="718"/>
      <c r="M12" s="718"/>
      <c r="N12" s="718"/>
      <c r="O12" s="718"/>
      <c r="P12" s="718"/>
      <c r="Q12" s="718"/>
      <c r="R12" s="718"/>
      <c r="S12" s="718"/>
      <c r="T12" s="718"/>
      <c r="U12" s="718"/>
      <c r="V12" s="718"/>
      <c r="W12" s="718"/>
      <c r="X12" s="718"/>
      <c r="Y12" s="718"/>
      <c r="Z12" s="718"/>
      <c r="AA12" s="718"/>
      <c r="AB12" s="718"/>
      <c r="AC12" s="718"/>
      <c r="AD12" s="719"/>
    </row>
    <row r="13" spans="1:30" ht="15" customHeight="1" thickBot="1">
      <c r="A13" s="730"/>
      <c r="B13" s="731"/>
      <c r="C13" s="720"/>
      <c r="D13" s="721"/>
      <c r="E13" s="721"/>
      <c r="F13" s="721"/>
      <c r="G13" s="721"/>
      <c r="H13" s="721"/>
      <c r="I13" s="721"/>
      <c r="J13" s="721"/>
      <c r="K13" s="721"/>
      <c r="L13" s="721"/>
      <c r="M13" s="721"/>
      <c r="N13" s="721"/>
      <c r="O13" s="721"/>
      <c r="P13" s="721"/>
      <c r="Q13" s="721"/>
      <c r="R13" s="721"/>
      <c r="S13" s="721"/>
      <c r="T13" s="721"/>
      <c r="U13" s="721"/>
      <c r="V13" s="721"/>
      <c r="W13" s="721"/>
      <c r="X13" s="721"/>
      <c r="Y13" s="721"/>
      <c r="Z13" s="721"/>
      <c r="AA13" s="721"/>
      <c r="AB13" s="721"/>
      <c r="AC13" s="721"/>
      <c r="AD13" s="722"/>
    </row>
    <row r="14" spans="1:30" ht="9" customHeight="1" thickBot="1">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c r="A15" s="762" t="s">
        <v>17</v>
      </c>
      <c r="B15" s="763"/>
      <c r="C15" s="749" t="s">
        <v>18</v>
      </c>
      <c r="D15" s="750"/>
      <c r="E15" s="750"/>
      <c r="F15" s="750"/>
      <c r="G15" s="750"/>
      <c r="H15" s="750"/>
      <c r="I15" s="750"/>
      <c r="J15" s="750"/>
      <c r="K15" s="751"/>
      <c r="L15" s="764" t="s">
        <v>19</v>
      </c>
      <c r="M15" s="765"/>
      <c r="N15" s="765"/>
      <c r="O15" s="765"/>
      <c r="P15" s="765"/>
      <c r="Q15" s="766"/>
      <c r="R15" s="767" t="s">
        <v>20</v>
      </c>
      <c r="S15" s="768"/>
      <c r="T15" s="768"/>
      <c r="U15" s="768"/>
      <c r="V15" s="768"/>
      <c r="W15" s="768"/>
      <c r="X15" s="769"/>
      <c r="Y15" s="764" t="s">
        <v>21</v>
      </c>
      <c r="Z15" s="766"/>
      <c r="AA15" s="749" t="s">
        <v>22</v>
      </c>
      <c r="AB15" s="750"/>
      <c r="AC15" s="750"/>
      <c r="AD15" s="751"/>
    </row>
    <row r="16" spans="1:30" ht="9" customHeight="1" thickBot="1">
      <c r="A16" s="59"/>
      <c r="B16" s="54"/>
      <c r="C16" s="772"/>
      <c r="D16" s="772"/>
      <c r="E16" s="772"/>
      <c r="F16" s="772"/>
      <c r="G16" s="772"/>
      <c r="H16" s="772"/>
      <c r="I16" s="772"/>
      <c r="J16" s="772"/>
      <c r="K16" s="772"/>
      <c r="L16" s="772"/>
      <c r="M16" s="772"/>
      <c r="N16" s="772"/>
      <c r="O16" s="772"/>
      <c r="P16" s="772"/>
      <c r="Q16" s="772"/>
      <c r="R16" s="772"/>
      <c r="S16" s="772"/>
      <c r="T16" s="772"/>
      <c r="U16" s="772"/>
      <c r="V16" s="772"/>
      <c r="W16" s="772"/>
      <c r="X16" s="772"/>
      <c r="Y16" s="772"/>
      <c r="Z16" s="772"/>
      <c r="AA16" s="772"/>
      <c r="AB16" s="772"/>
      <c r="AC16" s="73"/>
      <c r="AD16" s="74"/>
    </row>
    <row r="17" spans="1:41" s="76" customFormat="1" ht="37.5" customHeight="1" thickBot="1">
      <c r="A17" s="762" t="s">
        <v>23</v>
      </c>
      <c r="B17" s="763"/>
      <c r="C17" s="870" t="s">
        <v>144</v>
      </c>
      <c r="D17" s="871"/>
      <c r="E17" s="871"/>
      <c r="F17" s="871"/>
      <c r="G17" s="871"/>
      <c r="H17" s="871"/>
      <c r="I17" s="871"/>
      <c r="J17" s="871"/>
      <c r="K17" s="871"/>
      <c r="L17" s="871"/>
      <c r="M17" s="871"/>
      <c r="N17" s="871"/>
      <c r="O17" s="871"/>
      <c r="P17" s="871"/>
      <c r="Q17" s="872"/>
      <c r="R17" s="764" t="s">
        <v>25</v>
      </c>
      <c r="S17" s="765"/>
      <c r="T17" s="765"/>
      <c r="U17" s="765"/>
      <c r="V17" s="766"/>
      <c r="W17" s="873">
        <v>1</v>
      </c>
      <c r="X17" s="874"/>
      <c r="Y17" s="765" t="s">
        <v>26</v>
      </c>
      <c r="Z17" s="765"/>
      <c r="AA17" s="765"/>
      <c r="AB17" s="766"/>
      <c r="AC17" s="778">
        <v>0.35</v>
      </c>
      <c r="AD17" s="779"/>
      <c r="AH17" s="556"/>
      <c r="AI17" s="556"/>
      <c r="AJ17" s="556"/>
      <c r="AK17" s="556"/>
      <c r="AL17" s="556"/>
    </row>
    <row r="18" spans="1:41" ht="16.5" customHeight="1" thickBot="1">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c r="A19" s="764" t="s">
        <v>27</v>
      </c>
      <c r="B19" s="765"/>
      <c r="C19" s="765"/>
      <c r="D19" s="765"/>
      <c r="E19" s="765"/>
      <c r="F19" s="765"/>
      <c r="G19" s="765"/>
      <c r="H19" s="765"/>
      <c r="I19" s="765"/>
      <c r="J19" s="765"/>
      <c r="K19" s="765"/>
      <c r="L19" s="765"/>
      <c r="M19" s="765"/>
      <c r="N19" s="765"/>
      <c r="O19" s="765"/>
      <c r="P19" s="765"/>
      <c r="Q19" s="765"/>
      <c r="R19" s="765"/>
      <c r="S19" s="765"/>
      <c r="T19" s="765"/>
      <c r="U19" s="765"/>
      <c r="V19" s="765"/>
      <c r="W19" s="765"/>
      <c r="X19" s="765"/>
      <c r="Y19" s="765"/>
      <c r="Z19" s="765"/>
      <c r="AA19" s="765"/>
      <c r="AB19" s="765"/>
      <c r="AC19" s="765"/>
      <c r="AD19" s="766"/>
      <c r="AE19" s="83"/>
      <c r="AF19" s="83"/>
    </row>
    <row r="20" spans="1:41" ht="32.1" customHeight="1" thickBot="1">
      <c r="A20" s="82"/>
      <c r="B20" s="60"/>
      <c r="C20" s="764" t="s">
        <v>28</v>
      </c>
      <c r="D20" s="765"/>
      <c r="E20" s="765"/>
      <c r="F20" s="765"/>
      <c r="G20" s="765"/>
      <c r="H20" s="765"/>
      <c r="I20" s="765"/>
      <c r="J20" s="765"/>
      <c r="K20" s="765"/>
      <c r="L20" s="765"/>
      <c r="M20" s="765"/>
      <c r="N20" s="765"/>
      <c r="O20" s="765"/>
      <c r="P20" s="766"/>
      <c r="Q20" s="919" t="s">
        <v>29</v>
      </c>
      <c r="R20" s="868"/>
      <c r="S20" s="868"/>
      <c r="T20" s="868"/>
      <c r="U20" s="868"/>
      <c r="V20" s="868"/>
      <c r="W20" s="868"/>
      <c r="X20" s="868"/>
      <c r="Y20" s="868"/>
      <c r="Z20" s="868"/>
      <c r="AA20" s="868"/>
      <c r="AB20" s="868"/>
      <c r="AC20" s="868"/>
      <c r="AD20" s="869"/>
      <c r="AE20" s="83"/>
      <c r="AF20" s="83"/>
    </row>
    <row r="21" spans="1:41" ht="32.1" customHeight="1" thickBot="1">
      <c r="A21" s="59"/>
      <c r="B21" s="54"/>
      <c r="C21" s="396" t="s">
        <v>30</v>
      </c>
      <c r="D21" s="397" t="s">
        <v>31</v>
      </c>
      <c r="E21" s="397" t="s">
        <v>32</v>
      </c>
      <c r="F21" s="397" t="s">
        <v>8</v>
      </c>
      <c r="G21" s="397" t="s">
        <v>33</v>
      </c>
      <c r="H21" s="397" t="s">
        <v>34</v>
      </c>
      <c r="I21" s="397" t="s">
        <v>35</v>
      </c>
      <c r="J21" s="397" t="s">
        <v>36</v>
      </c>
      <c r="K21" s="397" t="s">
        <v>37</v>
      </c>
      <c r="L21" s="397" t="s">
        <v>38</v>
      </c>
      <c r="M21" s="397" t="s">
        <v>39</v>
      </c>
      <c r="N21" s="397" t="s">
        <v>40</v>
      </c>
      <c r="O21" s="397" t="s">
        <v>41</v>
      </c>
      <c r="P21" s="398" t="s">
        <v>42</v>
      </c>
      <c r="Q21" s="396" t="s">
        <v>30</v>
      </c>
      <c r="R21" s="397" t="s">
        <v>31</v>
      </c>
      <c r="S21" s="397" t="s">
        <v>32</v>
      </c>
      <c r="T21" s="397" t="s">
        <v>8</v>
      </c>
      <c r="U21" s="397" t="s">
        <v>33</v>
      </c>
      <c r="V21" s="397" t="s">
        <v>34</v>
      </c>
      <c r="W21" s="397" t="s">
        <v>35</v>
      </c>
      <c r="X21" s="397" t="s">
        <v>36</v>
      </c>
      <c r="Y21" s="397" t="s">
        <v>37</v>
      </c>
      <c r="Z21" s="397" t="s">
        <v>38</v>
      </c>
      <c r="AA21" s="397" t="s">
        <v>39</v>
      </c>
      <c r="AB21" s="397" t="s">
        <v>40</v>
      </c>
      <c r="AC21" s="397" t="s">
        <v>41</v>
      </c>
      <c r="AD21" s="398" t="s">
        <v>42</v>
      </c>
      <c r="AE21" s="3"/>
      <c r="AF21" s="3"/>
    </row>
    <row r="22" spans="1:41" ht="32.1" customHeight="1">
      <c r="A22" s="783" t="s">
        <v>43</v>
      </c>
      <c r="B22" s="843"/>
      <c r="C22" s="1189">
        <v>0</v>
      </c>
      <c r="D22" s="1190">
        <v>0</v>
      </c>
      <c r="E22" s="1190">
        <v>0</v>
      </c>
      <c r="F22" s="1190">
        <v>0</v>
      </c>
      <c r="G22" s="1190">
        <v>0</v>
      </c>
      <c r="H22" s="1190">
        <v>0</v>
      </c>
      <c r="I22" s="1190">
        <v>0</v>
      </c>
      <c r="J22" s="1190">
        <v>0</v>
      </c>
      <c r="K22" s="1190">
        <v>0</v>
      </c>
      <c r="L22" s="1190">
        <v>0</v>
      </c>
      <c r="M22" s="1190">
        <v>0</v>
      </c>
      <c r="N22" s="1190">
        <v>0</v>
      </c>
      <c r="O22" s="1190">
        <f>SUM(C22:N22)</f>
        <v>0</v>
      </c>
      <c r="P22" s="1191"/>
      <c r="Q22" s="1192">
        <v>1230000000</v>
      </c>
      <c r="R22" s="1190">
        <v>0</v>
      </c>
      <c r="S22" s="1190">
        <v>0</v>
      </c>
      <c r="T22" s="1190">
        <v>0</v>
      </c>
      <c r="U22" s="1190">
        <v>0</v>
      </c>
      <c r="V22" s="1190">
        <v>0</v>
      </c>
      <c r="W22" s="1190">
        <v>0</v>
      </c>
      <c r="X22" s="1190">
        <v>0</v>
      </c>
      <c r="Y22" s="1190">
        <v>0</v>
      </c>
      <c r="Z22" s="1190">
        <v>0</v>
      </c>
      <c r="AA22" s="1190">
        <v>0</v>
      </c>
      <c r="AB22" s="1190">
        <v>0</v>
      </c>
      <c r="AC22" s="1193">
        <f>SUM(Q22:AB22)</f>
        <v>1230000000</v>
      </c>
      <c r="AD22" s="1194"/>
      <c r="AE22" s="3"/>
      <c r="AF22" s="3"/>
    </row>
    <row r="23" spans="1:41" ht="32.1" customHeight="1">
      <c r="A23" s="770" t="s">
        <v>44</v>
      </c>
      <c r="B23" s="797"/>
      <c r="C23" s="164">
        <v>0</v>
      </c>
      <c r="D23" s="163">
        <v>0</v>
      </c>
      <c r="E23" s="163">
        <v>0</v>
      </c>
      <c r="F23" s="163">
        <v>0</v>
      </c>
      <c r="G23" s="163">
        <v>0</v>
      </c>
      <c r="H23" s="163">
        <v>0</v>
      </c>
      <c r="I23" s="163">
        <v>0</v>
      </c>
      <c r="J23" s="163">
        <v>0</v>
      </c>
      <c r="K23" s="163">
        <v>0</v>
      </c>
      <c r="L23" s="163">
        <v>0</v>
      </c>
      <c r="M23" s="163">
        <v>0</v>
      </c>
      <c r="N23" s="163">
        <v>0</v>
      </c>
      <c r="O23" s="160">
        <f>SUM(C23:N23)</f>
        <v>0</v>
      </c>
      <c r="P23" s="165" t="str">
        <f>IFERROR(O23/(SUMIF(C23:N23,"&gt;0",C22:N22))," ")</f>
        <v xml:space="preserve"> </v>
      </c>
      <c r="Q23" s="214">
        <v>1230000000</v>
      </c>
      <c r="R23" s="163">
        <v>0</v>
      </c>
      <c r="S23" s="163">
        <v>0</v>
      </c>
      <c r="T23" s="163">
        <v>0</v>
      </c>
      <c r="U23" s="163">
        <v>0</v>
      </c>
      <c r="V23" s="163">
        <v>0</v>
      </c>
      <c r="W23" s="163">
        <v>0</v>
      </c>
      <c r="X23" s="163">
        <v>0</v>
      </c>
      <c r="Y23" s="163">
        <v>0</v>
      </c>
      <c r="Z23" s="163">
        <v>0</v>
      </c>
      <c r="AA23" s="163">
        <v>0</v>
      </c>
      <c r="AB23" s="163">
        <v>0</v>
      </c>
      <c r="AC23" s="363">
        <f>SUM(Q23:AB23)</f>
        <v>1230000000</v>
      </c>
      <c r="AD23" s="165">
        <f>AC23/AC22</f>
        <v>1</v>
      </c>
      <c r="AE23" s="3"/>
      <c r="AF23" s="3"/>
    </row>
    <row r="24" spans="1:41" ht="32.1" customHeight="1">
      <c r="A24" s="770" t="s">
        <v>46</v>
      </c>
      <c r="B24" s="797"/>
      <c r="C24" s="164">
        <v>0</v>
      </c>
      <c r="D24" s="163">
        <v>0</v>
      </c>
      <c r="E24" s="163">
        <v>0</v>
      </c>
      <c r="F24" s="163">
        <v>0</v>
      </c>
      <c r="G24" s="163">
        <v>0</v>
      </c>
      <c r="H24" s="163">
        <v>0</v>
      </c>
      <c r="I24" s="163">
        <v>0</v>
      </c>
      <c r="J24" s="163">
        <v>0</v>
      </c>
      <c r="K24" s="163">
        <v>0</v>
      </c>
      <c r="L24" s="163">
        <v>0</v>
      </c>
      <c r="M24" s="163">
        <v>0</v>
      </c>
      <c r="N24" s="163">
        <v>0</v>
      </c>
      <c r="O24" s="160">
        <f>SUM(C24:N24)</f>
        <v>0</v>
      </c>
      <c r="P24" s="377"/>
      <c r="Q24" s="161">
        <v>0</v>
      </c>
      <c r="R24" s="363">
        <v>4666666.666666667</v>
      </c>
      <c r="S24" s="363">
        <v>14000000</v>
      </c>
      <c r="T24" s="363">
        <v>14000000</v>
      </c>
      <c r="U24" s="363">
        <v>14000000</v>
      </c>
      <c r="V24" s="363">
        <v>14000000</v>
      </c>
      <c r="W24" s="363">
        <v>167714285.7142857</v>
      </c>
      <c r="X24" s="363">
        <v>167714285.7142857</v>
      </c>
      <c r="Y24" s="363">
        <v>167714285.7142857</v>
      </c>
      <c r="Z24" s="363">
        <v>167714285.7142857</v>
      </c>
      <c r="AA24" s="363">
        <v>167714285.7142857</v>
      </c>
      <c r="AB24" s="363">
        <f>167714285.714286+163047619.047619</f>
        <v>330761904.76190495</v>
      </c>
      <c r="AC24" s="363">
        <f>SUM(Q24:AB24)</f>
        <v>1230000000.0000002</v>
      </c>
      <c r="AD24" s="165"/>
      <c r="AE24" s="3"/>
      <c r="AF24" s="3"/>
    </row>
    <row r="25" spans="1:41" ht="32.1" customHeight="1" thickBot="1">
      <c r="A25" s="785" t="s">
        <v>47</v>
      </c>
      <c r="B25" s="945"/>
      <c r="C25" s="373">
        <v>0</v>
      </c>
      <c r="D25" s="374">
        <v>0</v>
      </c>
      <c r="E25" s="374">
        <v>0</v>
      </c>
      <c r="F25" s="374">
        <v>0</v>
      </c>
      <c r="G25" s="374">
        <v>0</v>
      </c>
      <c r="H25" s="374">
        <v>0</v>
      </c>
      <c r="I25" s="374">
        <v>0</v>
      </c>
      <c r="J25" s="374">
        <v>0</v>
      </c>
      <c r="K25" s="374">
        <v>0</v>
      </c>
      <c r="L25" s="374">
        <v>0</v>
      </c>
      <c r="M25" s="374">
        <v>0</v>
      </c>
      <c r="N25" s="374">
        <v>0</v>
      </c>
      <c r="O25" s="162">
        <f>SUM(C25:N25)</f>
        <v>0</v>
      </c>
      <c r="P25" s="166"/>
      <c r="Q25" s="449">
        <v>0</v>
      </c>
      <c r="R25" s="442">
        <v>0</v>
      </c>
      <c r="S25" s="442">
        <v>14000000</v>
      </c>
      <c r="T25" s="442">
        <v>659600000</v>
      </c>
      <c r="U25" s="442">
        <v>7000000</v>
      </c>
      <c r="V25" s="374">
        <v>0</v>
      </c>
      <c r="W25" s="374">
        <v>0</v>
      </c>
      <c r="X25" s="374">
        <v>0</v>
      </c>
      <c r="Y25" s="374">
        <v>0</v>
      </c>
      <c r="Z25" s="374">
        <v>0</v>
      </c>
      <c r="AA25" s="374">
        <v>0</v>
      </c>
      <c r="AB25" s="374">
        <v>0</v>
      </c>
      <c r="AC25" s="485">
        <f>SUM(Q25:AB25)</f>
        <v>680600000</v>
      </c>
      <c r="AD25" s="166">
        <f>AC25/AC24</f>
        <v>0.55333333333333323</v>
      </c>
      <c r="AE25" s="3"/>
      <c r="AF25" s="3"/>
    </row>
    <row r="26" spans="1:41" ht="32.1" customHeight="1" thickBot="1">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59"/>
      <c r="AF26" s="372"/>
    </row>
    <row r="27" spans="1:41" ht="33.950000000000003" customHeight="1">
      <c r="A27" s="787" t="s">
        <v>48</v>
      </c>
      <c r="B27" s="788"/>
      <c r="C27" s="789"/>
      <c r="D27" s="789"/>
      <c r="E27" s="789"/>
      <c r="F27" s="789"/>
      <c r="G27" s="789"/>
      <c r="H27" s="789"/>
      <c r="I27" s="789"/>
      <c r="J27" s="789"/>
      <c r="K27" s="789"/>
      <c r="L27" s="789"/>
      <c r="M27" s="789"/>
      <c r="N27" s="789"/>
      <c r="O27" s="789"/>
      <c r="P27" s="789"/>
      <c r="Q27" s="789"/>
      <c r="R27" s="789"/>
      <c r="S27" s="789"/>
      <c r="T27" s="789"/>
      <c r="U27" s="789"/>
      <c r="V27" s="789"/>
      <c r="W27" s="789"/>
      <c r="X27" s="789"/>
      <c r="Y27" s="789"/>
      <c r="Z27" s="789"/>
      <c r="AA27" s="789"/>
      <c r="AB27" s="789"/>
      <c r="AC27" s="789"/>
      <c r="AD27" s="790"/>
    </row>
    <row r="28" spans="1:41" ht="15" customHeight="1">
      <c r="A28" s="791" t="s">
        <v>49</v>
      </c>
      <c r="B28" s="793" t="s">
        <v>50</v>
      </c>
      <c r="C28" s="794"/>
      <c r="D28" s="797" t="s">
        <v>51</v>
      </c>
      <c r="E28" s="798"/>
      <c r="F28" s="798"/>
      <c r="G28" s="798"/>
      <c r="H28" s="798"/>
      <c r="I28" s="798"/>
      <c r="J28" s="798"/>
      <c r="K28" s="798"/>
      <c r="L28" s="798"/>
      <c r="M28" s="798"/>
      <c r="N28" s="798"/>
      <c r="O28" s="799"/>
      <c r="P28" s="800" t="s">
        <v>41</v>
      </c>
      <c r="Q28" s="800" t="s">
        <v>52</v>
      </c>
      <c r="R28" s="800"/>
      <c r="S28" s="800"/>
      <c r="T28" s="800"/>
      <c r="U28" s="800"/>
      <c r="V28" s="800"/>
      <c r="W28" s="800"/>
      <c r="X28" s="800"/>
      <c r="Y28" s="800"/>
      <c r="Z28" s="800"/>
      <c r="AA28" s="800"/>
      <c r="AB28" s="800"/>
      <c r="AC28" s="800"/>
      <c r="AD28" s="771"/>
    </row>
    <row r="29" spans="1:41" ht="27" customHeight="1">
      <c r="A29" s="792"/>
      <c r="B29" s="795"/>
      <c r="C29" s="796"/>
      <c r="D29" s="88" t="s">
        <v>30</v>
      </c>
      <c r="E29" s="88" t="s">
        <v>31</v>
      </c>
      <c r="F29" s="88" t="s">
        <v>32</v>
      </c>
      <c r="G29" s="88" t="s">
        <v>8</v>
      </c>
      <c r="H29" s="88" t="s">
        <v>33</v>
      </c>
      <c r="I29" s="88" t="s">
        <v>34</v>
      </c>
      <c r="J29" s="88" t="s">
        <v>35</v>
      </c>
      <c r="K29" s="88" t="s">
        <v>36</v>
      </c>
      <c r="L29" s="88" t="s">
        <v>37</v>
      </c>
      <c r="M29" s="88" t="s">
        <v>38</v>
      </c>
      <c r="N29" s="88" t="s">
        <v>39</v>
      </c>
      <c r="O29" s="88" t="s">
        <v>40</v>
      </c>
      <c r="P29" s="799"/>
      <c r="Q29" s="800"/>
      <c r="R29" s="800"/>
      <c r="S29" s="800"/>
      <c r="T29" s="800"/>
      <c r="U29" s="800"/>
      <c r="V29" s="800"/>
      <c r="W29" s="800"/>
      <c r="X29" s="800"/>
      <c r="Y29" s="800"/>
      <c r="Z29" s="800"/>
      <c r="AA29" s="800"/>
      <c r="AB29" s="800"/>
      <c r="AC29" s="800"/>
      <c r="AD29" s="771"/>
    </row>
    <row r="30" spans="1:41" ht="96" customHeight="1" thickBot="1">
      <c r="A30" s="395" t="str">
        <f>C17</f>
        <v xml:space="preserve">Diseñar e Implementar 1 programa piloto para promover la autonomía económica de las mujeres cuidadoras en el marco de la estrategia de emprendimiento y empleabilidad de la SDMujer </v>
      </c>
      <c r="B30" s="862"/>
      <c r="C30" s="863"/>
      <c r="D30" s="89"/>
      <c r="E30" s="89"/>
      <c r="F30" s="89"/>
      <c r="G30" s="89"/>
      <c r="H30" s="89"/>
      <c r="I30" s="89"/>
      <c r="J30" s="89"/>
      <c r="K30" s="89"/>
      <c r="L30" s="89"/>
      <c r="M30" s="89"/>
      <c r="N30" s="89"/>
      <c r="O30" s="89"/>
      <c r="P30" s="86">
        <f>SUM(D30:O30)</f>
        <v>0</v>
      </c>
      <c r="Q30" s="864" t="s">
        <v>145</v>
      </c>
      <c r="R30" s="864"/>
      <c r="S30" s="864"/>
      <c r="T30" s="864"/>
      <c r="U30" s="864"/>
      <c r="V30" s="864"/>
      <c r="W30" s="864"/>
      <c r="X30" s="864"/>
      <c r="Y30" s="864"/>
      <c r="Z30" s="864"/>
      <c r="AA30" s="864"/>
      <c r="AB30" s="864"/>
      <c r="AC30" s="864"/>
      <c r="AD30" s="865"/>
    </row>
    <row r="31" spans="1:41" ht="45" customHeight="1">
      <c r="A31" s="805" t="s">
        <v>53</v>
      </c>
      <c r="B31" s="806"/>
      <c r="C31" s="806"/>
      <c r="D31" s="806"/>
      <c r="E31" s="806"/>
      <c r="F31" s="806"/>
      <c r="G31" s="806"/>
      <c r="H31" s="806"/>
      <c r="I31" s="806"/>
      <c r="J31" s="806"/>
      <c r="K31" s="806"/>
      <c r="L31" s="806"/>
      <c r="M31" s="806"/>
      <c r="N31" s="806"/>
      <c r="O31" s="806"/>
      <c r="P31" s="806"/>
      <c r="Q31" s="806"/>
      <c r="R31" s="806"/>
      <c r="S31" s="806"/>
      <c r="T31" s="806"/>
      <c r="U31" s="806"/>
      <c r="V31" s="806"/>
      <c r="W31" s="806"/>
      <c r="X31" s="806"/>
      <c r="Y31" s="806"/>
      <c r="Z31" s="806"/>
      <c r="AA31" s="806"/>
      <c r="AB31" s="806"/>
      <c r="AC31" s="806"/>
      <c r="AD31" s="807"/>
      <c r="AI31" s="555" t="s">
        <v>146</v>
      </c>
    </row>
    <row r="32" spans="1:41" ht="23.1" customHeight="1">
      <c r="A32" s="770" t="s">
        <v>54</v>
      </c>
      <c r="B32" s="800" t="s">
        <v>55</v>
      </c>
      <c r="C32" s="800" t="s">
        <v>50</v>
      </c>
      <c r="D32" s="800" t="s">
        <v>56</v>
      </c>
      <c r="E32" s="800"/>
      <c r="F32" s="800"/>
      <c r="G32" s="800"/>
      <c r="H32" s="800"/>
      <c r="I32" s="800"/>
      <c r="J32" s="800"/>
      <c r="K32" s="800"/>
      <c r="L32" s="800"/>
      <c r="M32" s="800"/>
      <c r="N32" s="800"/>
      <c r="O32" s="800"/>
      <c r="P32" s="800"/>
      <c r="Q32" s="800" t="s">
        <v>57</v>
      </c>
      <c r="R32" s="800"/>
      <c r="S32" s="800"/>
      <c r="T32" s="800"/>
      <c r="U32" s="800"/>
      <c r="V32" s="800"/>
      <c r="W32" s="800"/>
      <c r="X32" s="800"/>
      <c r="Y32" s="800"/>
      <c r="Z32" s="800"/>
      <c r="AA32" s="800"/>
      <c r="AB32" s="800"/>
      <c r="AC32" s="800"/>
      <c r="AD32" s="771"/>
      <c r="AF32" s="555"/>
      <c r="AI32" s="561"/>
      <c r="AJ32" s="561"/>
      <c r="AK32" s="561"/>
      <c r="AL32" s="561"/>
      <c r="AM32" s="87"/>
      <c r="AN32" s="87"/>
      <c r="AO32" s="87"/>
    </row>
    <row r="33" spans="1:41" ht="23.1" customHeight="1">
      <c r="A33" s="770"/>
      <c r="B33" s="800"/>
      <c r="C33" s="808"/>
      <c r="D33" s="88" t="s">
        <v>30</v>
      </c>
      <c r="E33" s="88" t="s">
        <v>31</v>
      </c>
      <c r="F33" s="88" t="s">
        <v>32</v>
      </c>
      <c r="G33" s="88" t="s">
        <v>8</v>
      </c>
      <c r="H33" s="88" t="s">
        <v>33</v>
      </c>
      <c r="I33" s="88" t="s">
        <v>34</v>
      </c>
      <c r="J33" s="88" t="s">
        <v>35</v>
      </c>
      <c r="K33" s="88" t="s">
        <v>36</v>
      </c>
      <c r="L33" s="88" t="s">
        <v>37</v>
      </c>
      <c r="M33" s="88" t="s">
        <v>38</v>
      </c>
      <c r="N33" s="88" t="s">
        <v>39</v>
      </c>
      <c r="O33" s="88" t="s">
        <v>40</v>
      </c>
      <c r="P33" s="88" t="s">
        <v>41</v>
      </c>
      <c r="Q33" s="795" t="s">
        <v>58</v>
      </c>
      <c r="R33" s="809"/>
      <c r="S33" s="809"/>
      <c r="T33" s="809"/>
      <c r="U33" s="809"/>
      <c r="V33" s="796"/>
      <c r="W33" s="795" t="s">
        <v>59</v>
      </c>
      <c r="X33" s="809"/>
      <c r="Y33" s="809"/>
      <c r="Z33" s="796"/>
      <c r="AA33" s="795" t="s">
        <v>60</v>
      </c>
      <c r="AB33" s="809"/>
      <c r="AC33" s="809"/>
      <c r="AD33" s="813"/>
      <c r="AF33" s="50" t="s">
        <v>104</v>
      </c>
      <c r="AG33" s="50" t="s">
        <v>105</v>
      </c>
      <c r="AH33" s="473" t="s">
        <v>61</v>
      </c>
      <c r="AI33" s="473" t="s">
        <v>62</v>
      </c>
      <c r="AJ33" s="473" t="s">
        <v>63</v>
      </c>
      <c r="AK33" s="473" t="s">
        <v>64</v>
      </c>
      <c r="AL33" s="561"/>
      <c r="AM33" s="87"/>
      <c r="AN33" s="87"/>
      <c r="AO33" s="87"/>
    </row>
    <row r="34" spans="1:41" ht="141.75" customHeight="1">
      <c r="A34" s="847" t="s">
        <v>147</v>
      </c>
      <c r="B34" s="816">
        <f>B38+B40+B42+B44</f>
        <v>0.35000000000000003</v>
      </c>
      <c r="C34" s="90" t="s">
        <v>65</v>
      </c>
      <c r="D34" s="175">
        <f>D65</f>
        <v>0</v>
      </c>
      <c r="E34" s="175">
        <f t="shared" ref="E34:O34" si="0">E65</f>
        <v>0.20476190476190476</v>
      </c>
      <c r="F34" s="175">
        <f t="shared" si="0"/>
        <v>0.24557823129251702</v>
      </c>
      <c r="G34" s="175">
        <f t="shared" si="0"/>
        <v>0.24557823129251702</v>
      </c>
      <c r="H34" s="175">
        <f t="shared" si="0"/>
        <v>5.5102040816326539E-2</v>
      </c>
      <c r="I34" s="175">
        <f t="shared" si="0"/>
        <v>5.5102040816326539E-2</v>
      </c>
      <c r="J34" s="175">
        <f t="shared" si="0"/>
        <v>5.5102040816326539E-2</v>
      </c>
      <c r="K34" s="175">
        <f t="shared" si="0"/>
        <v>5.5102040816326539E-2</v>
      </c>
      <c r="L34" s="175">
        <f t="shared" si="0"/>
        <v>5.5102040816326539E-2</v>
      </c>
      <c r="M34" s="175">
        <f t="shared" si="0"/>
        <v>1.428571428571429E-2</v>
      </c>
      <c r="N34" s="175">
        <f t="shared" si="0"/>
        <v>1.428571428571429E-2</v>
      </c>
      <c r="O34" s="175">
        <f t="shared" si="0"/>
        <v>0</v>
      </c>
      <c r="P34" s="188">
        <f>SUM(D34:O34)</f>
        <v>1</v>
      </c>
      <c r="Q34" s="942" t="s">
        <v>148</v>
      </c>
      <c r="R34" s="900"/>
      <c r="S34" s="900"/>
      <c r="T34" s="900"/>
      <c r="U34" s="900"/>
      <c r="V34" s="901"/>
      <c r="W34" s="905" t="s">
        <v>1160</v>
      </c>
      <c r="X34" s="906"/>
      <c r="Y34" s="906"/>
      <c r="Z34" s="906"/>
      <c r="AA34" s="905" t="s">
        <v>149</v>
      </c>
      <c r="AB34" s="906"/>
      <c r="AC34" s="906"/>
      <c r="AD34" s="943"/>
      <c r="AF34" s="922" t="s">
        <v>150</v>
      </c>
      <c r="AH34" s="555" t="s">
        <v>145</v>
      </c>
      <c r="AI34" s="555" t="s">
        <v>111</v>
      </c>
      <c r="AJ34" s="555" t="s">
        <v>151</v>
      </c>
      <c r="AK34" s="555" t="s">
        <v>152</v>
      </c>
      <c r="AL34" s="561"/>
      <c r="AM34" s="87"/>
      <c r="AN34" s="87"/>
      <c r="AO34" s="87"/>
    </row>
    <row r="35" spans="1:41" ht="141.75" customHeight="1">
      <c r="A35" s="848"/>
      <c r="B35" s="849"/>
      <c r="C35" s="428" t="s">
        <v>69</v>
      </c>
      <c r="D35" s="429">
        <f>D62</f>
        <v>0</v>
      </c>
      <c r="E35" s="429">
        <f t="shared" ref="E35:O35" si="1">E62</f>
        <v>0.20285714285714285</v>
      </c>
      <c r="F35" s="429">
        <f t="shared" si="1"/>
        <v>0.20380857142857142</v>
      </c>
      <c r="G35" s="429">
        <f t="shared" si="1"/>
        <v>0.15237142857142857</v>
      </c>
      <c r="H35" s="429">
        <f t="shared" si="1"/>
        <v>6.8571428571428575E-2</v>
      </c>
      <c r="I35" s="429">
        <f t="shared" si="1"/>
        <v>0</v>
      </c>
      <c r="J35" s="429">
        <f t="shared" si="1"/>
        <v>0</v>
      </c>
      <c r="K35" s="429">
        <f t="shared" si="1"/>
        <v>0</v>
      </c>
      <c r="L35" s="429">
        <f t="shared" si="1"/>
        <v>0</v>
      </c>
      <c r="M35" s="429">
        <f t="shared" si="1"/>
        <v>0</v>
      </c>
      <c r="N35" s="429">
        <f t="shared" si="1"/>
        <v>0</v>
      </c>
      <c r="O35" s="429">
        <f t="shared" si="1"/>
        <v>0</v>
      </c>
      <c r="P35" s="385">
        <f>SUM(D35:O35)</f>
        <v>0.62760857142857152</v>
      </c>
      <c r="Q35" s="902"/>
      <c r="R35" s="903"/>
      <c r="S35" s="903"/>
      <c r="T35" s="903"/>
      <c r="U35" s="903"/>
      <c r="V35" s="904"/>
      <c r="W35" s="908"/>
      <c r="X35" s="909"/>
      <c r="Y35" s="909"/>
      <c r="Z35" s="909"/>
      <c r="AA35" s="908"/>
      <c r="AB35" s="909"/>
      <c r="AC35" s="909"/>
      <c r="AD35" s="944"/>
      <c r="AE35" s="49"/>
      <c r="AF35" s="922"/>
      <c r="AH35" s="577"/>
      <c r="AI35" s="575">
        <f>LEN(AI34)</f>
        <v>288</v>
      </c>
      <c r="AJ35" s="575">
        <f>LEN(AJ34)</f>
        <v>296</v>
      </c>
      <c r="AK35" s="575">
        <f>LEN(AK34)</f>
        <v>251</v>
      </c>
      <c r="AL35" s="561"/>
      <c r="AM35" s="87"/>
      <c r="AN35" s="87"/>
      <c r="AO35" s="87"/>
    </row>
    <row r="36" spans="1:41" ht="26.1" customHeight="1">
      <c r="A36" s="783" t="s">
        <v>70</v>
      </c>
      <c r="B36" s="840" t="s">
        <v>71</v>
      </c>
      <c r="C36" s="842" t="s">
        <v>72</v>
      </c>
      <c r="D36" s="842"/>
      <c r="E36" s="842"/>
      <c r="F36" s="842"/>
      <c r="G36" s="842"/>
      <c r="H36" s="842"/>
      <c r="I36" s="842"/>
      <c r="J36" s="842"/>
      <c r="K36" s="842"/>
      <c r="L36" s="842"/>
      <c r="M36" s="842"/>
      <c r="N36" s="842"/>
      <c r="O36" s="842"/>
      <c r="P36" s="842"/>
      <c r="Q36" s="843" t="s">
        <v>73</v>
      </c>
      <c r="R36" s="844"/>
      <c r="S36" s="844"/>
      <c r="T36" s="844"/>
      <c r="U36" s="844"/>
      <c r="V36" s="844"/>
      <c r="W36" s="844"/>
      <c r="X36" s="844"/>
      <c r="Y36" s="844"/>
      <c r="Z36" s="844"/>
      <c r="AA36" s="844"/>
      <c r="AB36" s="844"/>
      <c r="AC36" s="844"/>
      <c r="AD36" s="845"/>
      <c r="AF36" s="578"/>
      <c r="AG36" s="87"/>
      <c r="AH36" s="561"/>
      <c r="AI36" s="561"/>
      <c r="AJ36" s="561"/>
      <c r="AK36" s="561"/>
      <c r="AL36" s="561"/>
      <c r="AM36" s="87"/>
      <c r="AN36" s="87"/>
      <c r="AO36" s="87"/>
    </row>
    <row r="37" spans="1:41" ht="26.1" customHeight="1">
      <c r="A37" s="770"/>
      <c r="B37" s="841"/>
      <c r="C37" s="88" t="s">
        <v>74</v>
      </c>
      <c r="D37" s="88" t="s">
        <v>75</v>
      </c>
      <c r="E37" s="88" t="s">
        <v>76</v>
      </c>
      <c r="F37" s="88" t="s">
        <v>77</v>
      </c>
      <c r="G37" s="88" t="s">
        <v>78</v>
      </c>
      <c r="H37" s="88" t="s">
        <v>79</v>
      </c>
      <c r="I37" s="88" t="s">
        <v>80</v>
      </c>
      <c r="J37" s="88" t="s">
        <v>81</v>
      </c>
      <c r="K37" s="88" t="s">
        <v>82</v>
      </c>
      <c r="L37" s="88" t="s">
        <v>83</v>
      </c>
      <c r="M37" s="88" t="s">
        <v>84</v>
      </c>
      <c r="N37" s="88" t="s">
        <v>85</v>
      </c>
      <c r="O37" s="88" t="s">
        <v>86</v>
      </c>
      <c r="P37" s="88" t="s">
        <v>87</v>
      </c>
      <c r="Q37" s="797" t="s">
        <v>88</v>
      </c>
      <c r="R37" s="798"/>
      <c r="S37" s="798"/>
      <c r="T37" s="798"/>
      <c r="U37" s="798"/>
      <c r="V37" s="798"/>
      <c r="W37" s="798"/>
      <c r="X37" s="798"/>
      <c r="Y37" s="798"/>
      <c r="Z37" s="798"/>
      <c r="AA37" s="798"/>
      <c r="AB37" s="798"/>
      <c r="AC37" s="798"/>
      <c r="AD37" s="846"/>
      <c r="AF37" s="156" t="s">
        <v>113</v>
      </c>
      <c r="AG37" s="94" t="s">
        <v>105</v>
      </c>
      <c r="AH37" s="562"/>
      <c r="AI37" s="562"/>
      <c r="AJ37" s="562"/>
      <c r="AK37" s="562"/>
      <c r="AL37" s="562"/>
      <c r="AM37" s="94"/>
      <c r="AN37" s="94"/>
      <c r="AO37" s="94"/>
    </row>
    <row r="38" spans="1:41" ht="61.5" customHeight="1">
      <c r="A38" s="830" t="s">
        <v>153</v>
      </c>
      <c r="B38" s="832">
        <v>0.1</v>
      </c>
      <c r="C38" s="90" t="s">
        <v>65</v>
      </c>
      <c r="D38" s="95">
        <v>0</v>
      </c>
      <c r="E38" s="95">
        <v>0.33333333333333331</v>
      </c>
      <c r="F38" s="95">
        <f>1/3</f>
        <v>0.33333333333333331</v>
      </c>
      <c r="G38" s="95">
        <f>1/3</f>
        <v>0.33333333333333331</v>
      </c>
      <c r="H38" s="95">
        <v>0</v>
      </c>
      <c r="I38" s="95">
        <v>0</v>
      </c>
      <c r="J38" s="95">
        <v>0</v>
      </c>
      <c r="K38" s="95">
        <v>0</v>
      </c>
      <c r="L38" s="95">
        <v>0</v>
      </c>
      <c r="M38" s="95">
        <v>0</v>
      </c>
      <c r="N38" s="95">
        <v>0</v>
      </c>
      <c r="O38" s="95">
        <v>0</v>
      </c>
      <c r="P38" s="96">
        <f t="shared" ref="P38:P45" si="2">SUM(D38:O38)</f>
        <v>1</v>
      </c>
      <c r="Q38" s="933" t="s">
        <v>154</v>
      </c>
      <c r="R38" s="934"/>
      <c r="S38" s="934"/>
      <c r="T38" s="934"/>
      <c r="U38" s="934"/>
      <c r="V38" s="934"/>
      <c r="W38" s="934"/>
      <c r="X38" s="934"/>
      <c r="Y38" s="934"/>
      <c r="Z38" s="934"/>
      <c r="AA38" s="934"/>
      <c r="AB38" s="934"/>
      <c r="AC38" s="934"/>
      <c r="AD38" s="935"/>
      <c r="AE38" s="97"/>
      <c r="AF38" s="922" t="s">
        <v>155</v>
      </c>
      <c r="AG38" s="674" t="s">
        <v>156</v>
      </c>
      <c r="AH38" s="576"/>
      <c r="AI38" s="576"/>
      <c r="AJ38" s="576"/>
      <c r="AK38" s="576"/>
      <c r="AL38" s="576"/>
      <c r="AM38" s="98"/>
      <c r="AN38" s="98"/>
      <c r="AO38" s="98"/>
    </row>
    <row r="39" spans="1:41" ht="61.5" customHeight="1">
      <c r="A39" s="887"/>
      <c r="B39" s="932"/>
      <c r="C39" s="99" t="s">
        <v>69</v>
      </c>
      <c r="D39" s="100">
        <v>0</v>
      </c>
      <c r="E39" s="100">
        <v>0.33</v>
      </c>
      <c r="F39" s="100">
        <v>0.33333000000000002</v>
      </c>
      <c r="G39" s="100">
        <v>0.33329999999999999</v>
      </c>
      <c r="H39" s="100">
        <v>0</v>
      </c>
      <c r="I39" s="100"/>
      <c r="J39" s="100"/>
      <c r="K39" s="100"/>
      <c r="L39" s="100"/>
      <c r="M39" s="100"/>
      <c r="N39" s="100"/>
      <c r="O39" s="100"/>
      <c r="P39" s="101">
        <f t="shared" si="2"/>
        <v>0.9966299999999999</v>
      </c>
      <c r="Q39" s="936"/>
      <c r="R39" s="937"/>
      <c r="S39" s="937"/>
      <c r="T39" s="937"/>
      <c r="U39" s="937"/>
      <c r="V39" s="937"/>
      <c r="W39" s="937"/>
      <c r="X39" s="937"/>
      <c r="Y39" s="937"/>
      <c r="Z39" s="937"/>
      <c r="AA39" s="937"/>
      <c r="AB39" s="937"/>
      <c r="AC39" s="937"/>
      <c r="AD39" s="938"/>
      <c r="AE39" s="97"/>
      <c r="AF39" s="922"/>
      <c r="AH39" s="473"/>
      <c r="AI39" s="473"/>
      <c r="AJ39" s="473"/>
      <c r="AK39" s="473"/>
    </row>
    <row r="40" spans="1:41" ht="75.75" customHeight="1">
      <c r="A40" s="830" t="s">
        <v>157</v>
      </c>
      <c r="B40" s="832">
        <v>0.1</v>
      </c>
      <c r="C40" s="90" t="s">
        <v>65</v>
      </c>
      <c r="D40" s="95">
        <v>0</v>
      </c>
      <c r="E40" s="95">
        <v>0.33333333333333331</v>
      </c>
      <c r="F40" s="95">
        <f>1/3</f>
        <v>0.33333333333333331</v>
      </c>
      <c r="G40" s="95">
        <f>1/3</f>
        <v>0.33333333333333331</v>
      </c>
      <c r="H40" s="95">
        <v>0</v>
      </c>
      <c r="I40" s="95">
        <v>0</v>
      </c>
      <c r="J40" s="95">
        <v>0</v>
      </c>
      <c r="K40" s="95">
        <v>0</v>
      </c>
      <c r="L40" s="95">
        <v>0</v>
      </c>
      <c r="M40" s="95">
        <v>0</v>
      </c>
      <c r="N40" s="95">
        <v>0</v>
      </c>
      <c r="O40" s="95">
        <v>0</v>
      </c>
      <c r="P40" s="96">
        <f t="shared" si="2"/>
        <v>1</v>
      </c>
      <c r="Q40" s="946" t="s">
        <v>1183</v>
      </c>
      <c r="R40" s="947"/>
      <c r="S40" s="947"/>
      <c r="T40" s="947"/>
      <c r="U40" s="947"/>
      <c r="V40" s="947"/>
      <c r="W40" s="947"/>
      <c r="X40" s="947"/>
      <c r="Y40" s="947"/>
      <c r="Z40" s="947"/>
      <c r="AA40" s="947"/>
      <c r="AB40" s="947"/>
      <c r="AC40" s="947"/>
      <c r="AD40" s="948"/>
      <c r="AE40" s="97"/>
      <c r="AF40" s="922" t="s">
        <v>158</v>
      </c>
      <c r="AG40" s="674" t="s">
        <v>159</v>
      </c>
      <c r="AH40" s="72" t="s">
        <v>145</v>
      </c>
      <c r="AL40" s="576"/>
      <c r="AM40" s="98"/>
      <c r="AN40" s="98"/>
      <c r="AO40" s="98"/>
    </row>
    <row r="41" spans="1:41" ht="75.75" customHeight="1">
      <c r="A41" s="887"/>
      <c r="B41" s="932"/>
      <c r="C41" s="99" t="s">
        <v>69</v>
      </c>
      <c r="D41" s="100">
        <v>0</v>
      </c>
      <c r="E41" s="100">
        <v>0.33</v>
      </c>
      <c r="F41" s="100">
        <v>0.33</v>
      </c>
      <c r="G41" s="100">
        <v>0.15</v>
      </c>
      <c r="H41" s="100">
        <v>0.19</v>
      </c>
      <c r="I41" s="100"/>
      <c r="J41" s="100"/>
      <c r="K41" s="100"/>
      <c r="L41" s="100"/>
      <c r="M41" s="100"/>
      <c r="N41" s="100"/>
      <c r="O41" s="100"/>
      <c r="P41" s="101">
        <f t="shared" si="2"/>
        <v>1</v>
      </c>
      <c r="Q41" s="949"/>
      <c r="R41" s="950"/>
      <c r="S41" s="950"/>
      <c r="T41" s="950"/>
      <c r="U41" s="950"/>
      <c r="V41" s="950"/>
      <c r="W41" s="950"/>
      <c r="X41" s="950"/>
      <c r="Y41" s="950"/>
      <c r="Z41" s="950"/>
      <c r="AA41" s="950"/>
      <c r="AB41" s="950"/>
      <c r="AC41" s="950"/>
      <c r="AD41" s="951"/>
      <c r="AE41" s="97"/>
      <c r="AF41" s="922"/>
      <c r="AH41" s="577"/>
      <c r="AI41" s="575"/>
      <c r="AJ41" s="575"/>
      <c r="AK41" s="575"/>
    </row>
    <row r="42" spans="1:41" ht="59.25" customHeight="1">
      <c r="A42" s="830" t="s">
        <v>160</v>
      </c>
      <c r="B42" s="931">
        <v>0.1</v>
      </c>
      <c r="C42" s="102" t="s">
        <v>65</v>
      </c>
      <c r="D42" s="103">
        <v>0</v>
      </c>
      <c r="E42" s="103">
        <v>0</v>
      </c>
      <c r="F42" s="103">
        <f t="shared" ref="F42:L42" si="3">1/7</f>
        <v>0.14285714285714285</v>
      </c>
      <c r="G42" s="103">
        <f t="shared" si="3"/>
        <v>0.14285714285714285</v>
      </c>
      <c r="H42" s="103">
        <f t="shared" si="3"/>
        <v>0.14285714285714285</v>
      </c>
      <c r="I42" s="103">
        <f t="shared" si="3"/>
        <v>0.14285714285714285</v>
      </c>
      <c r="J42" s="103">
        <f t="shared" si="3"/>
        <v>0.14285714285714285</v>
      </c>
      <c r="K42" s="103">
        <f t="shared" si="3"/>
        <v>0.14285714285714285</v>
      </c>
      <c r="L42" s="103">
        <f t="shared" si="3"/>
        <v>0.14285714285714285</v>
      </c>
      <c r="M42" s="103">
        <v>0</v>
      </c>
      <c r="N42" s="103">
        <v>0</v>
      </c>
      <c r="O42" s="103">
        <v>0</v>
      </c>
      <c r="P42" s="101">
        <f t="shared" si="2"/>
        <v>0.99999999999999978</v>
      </c>
      <c r="Q42" s="933" t="s">
        <v>1184</v>
      </c>
      <c r="R42" s="934"/>
      <c r="S42" s="934"/>
      <c r="T42" s="934"/>
      <c r="U42" s="934"/>
      <c r="V42" s="934"/>
      <c r="W42" s="934"/>
      <c r="X42" s="934"/>
      <c r="Y42" s="934"/>
      <c r="Z42" s="934"/>
      <c r="AA42" s="934"/>
      <c r="AB42" s="934"/>
      <c r="AC42" s="934"/>
      <c r="AD42" s="935"/>
      <c r="AE42" s="97"/>
      <c r="AF42" s="922" t="s">
        <v>161</v>
      </c>
      <c r="AG42" s="674" t="s">
        <v>162</v>
      </c>
    </row>
    <row r="43" spans="1:41" ht="59.25" customHeight="1">
      <c r="A43" s="887"/>
      <c r="B43" s="932"/>
      <c r="C43" s="99" t="s">
        <v>69</v>
      </c>
      <c r="D43" s="100">
        <v>0</v>
      </c>
      <c r="E43" s="100">
        <v>0</v>
      </c>
      <c r="F43" s="100">
        <v>0</v>
      </c>
      <c r="G43" s="100">
        <v>0</v>
      </c>
      <c r="H43" s="100">
        <v>0</v>
      </c>
      <c r="I43" s="100"/>
      <c r="J43" s="100"/>
      <c r="K43" s="100"/>
      <c r="L43" s="104"/>
      <c r="M43" s="104"/>
      <c r="N43" s="104"/>
      <c r="O43" s="104"/>
      <c r="P43" s="101">
        <f t="shared" si="2"/>
        <v>0</v>
      </c>
      <c r="Q43" s="936"/>
      <c r="R43" s="937"/>
      <c r="S43" s="937"/>
      <c r="T43" s="937"/>
      <c r="U43" s="937"/>
      <c r="V43" s="937"/>
      <c r="W43" s="937"/>
      <c r="X43" s="937"/>
      <c r="Y43" s="937"/>
      <c r="Z43" s="937"/>
      <c r="AA43" s="937"/>
      <c r="AB43" s="937"/>
      <c r="AC43" s="937"/>
      <c r="AD43" s="938"/>
      <c r="AE43" s="97"/>
      <c r="AF43" s="922"/>
    </row>
    <row r="44" spans="1:41" ht="51.75" customHeight="1">
      <c r="A44" s="830" t="s">
        <v>163</v>
      </c>
      <c r="B44" s="931">
        <v>0.05</v>
      </c>
      <c r="C44" s="102" t="s">
        <v>65</v>
      </c>
      <c r="D44" s="103">
        <v>0</v>
      </c>
      <c r="E44" s="103">
        <v>0.1</v>
      </c>
      <c r="F44" s="103">
        <f t="shared" ref="F44:N44" si="4">1/10</f>
        <v>0.1</v>
      </c>
      <c r="G44" s="103">
        <f t="shared" si="4"/>
        <v>0.1</v>
      </c>
      <c r="H44" s="103">
        <f t="shared" si="4"/>
        <v>0.1</v>
      </c>
      <c r="I44" s="103">
        <f t="shared" si="4"/>
        <v>0.1</v>
      </c>
      <c r="J44" s="103">
        <f t="shared" si="4"/>
        <v>0.1</v>
      </c>
      <c r="K44" s="103">
        <f t="shared" si="4"/>
        <v>0.1</v>
      </c>
      <c r="L44" s="103">
        <f t="shared" si="4"/>
        <v>0.1</v>
      </c>
      <c r="M44" s="103">
        <f t="shared" si="4"/>
        <v>0.1</v>
      </c>
      <c r="N44" s="103">
        <f t="shared" si="4"/>
        <v>0.1</v>
      </c>
      <c r="O44" s="103">
        <v>0</v>
      </c>
      <c r="P44" s="101">
        <f t="shared" si="2"/>
        <v>0.99999999999999989</v>
      </c>
      <c r="Q44" s="933" t="s">
        <v>164</v>
      </c>
      <c r="R44" s="934"/>
      <c r="S44" s="934"/>
      <c r="T44" s="934"/>
      <c r="U44" s="934"/>
      <c r="V44" s="934"/>
      <c r="W44" s="934"/>
      <c r="X44" s="934"/>
      <c r="Y44" s="934"/>
      <c r="Z44" s="934"/>
      <c r="AA44" s="934"/>
      <c r="AB44" s="934"/>
      <c r="AC44" s="934"/>
      <c r="AD44" s="935"/>
      <c r="AE44" s="97"/>
      <c r="AF44" s="922" t="s">
        <v>165</v>
      </c>
      <c r="AG44" s="674" t="s">
        <v>166</v>
      </c>
    </row>
    <row r="45" spans="1:41" ht="51.75" customHeight="1" thickBot="1">
      <c r="A45" s="831"/>
      <c r="B45" s="833"/>
      <c r="C45" s="91" t="s">
        <v>69</v>
      </c>
      <c r="D45" s="105">
        <v>0</v>
      </c>
      <c r="E45" s="105">
        <v>0.1</v>
      </c>
      <c r="F45" s="105">
        <v>0.1</v>
      </c>
      <c r="G45" s="105">
        <v>0.1</v>
      </c>
      <c r="H45" s="105">
        <v>0.1</v>
      </c>
      <c r="I45" s="105"/>
      <c r="J45" s="105"/>
      <c r="K45" s="105"/>
      <c r="L45" s="106"/>
      <c r="M45" s="106"/>
      <c r="N45" s="106"/>
      <c r="O45" s="106"/>
      <c r="P45" s="107">
        <f t="shared" si="2"/>
        <v>0.4</v>
      </c>
      <c r="Q45" s="939"/>
      <c r="R45" s="940"/>
      <c r="S45" s="940"/>
      <c r="T45" s="940"/>
      <c r="U45" s="940"/>
      <c r="V45" s="940"/>
      <c r="W45" s="940"/>
      <c r="X45" s="940"/>
      <c r="Y45" s="940"/>
      <c r="Z45" s="940"/>
      <c r="AA45" s="940"/>
      <c r="AB45" s="940"/>
      <c r="AC45" s="940"/>
      <c r="AD45" s="941"/>
      <c r="AE45" s="97"/>
      <c r="AF45" s="922"/>
    </row>
    <row r="46" spans="1:41">
      <c r="A46" s="50" t="s">
        <v>95</v>
      </c>
    </row>
    <row r="51" spans="1:51" s="199" customFormat="1" ht="21.75" customHeight="1">
      <c r="A51" s="923" t="s">
        <v>138</v>
      </c>
      <c r="B51" s="923" t="s">
        <v>71</v>
      </c>
      <c r="C51" s="896" t="s">
        <v>72</v>
      </c>
      <c r="D51" s="897"/>
      <c r="E51" s="897"/>
      <c r="F51" s="897"/>
      <c r="G51" s="897"/>
      <c r="H51" s="897"/>
      <c r="I51" s="897"/>
      <c r="J51" s="897"/>
      <c r="K51" s="897"/>
      <c r="L51" s="897"/>
      <c r="M51" s="897"/>
      <c r="N51" s="897"/>
      <c r="O51" s="897"/>
      <c r="P51" s="898"/>
      <c r="Q51" s="197"/>
      <c r="R51" s="197"/>
      <c r="S51" s="197"/>
      <c r="T51" s="197"/>
      <c r="U51" s="197"/>
      <c r="V51" s="197"/>
      <c r="W51" s="197"/>
      <c r="X51" s="197"/>
      <c r="Y51" s="197"/>
      <c r="Z51" s="197"/>
      <c r="AA51" s="197"/>
      <c r="AB51" s="197"/>
      <c r="AC51" s="197"/>
      <c r="AD51" s="197"/>
      <c r="AE51" s="197"/>
      <c r="AF51" s="197"/>
      <c r="AG51" s="197"/>
      <c r="AH51" s="569"/>
      <c r="AI51" s="569"/>
      <c r="AJ51" s="569"/>
      <c r="AK51" s="569"/>
      <c r="AL51" s="569"/>
      <c r="AM51" s="197"/>
      <c r="AN51" s="197"/>
      <c r="AO51" s="197"/>
      <c r="AP51" s="197"/>
      <c r="AQ51" s="198"/>
      <c r="AR51" s="198"/>
      <c r="AS51" s="198"/>
      <c r="AT51" s="198"/>
      <c r="AU51" s="198"/>
      <c r="AV51" s="198"/>
      <c r="AW51" s="198"/>
      <c r="AX51" s="198"/>
      <c r="AY51" s="198"/>
    </row>
    <row r="52" spans="1:51" s="199" customFormat="1" ht="21.75" customHeight="1">
      <c r="A52" s="885"/>
      <c r="B52" s="885"/>
      <c r="C52" s="200" t="s">
        <v>74</v>
      </c>
      <c r="D52" s="200" t="s">
        <v>75</v>
      </c>
      <c r="E52" s="200" t="s">
        <v>76</v>
      </c>
      <c r="F52" s="200" t="s">
        <v>77</v>
      </c>
      <c r="G52" s="200" t="s">
        <v>78</v>
      </c>
      <c r="H52" s="200" t="s">
        <v>79</v>
      </c>
      <c r="I52" s="200" t="s">
        <v>80</v>
      </c>
      <c r="J52" s="200" t="s">
        <v>81</v>
      </c>
      <c r="K52" s="200" t="s">
        <v>82</v>
      </c>
      <c r="L52" s="200" t="s">
        <v>83</v>
      </c>
      <c r="M52" s="200" t="s">
        <v>84</v>
      </c>
      <c r="N52" s="200" t="s">
        <v>85</v>
      </c>
      <c r="O52" s="200" t="s">
        <v>86</v>
      </c>
      <c r="P52" s="200" t="s">
        <v>87</v>
      </c>
      <c r="Q52" s="197"/>
      <c r="R52" s="197"/>
      <c r="S52" s="197"/>
      <c r="T52" s="197"/>
      <c r="U52" s="197"/>
      <c r="V52" s="197"/>
      <c r="W52" s="197"/>
      <c r="X52" s="197"/>
      <c r="Y52" s="197"/>
      <c r="Z52" s="197"/>
      <c r="AA52" s="197"/>
      <c r="AB52" s="197"/>
      <c r="AC52" s="197"/>
      <c r="AD52" s="197"/>
      <c r="AE52" s="197"/>
      <c r="AF52" s="197"/>
      <c r="AG52" s="197"/>
      <c r="AH52" s="569"/>
      <c r="AI52" s="569"/>
      <c r="AJ52" s="569"/>
      <c r="AK52" s="569"/>
      <c r="AL52" s="569"/>
      <c r="AM52" s="197"/>
      <c r="AN52" s="197"/>
      <c r="AO52" s="197"/>
      <c r="AP52" s="197"/>
      <c r="AQ52" s="198"/>
      <c r="AR52" s="198"/>
      <c r="AS52" s="198"/>
      <c r="AT52" s="198"/>
      <c r="AU52" s="198"/>
      <c r="AV52" s="198"/>
      <c r="AW52" s="198"/>
      <c r="AX52" s="198"/>
      <c r="AY52" s="198"/>
    </row>
    <row r="53" spans="1:51" s="199" customFormat="1" ht="12.75" customHeight="1">
      <c r="A53" s="884" t="str">
        <f>A38</f>
        <v xml:space="preserve">13. Estructurar los insumos técnicos del programa para el componente de seguimiento y monitoreo </v>
      </c>
      <c r="B53" s="884">
        <f>B38</f>
        <v>0.1</v>
      </c>
      <c r="C53" s="201" t="s">
        <v>65</v>
      </c>
      <c r="D53" s="360">
        <f>D38*$B$38/$P$38</f>
        <v>0</v>
      </c>
      <c r="E53" s="360">
        <f t="shared" ref="E53:O53" si="5">E38*$B$38/$P$38</f>
        <v>3.3333333333333333E-2</v>
      </c>
      <c r="F53" s="360">
        <f t="shared" si="5"/>
        <v>3.3333333333333333E-2</v>
      </c>
      <c r="G53" s="360">
        <f t="shared" si="5"/>
        <v>3.3333333333333333E-2</v>
      </c>
      <c r="H53" s="360">
        <f t="shared" si="5"/>
        <v>0</v>
      </c>
      <c r="I53" s="360">
        <f t="shared" si="5"/>
        <v>0</v>
      </c>
      <c r="J53" s="360">
        <f t="shared" si="5"/>
        <v>0</v>
      </c>
      <c r="K53" s="360">
        <f t="shared" si="5"/>
        <v>0</v>
      </c>
      <c r="L53" s="360">
        <f t="shared" si="5"/>
        <v>0</v>
      </c>
      <c r="M53" s="360">
        <f t="shared" si="5"/>
        <v>0</v>
      </c>
      <c r="N53" s="360">
        <f t="shared" si="5"/>
        <v>0</v>
      </c>
      <c r="O53" s="360">
        <f t="shared" si="5"/>
        <v>0</v>
      </c>
      <c r="P53" s="356">
        <f t="shared" ref="P53:P56" si="6">SUM(D53:O53)</f>
        <v>0.1</v>
      </c>
      <c r="Q53" s="202"/>
      <c r="R53" s="202"/>
      <c r="S53" s="202"/>
      <c r="T53" s="202"/>
      <c r="U53" s="202"/>
      <c r="V53" s="202"/>
      <c r="W53" s="202"/>
      <c r="X53" s="202"/>
      <c r="Y53" s="202"/>
      <c r="Z53" s="202"/>
      <c r="AA53" s="202"/>
      <c r="AB53" s="202"/>
      <c r="AC53" s="202"/>
      <c r="AD53" s="202"/>
      <c r="AE53" s="202"/>
      <c r="AF53" s="202"/>
      <c r="AG53" s="202"/>
      <c r="AH53" s="568"/>
      <c r="AI53" s="568"/>
      <c r="AJ53" s="568"/>
      <c r="AK53" s="568"/>
      <c r="AL53" s="568"/>
      <c r="AM53" s="202"/>
      <c r="AN53" s="202"/>
      <c r="AO53" s="202"/>
      <c r="AP53" s="202"/>
      <c r="AQ53" s="198"/>
      <c r="AR53" s="198"/>
      <c r="AS53" s="198"/>
      <c r="AT53" s="198"/>
      <c r="AU53" s="198"/>
      <c r="AV53" s="198"/>
      <c r="AW53" s="198"/>
      <c r="AX53" s="198"/>
      <c r="AY53" s="198"/>
    </row>
    <row r="54" spans="1:51" s="199" customFormat="1" ht="12.75" customHeight="1">
      <c r="A54" s="885"/>
      <c r="B54" s="885"/>
      <c r="C54" s="203" t="s">
        <v>69</v>
      </c>
      <c r="D54" s="361">
        <f>D39*$B$38/$P$38</f>
        <v>0</v>
      </c>
      <c r="E54" s="361">
        <f t="shared" ref="E54:O54" si="7">E39*$B$38/$P$38</f>
        <v>3.3000000000000002E-2</v>
      </c>
      <c r="F54" s="361">
        <f t="shared" si="7"/>
        <v>3.3333000000000002E-2</v>
      </c>
      <c r="G54" s="361">
        <f t="shared" si="7"/>
        <v>3.3329999999999999E-2</v>
      </c>
      <c r="H54" s="361">
        <f t="shared" si="7"/>
        <v>0</v>
      </c>
      <c r="I54" s="361">
        <f t="shared" si="7"/>
        <v>0</v>
      </c>
      <c r="J54" s="361">
        <f t="shared" si="7"/>
        <v>0</v>
      </c>
      <c r="K54" s="361">
        <f t="shared" si="7"/>
        <v>0</v>
      </c>
      <c r="L54" s="361">
        <f t="shared" si="7"/>
        <v>0</v>
      </c>
      <c r="M54" s="361">
        <f t="shared" si="7"/>
        <v>0</v>
      </c>
      <c r="N54" s="361">
        <f t="shared" si="7"/>
        <v>0</v>
      </c>
      <c r="O54" s="361">
        <f t="shared" si="7"/>
        <v>0</v>
      </c>
      <c r="P54" s="205">
        <f t="shared" si="6"/>
        <v>9.9663000000000002E-2</v>
      </c>
      <c r="Q54" s="202"/>
      <c r="R54" s="202"/>
      <c r="S54" s="202"/>
      <c r="T54" s="202"/>
      <c r="U54" s="202"/>
      <c r="V54" s="202"/>
      <c r="W54" s="202"/>
      <c r="X54" s="202"/>
      <c r="Y54" s="202"/>
      <c r="Z54" s="202"/>
      <c r="AA54" s="202"/>
      <c r="AB54" s="202"/>
      <c r="AC54" s="202"/>
      <c r="AD54" s="202"/>
      <c r="AE54" s="202"/>
      <c r="AF54" s="202"/>
      <c r="AG54" s="202"/>
      <c r="AH54" s="568"/>
      <c r="AI54" s="568"/>
      <c r="AJ54" s="568"/>
      <c r="AK54" s="568"/>
      <c r="AL54" s="568"/>
      <c r="AM54" s="202"/>
      <c r="AN54" s="202"/>
      <c r="AO54" s="202"/>
      <c r="AP54" s="202"/>
      <c r="AQ54" s="198"/>
      <c r="AR54" s="198"/>
      <c r="AS54" s="198"/>
      <c r="AT54" s="198"/>
      <c r="AU54" s="198"/>
      <c r="AV54" s="198"/>
      <c r="AW54" s="198"/>
      <c r="AX54" s="198"/>
      <c r="AY54" s="198"/>
    </row>
    <row r="55" spans="1:51" s="199" customFormat="1" ht="12.75" customHeight="1">
      <c r="A55" s="884" t="str">
        <f>+A40</f>
        <v>14. Diseñar e implementar el proceso de convocatoria con el fin de alcanzar la meta poblacional propuesta en el piloto y levantar una línea base de organizaciones productiva de mujeres cuidadoras asociadas</v>
      </c>
      <c r="B55" s="884">
        <f>B40</f>
        <v>0.1</v>
      </c>
      <c r="C55" s="201" t="s">
        <v>65</v>
      </c>
      <c r="D55" s="360">
        <f>D40*$B$40/$P$40</f>
        <v>0</v>
      </c>
      <c r="E55" s="360">
        <f t="shared" ref="E55:O55" si="8">E40*$B$40/$P$40</f>
        <v>3.3333333333333333E-2</v>
      </c>
      <c r="F55" s="360">
        <f t="shared" si="8"/>
        <v>3.3333333333333333E-2</v>
      </c>
      <c r="G55" s="360">
        <f t="shared" si="8"/>
        <v>3.3333333333333333E-2</v>
      </c>
      <c r="H55" s="360">
        <f t="shared" si="8"/>
        <v>0</v>
      </c>
      <c r="I55" s="360">
        <f t="shared" si="8"/>
        <v>0</v>
      </c>
      <c r="J55" s="360">
        <f t="shared" si="8"/>
        <v>0</v>
      </c>
      <c r="K55" s="360">
        <f t="shared" si="8"/>
        <v>0</v>
      </c>
      <c r="L55" s="360">
        <f t="shared" si="8"/>
        <v>0</v>
      </c>
      <c r="M55" s="360">
        <f t="shared" si="8"/>
        <v>0</v>
      </c>
      <c r="N55" s="360">
        <f t="shared" si="8"/>
        <v>0</v>
      </c>
      <c r="O55" s="360">
        <f t="shared" si="8"/>
        <v>0</v>
      </c>
      <c r="P55" s="356">
        <f t="shared" si="6"/>
        <v>0.1</v>
      </c>
      <c r="Q55" s="202"/>
      <c r="R55" s="202"/>
      <c r="S55" s="202"/>
      <c r="T55" s="202"/>
      <c r="U55" s="202"/>
      <c r="V55" s="202"/>
      <c r="W55" s="202"/>
      <c r="X55" s="202"/>
      <c r="Y55" s="202"/>
      <c r="Z55" s="202"/>
      <c r="AA55" s="202"/>
      <c r="AB55" s="202"/>
      <c r="AC55" s="202"/>
      <c r="AD55" s="202"/>
      <c r="AE55" s="202"/>
      <c r="AF55" s="202"/>
      <c r="AG55" s="202"/>
      <c r="AH55" s="568"/>
      <c r="AI55" s="568"/>
      <c r="AJ55" s="568"/>
      <c r="AK55" s="568"/>
      <c r="AL55" s="568"/>
      <c r="AM55" s="202"/>
      <c r="AN55" s="202"/>
      <c r="AO55" s="202"/>
      <c r="AP55" s="202"/>
      <c r="AQ55" s="198"/>
      <c r="AR55" s="198"/>
      <c r="AS55" s="198"/>
      <c r="AT55" s="198"/>
      <c r="AU55" s="198"/>
      <c r="AV55" s="198"/>
      <c r="AW55" s="198"/>
      <c r="AX55" s="198"/>
      <c r="AY55" s="198"/>
    </row>
    <row r="56" spans="1:51" s="199" customFormat="1" ht="12.75" customHeight="1">
      <c r="A56" s="885"/>
      <c r="B56" s="885"/>
      <c r="C56" s="203" t="s">
        <v>69</v>
      </c>
      <c r="D56" s="361">
        <f t="shared" ref="D56:O56" si="9">D41*$B$40/$P$40</f>
        <v>0</v>
      </c>
      <c r="E56" s="361">
        <f t="shared" si="9"/>
        <v>3.3000000000000002E-2</v>
      </c>
      <c r="F56" s="361">
        <f t="shared" si="9"/>
        <v>3.3000000000000002E-2</v>
      </c>
      <c r="G56" s="361">
        <f t="shared" si="9"/>
        <v>1.4999999999999999E-2</v>
      </c>
      <c r="H56" s="361">
        <f t="shared" si="9"/>
        <v>1.9000000000000003E-2</v>
      </c>
      <c r="I56" s="361">
        <f t="shared" si="9"/>
        <v>0</v>
      </c>
      <c r="J56" s="361">
        <f t="shared" si="9"/>
        <v>0</v>
      </c>
      <c r="K56" s="361">
        <f t="shared" si="9"/>
        <v>0</v>
      </c>
      <c r="L56" s="361">
        <f t="shared" si="9"/>
        <v>0</v>
      </c>
      <c r="M56" s="361">
        <f t="shared" si="9"/>
        <v>0</v>
      </c>
      <c r="N56" s="361">
        <f t="shared" si="9"/>
        <v>0</v>
      </c>
      <c r="O56" s="361">
        <f t="shared" si="9"/>
        <v>0</v>
      </c>
      <c r="P56" s="205">
        <f t="shared" si="6"/>
        <v>0.1</v>
      </c>
      <c r="Q56" s="202"/>
      <c r="R56" s="202"/>
      <c r="S56" s="202"/>
      <c r="T56" s="202"/>
      <c r="U56" s="202"/>
      <c r="V56" s="202"/>
      <c r="W56" s="202"/>
      <c r="X56" s="202"/>
      <c r="Y56" s="202"/>
      <c r="Z56" s="202"/>
      <c r="AA56" s="202"/>
      <c r="AB56" s="202"/>
      <c r="AC56" s="202"/>
      <c r="AD56" s="202"/>
      <c r="AE56" s="202"/>
      <c r="AF56" s="202"/>
      <c r="AG56" s="202"/>
      <c r="AH56" s="568"/>
      <c r="AI56" s="568"/>
      <c r="AJ56" s="568"/>
      <c r="AK56" s="568"/>
      <c r="AL56" s="568"/>
      <c r="AM56" s="202"/>
      <c r="AN56" s="202"/>
      <c r="AO56" s="202"/>
      <c r="AP56" s="202"/>
      <c r="AQ56" s="198"/>
      <c r="AR56" s="198"/>
      <c r="AS56" s="198"/>
      <c r="AT56" s="198"/>
      <c r="AU56" s="198"/>
      <c r="AV56" s="198"/>
      <c r="AW56" s="198"/>
      <c r="AX56" s="198"/>
      <c r="AY56" s="198"/>
    </row>
    <row r="57" spans="1:51" s="199" customFormat="1" ht="12.75" customHeight="1">
      <c r="A57" s="884" t="str">
        <f>A42</f>
        <v>15. Realizar seguimiento al cumplimiento de las horas de formación y mentoría personalizada y las acciones definidas en los planes de fortalecimiento organizativo de las organizaciones productivas de mujeres cuidadoras asociadas beneficiarias del piloto.</v>
      </c>
      <c r="B57" s="884">
        <f>B42</f>
        <v>0.1</v>
      </c>
      <c r="C57" s="201" t="s">
        <v>65</v>
      </c>
      <c r="D57" s="360">
        <f>D42*$B$42/$P$42</f>
        <v>0</v>
      </c>
      <c r="E57" s="360">
        <f t="shared" ref="E57:O57" si="10">E42*$B$42/$P$42</f>
        <v>0</v>
      </c>
      <c r="F57" s="360">
        <f t="shared" si="10"/>
        <v>1.4285714285714289E-2</v>
      </c>
      <c r="G57" s="360">
        <f t="shared" si="10"/>
        <v>1.4285714285714289E-2</v>
      </c>
      <c r="H57" s="360">
        <f t="shared" si="10"/>
        <v>1.4285714285714289E-2</v>
      </c>
      <c r="I57" s="360">
        <f t="shared" si="10"/>
        <v>1.4285714285714289E-2</v>
      </c>
      <c r="J57" s="360">
        <f t="shared" si="10"/>
        <v>1.4285714285714289E-2</v>
      </c>
      <c r="K57" s="360">
        <f t="shared" si="10"/>
        <v>1.4285714285714289E-2</v>
      </c>
      <c r="L57" s="360">
        <f t="shared" si="10"/>
        <v>1.4285714285714289E-2</v>
      </c>
      <c r="M57" s="360">
        <f t="shared" si="10"/>
        <v>0</v>
      </c>
      <c r="N57" s="360">
        <f t="shared" si="10"/>
        <v>0</v>
      </c>
      <c r="O57" s="360">
        <f t="shared" si="10"/>
        <v>0</v>
      </c>
      <c r="P57" s="356">
        <f t="shared" ref="P57:P60" si="11">SUM(D57:O57)</f>
        <v>0.10000000000000002</v>
      </c>
      <c r="Q57" s="202"/>
      <c r="R57" s="202"/>
      <c r="S57" s="202"/>
      <c r="T57" s="202"/>
      <c r="U57" s="202"/>
      <c r="V57" s="202"/>
      <c r="W57" s="202"/>
      <c r="X57" s="202"/>
      <c r="Y57" s="202"/>
      <c r="Z57" s="202"/>
      <c r="AA57" s="202"/>
      <c r="AB57" s="202"/>
      <c r="AC57" s="202"/>
      <c r="AD57" s="202"/>
      <c r="AE57" s="202"/>
      <c r="AF57" s="202"/>
      <c r="AG57" s="202"/>
      <c r="AH57" s="568"/>
      <c r="AI57" s="568"/>
      <c r="AJ57" s="568"/>
      <c r="AK57" s="568"/>
      <c r="AL57" s="568"/>
      <c r="AM57" s="202"/>
      <c r="AN57" s="202"/>
      <c r="AO57" s="202"/>
      <c r="AP57" s="202"/>
      <c r="AQ57" s="198"/>
      <c r="AR57" s="198"/>
      <c r="AS57" s="198"/>
      <c r="AT57" s="198"/>
      <c r="AU57" s="198"/>
      <c r="AV57" s="198"/>
      <c r="AW57" s="198"/>
      <c r="AX57" s="198"/>
      <c r="AY57" s="198"/>
    </row>
    <row r="58" spans="1:51" s="199" customFormat="1" ht="12.75" customHeight="1">
      <c r="A58" s="885"/>
      <c r="B58" s="885"/>
      <c r="C58" s="203" t="s">
        <v>69</v>
      </c>
      <c r="D58" s="361">
        <f>D43*$B$42/$P$42</f>
        <v>0</v>
      </c>
      <c r="E58" s="361">
        <f t="shared" ref="E58:O58" si="12">E43*$B$42/$P$42</f>
        <v>0</v>
      </c>
      <c r="F58" s="361">
        <f t="shared" si="12"/>
        <v>0</v>
      </c>
      <c r="G58" s="361">
        <f t="shared" si="12"/>
        <v>0</v>
      </c>
      <c r="H58" s="361">
        <f t="shared" si="12"/>
        <v>0</v>
      </c>
      <c r="I58" s="361">
        <f t="shared" si="12"/>
        <v>0</v>
      </c>
      <c r="J58" s="361">
        <f t="shared" si="12"/>
        <v>0</v>
      </c>
      <c r="K58" s="361">
        <f t="shared" si="12"/>
        <v>0</v>
      </c>
      <c r="L58" s="361">
        <f t="shared" si="12"/>
        <v>0</v>
      </c>
      <c r="M58" s="361">
        <f t="shared" si="12"/>
        <v>0</v>
      </c>
      <c r="N58" s="361">
        <f t="shared" si="12"/>
        <v>0</v>
      </c>
      <c r="O58" s="361">
        <f t="shared" si="12"/>
        <v>0</v>
      </c>
      <c r="P58" s="205">
        <f t="shared" si="11"/>
        <v>0</v>
      </c>
      <c r="Q58" s="202"/>
      <c r="R58" s="202"/>
      <c r="S58" s="202"/>
      <c r="T58" s="202"/>
      <c r="U58" s="202"/>
      <c r="V58" s="202"/>
      <c r="W58" s="202"/>
      <c r="X58" s="202"/>
      <c r="Y58" s="202"/>
      <c r="Z58" s="202"/>
      <c r="AA58" s="202"/>
      <c r="AB58" s="202"/>
      <c r="AC58" s="202"/>
      <c r="AD58" s="202"/>
      <c r="AE58" s="202"/>
      <c r="AF58" s="202"/>
      <c r="AG58" s="202"/>
      <c r="AH58" s="568"/>
      <c r="AI58" s="568"/>
      <c r="AJ58" s="568"/>
      <c r="AK58" s="568"/>
      <c r="AL58" s="568"/>
      <c r="AM58" s="202"/>
      <c r="AN58" s="202"/>
      <c r="AO58" s="202"/>
      <c r="AP58" s="202"/>
      <c r="AQ58" s="198"/>
      <c r="AR58" s="198"/>
      <c r="AS58" s="198"/>
      <c r="AT58" s="198"/>
      <c r="AU58" s="198"/>
      <c r="AV58" s="198"/>
      <c r="AW58" s="198"/>
      <c r="AX58" s="198"/>
      <c r="AY58" s="198"/>
    </row>
    <row r="59" spans="1:51" s="199" customFormat="1" ht="12.75" customHeight="1">
      <c r="A59" s="884" t="str">
        <f>A44</f>
        <v>16. Supervisar el cumplimiento de los objetivos propuestos en el piloto.</v>
      </c>
      <c r="B59" s="884">
        <f>B44</f>
        <v>0.05</v>
      </c>
      <c r="C59" s="201" t="s">
        <v>65</v>
      </c>
      <c r="D59" s="360">
        <f>D44*$B$44/$P$44</f>
        <v>0</v>
      </c>
      <c r="E59" s="360">
        <f t="shared" ref="E59:O59" si="13">E44*$B$44/$P$44</f>
        <v>5.0000000000000018E-3</v>
      </c>
      <c r="F59" s="360">
        <f t="shared" si="13"/>
        <v>5.0000000000000018E-3</v>
      </c>
      <c r="G59" s="360">
        <f t="shared" si="13"/>
        <v>5.0000000000000018E-3</v>
      </c>
      <c r="H59" s="360">
        <f t="shared" si="13"/>
        <v>5.0000000000000018E-3</v>
      </c>
      <c r="I59" s="360">
        <f t="shared" si="13"/>
        <v>5.0000000000000018E-3</v>
      </c>
      <c r="J59" s="360">
        <f t="shared" si="13"/>
        <v>5.0000000000000018E-3</v>
      </c>
      <c r="K59" s="360">
        <f t="shared" si="13"/>
        <v>5.0000000000000018E-3</v>
      </c>
      <c r="L59" s="360">
        <f t="shared" si="13"/>
        <v>5.0000000000000018E-3</v>
      </c>
      <c r="M59" s="360">
        <f t="shared" si="13"/>
        <v>5.0000000000000018E-3</v>
      </c>
      <c r="N59" s="360">
        <f t="shared" si="13"/>
        <v>5.0000000000000018E-3</v>
      </c>
      <c r="O59" s="360">
        <f t="shared" si="13"/>
        <v>0</v>
      </c>
      <c r="P59" s="356">
        <f t="shared" si="11"/>
        <v>5.0000000000000024E-2</v>
      </c>
      <c r="Q59" s="202"/>
      <c r="R59" s="202"/>
      <c r="S59" s="202"/>
      <c r="T59" s="202"/>
      <c r="U59" s="202"/>
      <c r="V59" s="202"/>
      <c r="W59" s="202"/>
      <c r="X59" s="202"/>
      <c r="Y59" s="202"/>
      <c r="Z59" s="202"/>
      <c r="AA59" s="202"/>
      <c r="AB59" s="202"/>
      <c r="AC59" s="202"/>
      <c r="AD59" s="202"/>
      <c r="AE59" s="202"/>
      <c r="AF59" s="202"/>
      <c r="AG59" s="202"/>
      <c r="AH59" s="568"/>
      <c r="AI59" s="568"/>
      <c r="AJ59" s="568"/>
      <c r="AK59" s="568"/>
      <c r="AL59" s="568"/>
      <c r="AM59" s="202"/>
      <c r="AN59" s="202"/>
      <c r="AO59" s="202"/>
      <c r="AP59" s="202"/>
      <c r="AQ59" s="198"/>
      <c r="AR59" s="198"/>
      <c r="AS59" s="198"/>
      <c r="AT59" s="198"/>
      <c r="AU59" s="198"/>
      <c r="AV59" s="198"/>
      <c r="AW59" s="198"/>
      <c r="AX59" s="198"/>
      <c r="AY59" s="198"/>
    </row>
    <row r="60" spans="1:51" s="199" customFormat="1" ht="12.75" customHeight="1">
      <c r="A60" s="885"/>
      <c r="B60" s="885"/>
      <c r="C60" s="203" t="s">
        <v>69</v>
      </c>
      <c r="D60" s="361">
        <f>D45*$B$44/$P$44</f>
        <v>0</v>
      </c>
      <c r="E60" s="361">
        <f t="shared" ref="E60:O60" si="14">E45*$B$44/$P$44</f>
        <v>5.0000000000000018E-3</v>
      </c>
      <c r="F60" s="361">
        <f t="shared" si="14"/>
        <v>5.0000000000000018E-3</v>
      </c>
      <c r="G60" s="361">
        <f t="shared" si="14"/>
        <v>5.0000000000000018E-3</v>
      </c>
      <c r="H60" s="361">
        <f t="shared" si="14"/>
        <v>5.0000000000000018E-3</v>
      </c>
      <c r="I60" s="361">
        <f t="shared" si="14"/>
        <v>0</v>
      </c>
      <c r="J60" s="361">
        <f t="shared" si="14"/>
        <v>0</v>
      </c>
      <c r="K60" s="361">
        <f t="shared" si="14"/>
        <v>0</v>
      </c>
      <c r="L60" s="361">
        <f t="shared" si="14"/>
        <v>0</v>
      </c>
      <c r="M60" s="361">
        <f t="shared" si="14"/>
        <v>0</v>
      </c>
      <c r="N60" s="361">
        <f t="shared" si="14"/>
        <v>0</v>
      </c>
      <c r="O60" s="361">
        <f t="shared" si="14"/>
        <v>0</v>
      </c>
      <c r="P60" s="205">
        <f t="shared" si="11"/>
        <v>2.0000000000000007E-2</v>
      </c>
      <c r="Q60" s="202"/>
      <c r="R60" s="202"/>
      <c r="S60" s="202"/>
      <c r="T60" s="202"/>
      <c r="U60" s="202"/>
      <c r="V60" s="202"/>
      <c r="W60" s="202"/>
      <c r="X60" s="202"/>
      <c r="Y60" s="202"/>
      <c r="Z60" s="202"/>
      <c r="AA60" s="202"/>
      <c r="AB60" s="202"/>
      <c r="AC60" s="202"/>
      <c r="AD60" s="202"/>
      <c r="AE60" s="202"/>
      <c r="AF60" s="202"/>
      <c r="AG60" s="202"/>
      <c r="AH60" s="568"/>
      <c r="AI60" s="568"/>
      <c r="AJ60" s="568"/>
      <c r="AK60" s="568"/>
      <c r="AL60" s="568"/>
      <c r="AM60" s="202"/>
      <c r="AN60" s="202"/>
      <c r="AO60" s="202"/>
      <c r="AP60" s="202"/>
      <c r="AQ60" s="198"/>
      <c r="AR60" s="198"/>
      <c r="AS60" s="198"/>
      <c r="AT60" s="198"/>
      <c r="AU60" s="198"/>
      <c r="AV60" s="198"/>
      <c r="AW60" s="198"/>
      <c r="AX60" s="198"/>
      <c r="AY60" s="198"/>
    </row>
    <row r="61" spans="1:51" s="199" customFormat="1" ht="15.75" customHeight="1">
      <c r="A61" s="202"/>
      <c r="B61" s="202"/>
      <c r="C61" s="206"/>
      <c r="D61" s="207">
        <f>D54+D56+D58+D60</f>
        <v>0</v>
      </c>
      <c r="E61" s="207">
        <f t="shared" ref="E61:O61" si="15">E54+E56+E58+E60</f>
        <v>7.1000000000000008E-2</v>
      </c>
      <c r="F61" s="207">
        <f t="shared" si="15"/>
        <v>7.1333000000000008E-2</v>
      </c>
      <c r="G61" s="207">
        <f t="shared" si="15"/>
        <v>5.3330000000000002E-2</v>
      </c>
      <c r="H61" s="207">
        <f t="shared" si="15"/>
        <v>2.4000000000000004E-2</v>
      </c>
      <c r="I61" s="207">
        <f t="shared" si="15"/>
        <v>0</v>
      </c>
      <c r="J61" s="207">
        <f t="shared" si="15"/>
        <v>0</v>
      </c>
      <c r="K61" s="207">
        <f t="shared" si="15"/>
        <v>0</v>
      </c>
      <c r="L61" s="207">
        <f t="shared" si="15"/>
        <v>0</v>
      </c>
      <c r="M61" s="207">
        <f t="shared" si="15"/>
        <v>0</v>
      </c>
      <c r="N61" s="207">
        <f t="shared" si="15"/>
        <v>0</v>
      </c>
      <c r="O61" s="207">
        <f t="shared" si="15"/>
        <v>0</v>
      </c>
      <c r="P61" s="207">
        <f t="shared" ref="P61" si="16">P53+P55+P57+P59</f>
        <v>0.35000000000000009</v>
      </c>
      <c r="Q61" s="202"/>
      <c r="R61" s="202"/>
      <c r="S61" s="202"/>
      <c r="T61" s="202"/>
      <c r="U61" s="202"/>
      <c r="V61" s="202"/>
      <c r="W61" s="202"/>
      <c r="X61" s="202"/>
      <c r="Y61" s="202"/>
      <c r="Z61" s="202"/>
      <c r="AA61" s="202"/>
      <c r="AB61" s="202"/>
      <c r="AC61" s="202"/>
      <c r="AD61" s="202"/>
      <c r="AE61" s="202"/>
      <c r="AF61" s="202"/>
      <c r="AG61" s="202"/>
      <c r="AH61" s="568"/>
      <c r="AI61" s="568"/>
      <c r="AJ61" s="568"/>
      <c r="AK61" s="568"/>
      <c r="AL61" s="568"/>
      <c r="AM61" s="202"/>
      <c r="AN61" s="202"/>
      <c r="AO61" s="202"/>
      <c r="AP61" s="202"/>
      <c r="AQ61" s="198"/>
      <c r="AR61" s="198"/>
      <c r="AS61" s="198"/>
      <c r="AT61" s="198"/>
      <c r="AU61" s="198"/>
      <c r="AV61" s="198"/>
      <c r="AW61" s="198"/>
      <c r="AX61" s="198"/>
      <c r="AY61" s="198"/>
    </row>
    <row r="62" spans="1:51" s="393" customFormat="1" ht="15.75" customHeight="1">
      <c r="A62" s="209"/>
      <c r="B62" s="209"/>
      <c r="C62" s="390" t="s">
        <v>69</v>
      </c>
      <c r="D62" s="391">
        <f>D61*$W$17/$B$34</f>
        <v>0</v>
      </c>
      <c r="E62" s="391">
        <f t="shared" ref="E62:O62" si="17">E61*$W$17/$B$34</f>
        <v>0.20285714285714285</v>
      </c>
      <c r="F62" s="391">
        <f t="shared" si="17"/>
        <v>0.20380857142857142</v>
      </c>
      <c r="G62" s="391">
        <f t="shared" si="17"/>
        <v>0.15237142857142857</v>
      </c>
      <c r="H62" s="391">
        <f t="shared" si="17"/>
        <v>6.8571428571428575E-2</v>
      </c>
      <c r="I62" s="391">
        <f t="shared" si="17"/>
        <v>0</v>
      </c>
      <c r="J62" s="391">
        <f t="shared" si="17"/>
        <v>0</v>
      </c>
      <c r="K62" s="391">
        <f t="shared" si="17"/>
        <v>0</v>
      </c>
      <c r="L62" s="391">
        <f t="shared" si="17"/>
        <v>0</v>
      </c>
      <c r="M62" s="391">
        <f t="shared" si="17"/>
        <v>0</v>
      </c>
      <c r="N62" s="391">
        <f t="shared" si="17"/>
        <v>0</v>
      </c>
      <c r="O62" s="391">
        <f t="shared" si="17"/>
        <v>0</v>
      </c>
      <c r="P62" s="392">
        <f>SUM(D62:O62)</f>
        <v>0.62760857142857152</v>
      </c>
      <c r="Q62" s="208"/>
      <c r="R62" s="209"/>
      <c r="S62" s="209"/>
      <c r="T62" s="209"/>
      <c r="U62" s="209"/>
      <c r="V62" s="209"/>
      <c r="W62" s="209"/>
      <c r="X62" s="209"/>
      <c r="Y62" s="209"/>
      <c r="Z62" s="209"/>
      <c r="AA62" s="209"/>
      <c r="AB62" s="209"/>
      <c r="AC62" s="209"/>
      <c r="AD62" s="209"/>
      <c r="AE62" s="209"/>
      <c r="AF62" s="209"/>
      <c r="AG62" s="209"/>
      <c r="AH62" s="569"/>
      <c r="AI62" s="569"/>
      <c r="AJ62" s="569"/>
      <c r="AK62" s="569"/>
      <c r="AL62" s="569"/>
      <c r="AM62" s="209"/>
      <c r="AN62" s="209"/>
      <c r="AO62" s="209"/>
      <c r="AP62" s="209"/>
      <c r="AQ62" s="209"/>
      <c r="AR62" s="209"/>
      <c r="AS62" s="209"/>
      <c r="AT62" s="209"/>
      <c r="AU62" s="209"/>
      <c r="AV62" s="209"/>
      <c r="AW62" s="209"/>
      <c r="AX62" s="209"/>
      <c r="AY62" s="209"/>
    </row>
    <row r="63" spans="1:51" s="393" customFormat="1" ht="13.5" customHeight="1">
      <c r="A63" s="208"/>
      <c r="B63" s="208"/>
      <c r="C63" s="208"/>
      <c r="D63" s="208"/>
      <c r="E63" s="208"/>
      <c r="F63" s="208"/>
      <c r="G63" s="208"/>
      <c r="H63" s="208"/>
      <c r="I63" s="208"/>
      <c r="J63" s="208"/>
      <c r="K63" s="208"/>
      <c r="L63" s="208"/>
      <c r="M63" s="208"/>
      <c r="N63" s="208"/>
      <c r="O63" s="208"/>
      <c r="P63" s="208"/>
      <c r="Q63" s="208"/>
      <c r="R63" s="208"/>
      <c r="S63" s="208"/>
      <c r="T63" s="208"/>
      <c r="U63" s="208"/>
      <c r="V63" s="208"/>
      <c r="W63" s="208"/>
      <c r="X63" s="208"/>
      <c r="Y63" s="208"/>
      <c r="Z63" s="208"/>
      <c r="AA63" s="208"/>
      <c r="AB63" s="208"/>
      <c r="AC63" s="208"/>
      <c r="AD63" s="209"/>
      <c r="AE63" s="209"/>
      <c r="AF63" s="209"/>
      <c r="AG63" s="209"/>
      <c r="AH63" s="569"/>
      <c r="AI63" s="569"/>
      <c r="AJ63" s="569"/>
      <c r="AK63" s="569"/>
      <c r="AL63" s="569"/>
      <c r="AM63" s="209"/>
      <c r="AN63" s="209"/>
      <c r="AO63" s="209"/>
      <c r="AP63" s="209"/>
      <c r="AQ63" s="209"/>
      <c r="AR63" s="209"/>
      <c r="AS63" s="209"/>
      <c r="AT63" s="209"/>
      <c r="AU63" s="209"/>
      <c r="AV63" s="209"/>
      <c r="AW63" s="209"/>
      <c r="AX63" s="209"/>
      <c r="AY63" s="209"/>
    </row>
    <row r="64" spans="1:51" s="108" customFormat="1">
      <c r="D64" s="394">
        <f>+D53+D55+D57+D59</f>
        <v>0</v>
      </c>
      <c r="E64" s="394">
        <f t="shared" ref="E64:O64" si="18">+E53+E55+E57+E59</f>
        <v>7.166666666666667E-2</v>
      </c>
      <c r="F64" s="394">
        <f t="shared" si="18"/>
        <v>8.5952380952380961E-2</v>
      </c>
      <c r="G64" s="394">
        <f t="shared" si="18"/>
        <v>8.5952380952380961E-2</v>
      </c>
      <c r="H64" s="394">
        <f t="shared" si="18"/>
        <v>1.9285714285714291E-2</v>
      </c>
      <c r="I64" s="394">
        <f t="shared" si="18"/>
        <v>1.9285714285714291E-2</v>
      </c>
      <c r="J64" s="394">
        <f t="shared" si="18"/>
        <v>1.9285714285714291E-2</v>
      </c>
      <c r="K64" s="394">
        <f t="shared" si="18"/>
        <v>1.9285714285714291E-2</v>
      </c>
      <c r="L64" s="394">
        <f t="shared" si="18"/>
        <v>1.9285714285714291E-2</v>
      </c>
      <c r="M64" s="394">
        <f t="shared" si="18"/>
        <v>5.0000000000000018E-3</v>
      </c>
      <c r="N64" s="394">
        <f t="shared" si="18"/>
        <v>5.0000000000000018E-3</v>
      </c>
      <c r="O64" s="394">
        <f t="shared" si="18"/>
        <v>0</v>
      </c>
      <c r="P64" s="394">
        <f>SUM(D64:O64)</f>
        <v>0.35000000000000009</v>
      </c>
      <c r="AH64" s="570"/>
      <c r="AI64" s="570"/>
      <c r="AJ64" s="570"/>
      <c r="AK64" s="570"/>
      <c r="AL64" s="570"/>
    </row>
    <row r="65" spans="1:51" s="393" customFormat="1" ht="15.75" customHeight="1">
      <c r="A65" s="209"/>
      <c r="B65" s="209"/>
      <c r="C65" s="390" t="s">
        <v>65</v>
      </c>
      <c r="D65" s="391">
        <f>D64*$W$17/$B$34</f>
        <v>0</v>
      </c>
      <c r="E65" s="391">
        <f t="shared" ref="E65:O65" si="19">E64*$W$17/$B$34</f>
        <v>0.20476190476190476</v>
      </c>
      <c r="F65" s="391">
        <f t="shared" si="19"/>
        <v>0.24557823129251702</v>
      </c>
      <c r="G65" s="391">
        <f t="shared" si="19"/>
        <v>0.24557823129251702</v>
      </c>
      <c r="H65" s="391">
        <f t="shared" si="19"/>
        <v>5.5102040816326539E-2</v>
      </c>
      <c r="I65" s="391">
        <f t="shared" si="19"/>
        <v>5.5102040816326539E-2</v>
      </c>
      <c r="J65" s="391">
        <f t="shared" si="19"/>
        <v>5.5102040816326539E-2</v>
      </c>
      <c r="K65" s="391">
        <f t="shared" si="19"/>
        <v>5.5102040816326539E-2</v>
      </c>
      <c r="L65" s="391">
        <f t="shared" si="19"/>
        <v>5.5102040816326539E-2</v>
      </c>
      <c r="M65" s="391">
        <f t="shared" si="19"/>
        <v>1.428571428571429E-2</v>
      </c>
      <c r="N65" s="391">
        <f t="shared" si="19"/>
        <v>1.428571428571429E-2</v>
      </c>
      <c r="O65" s="391">
        <f t="shared" si="19"/>
        <v>0</v>
      </c>
      <c r="P65" s="392">
        <f>SUM(D65:O65)</f>
        <v>1</v>
      </c>
      <c r="Q65" s="208"/>
      <c r="R65" s="209"/>
      <c r="S65" s="209"/>
      <c r="T65" s="209"/>
      <c r="U65" s="209"/>
      <c r="V65" s="209"/>
      <c r="W65" s="209"/>
      <c r="X65" s="209"/>
      <c r="Y65" s="209"/>
      <c r="Z65" s="209"/>
      <c r="AA65" s="209"/>
      <c r="AB65" s="209"/>
      <c r="AC65" s="209"/>
      <c r="AD65" s="209"/>
      <c r="AE65" s="209"/>
      <c r="AF65" s="209"/>
      <c r="AG65" s="209"/>
      <c r="AH65" s="569"/>
      <c r="AI65" s="569"/>
      <c r="AJ65" s="569"/>
      <c r="AK65" s="569"/>
      <c r="AL65" s="569"/>
      <c r="AM65" s="209"/>
      <c r="AN65" s="209"/>
      <c r="AO65" s="209"/>
      <c r="AP65" s="209"/>
      <c r="AQ65" s="209"/>
      <c r="AR65" s="209"/>
      <c r="AS65" s="209"/>
      <c r="AT65" s="209"/>
      <c r="AU65" s="209"/>
      <c r="AV65" s="209"/>
      <c r="AW65" s="209"/>
      <c r="AX65" s="209"/>
      <c r="AY65" s="209"/>
    </row>
  </sheetData>
  <mergeCells count="96">
    <mergeCell ref="AF44:AF45"/>
    <mergeCell ref="AF34:AF35"/>
    <mergeCell ref="AF38:AF39"/>
    <mergeCell ref="AF40:AF41"/>
    <mergeCell ref="AF42:AF43"/>
    <mergeCell ref="A38:A39"/>
    <mergeCell ref="B38:B39"/>
    <mergeCell ref="Q38:AD39"/>
    <mergeCell ref="A40:A41"/>
    <mergeCell ref="B40:B41"/>
    <mergeCell ref="Q40:AD41"/>
    <mergeCell ref="A22:B22"/>
    <mergeCell ref="AC17:AD17"/>
    <mergeCell ref="A7:B9"/>
    <mergeCell ref="C7:C9"/>
    <mergeCell ref="R17:V17"/>
    <mergeCell ref="C11:AD13"/>
    <mergeCell ref="L15:Q15"/>
    <mergeCell ref="A11:B13"/>
    <mergeCell ref="D7:H9"/>
    <mergeCell ref="I7:J9"/>
    <mergeCell ref="K7:L9"/>
    <mergeCell ref="O7:P7"/>
    <mergeCell ref="M8:N8"/>
    <mergeCell ref="O8:P8"/>
    <mergeCell ref="M9:N9"/>
    <mergeCell ref="O9:P9"/>
    <mergeCell ref="M7:N7"/>
    <mergeCell ref="C15:K15"/>
    <mergeCell ref="A1:A4"/>
    <mergeCell ref="B1:AA1"/>
    <mergeCell ref="AB1:AD1"/>
    <mergeCell ref="B2:AA2"/>
    <mergeCell ref="AB2:AD2"/>
    <mergeCell ref="B3:AA4"/>
    <mergeCell ref="AB3:AD3"/>
    <mergeCell ref="AB4:AD4"/>
    <mergeCell ref="A27:AD27"/>
    <mergeCell ref="A23:B23"/>
    <mergeCell ref="A25:B25"/>
    <mergeCell ref="AA15:AD15"/>
    <mergeCell ref="C16:AB16"/>
    <mergeCell ref="A17:B17"/>
    <mergeCell ref="C17:Q17"/>
    <mergeCell ref="R15:X15"/>
    <mergeCell ref="Y15:Z15"/>
    <mergeCell ref="W17:X17"/>
    <mergeCell ref="Y17:AB17"/>
    <mergeCell ref="A15:B15"/>
    <mergeCell ref="A24:B24"/>
    <mergeCell ref="A19:AD19"/>
    <mergeCell ref="Q20:AD20"/>
    <mergeCell ref="C20:P20"/>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A33:AD33"/>
    <mergeCell ref="A34:A35"/>
    <mergeCell ref="B34:B35"/>
    <mergeCell ref="Q34:V35"/>
    <mergeCell ref="W34:Z35"/>
    <mergeCell ref="AA34:AD35"/>
    <mergeCell ref="A36:A37"/>
    <mergeCell ref="B36:B37"/>
    <mergeCell ref="C36:P36"/>
    <mergeCell ref="Q36:AD36"/>
    <mergeCell ref="Q37:AD37"/>
    <mergeCell ref="A42:A43"/>
    <mergeCell ref="B42:B43"/>
    <mergeCell ref="Q42:AD43"/>
    <mergeCell ref="A44:A45"/>
    <mergeCell ref="B44:B45"/>
    <mergeCell ref="Q44:AD45"/>
    <mergeCell ref="C51:P51"/>
    <mergeCell ref="A53:A54"/>
    <mergeCell ref="B53:B54"/>
    <mergeCell ref="A59:A60"/>
    <mergeCell ref="B59:B60"/>
    <mergeCell ref="A55:A56"/>
    <mergeCell ref="B55:B56"/>
    <mergeCell ref="A57:A58"/>
    <mergeCell ref="B57:B58"/>
    <mergeCell ref="A51:A52"/>
    <mergeCell ref="B51:B52"/>
  </mergeCells>
  <dataValidations count="3">
    <dataValidation type="textLength" operator="lessThanOrEqual" allowBlank="1" showInputMessage="1" showErrorMessage="1" errorTitle="Máximo 2.000 caracteres" error="Máximo 2.000 caracteres" sqref="Q38:AD45 AA34 Q34 W34" xr:uid="{00000000-0002-0000-0200-000000000000}">
      <formula1>2000</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list" allowBlank="1" showInputMessage="1" showErrorMessage="1" sqref="WVK7:WVK9 IY7:IY9 SU7:SU9 ACQ7:ACQ9 AMM7:AMM9 AWI7:AWI9 BGE7:BGE9 BQA7:BQA9 BZW7:BZW9 CJS7:CJS9 CTO7:CTO9 DDK7:DDK9 DNG7:DNG9 DXC7:DXC9 EGY7:EGY9 EQU7:EQU9 FAQ7:FAQ9 FKM7:FKM9 FUI7:FUI9 GEE7:GEE9 GOA7:GOA9 GXW7:GXW9 HHS7:HHS9 HRO7:HRO9 IBK7:IBK9 ILG7:ILG9 IVC7:IVC9 JEY7:JEY9 JOU7:JOU9 JYQ7:JYQ9 KIM7:KIM9 KSI7:KSI9 LCE7:LCE9 LMA7:LMA9 LVW7:LVW9 MFS7:MFS9 MPO7:MPO9 MZK7:MZK9 NJG7:NJG9 NTC7:NTC9 OCY7:OCY9 OMU7:OMU9 OWQ7:OWQ9 PGM7:PGM9 PQI7:PQI9 QAE7:QAE9 QKA7:QKA9 QTW7:QTW9 RDS7:RDS9 RNO7:RNO9 RXK7:RXK9 SHG7:SHG9 SRC7:SRC9 TAY7:TAY9 TKU7:TKU9 TUQ7:TUQ9 UEM7:UEM9 UOI7:UOI9 UYE7:UYE9 VIA7:VIA9 VRW7:VRW9 WBS7:WBS9 WLO7:WLO9 C7:C9" xr:uid="{1EB3AD2E-3728-44BB-9ECC-F719FF4D6835}">
      <formula1>$C$21:$N$21</formula1>
    </dataValidation>
  </dataValidations>
  <printOptions horizontalCentered="1"/>
  <pageMargins left="0.19685039370078741" right="0.19685039370078741" top="0.19685039370078741" bottom="0.19685039370078741" header="0" footer="0"/>
  <pageSetup scale="22"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85546875" defaultRowHeight="15"/>
  <cols>
    <col min="1" max="1" width="38.42578125" style="50" customWidth="1"/>
    <col min="2" max="2" width="15.42578125" style="50" customWidth="1"/>
    <col min="3" max="3" width="16.28515625" style="50" customWidth="1"/>
    <col min="4" max="6" width="7" style="50" customWidth="1"/>
    <col min="7" max="15" width="7.7109375" style="50" customWidth="1"/>
    <col min="16" max="16" width="13.28515625" style="50" customWidth="1"/>
    <col min="17" max="17" width="10.85546875" style="50"/>
    <col min="18" max="18" width="7.42578125" style="50" customWidth="1"/>
    <col min="19" max="20" width="10.85546875" style="50"/>
    <col min="21" max="21" width="13" style="50" customWidth="1"/>
    <col min="22" max="22" width="7.85546875" style="50" customWidth="1"/>
    <col min="23" max="28" width="12.140625" style="50" customWidth="1"/>
    <col min="29" max="29" width="6.28515625" style="50" bestFit="1" customWidth="1"/>
    <col min="30" max="30" width="22.85546875" style="50" customWidth="1"/>
    <col min="31" max="31" width="18.42578125" style="50" bestFit="1" customWidth="1"/>
    <col min="32" max="32" width="8.42578125" style="50" customWidth="1"/>
    <col min="33" max="33" width="18.42578125" style="50" bestFit="1" customWidth="1"/>
    <col min="34" max="34" width="5.7109375" style="50" customWidth="1"/>
    <col min="35" max="35" width="18.42578125" style="50" bestFit="1" customWidth="1"/>
    <col min="36" max="36" width="4.7109375" style="50" customWidth="1"/>
    <col min="37" max="37" width="23" style="50" bestFit="1" customWidth="1"/>
    <col min="38" max="38" width="10.85546875" style="50"/>
    <col min="39" max="39" width="18.42578125" style="50" bestFit="1" customWidth="1"/>
    <col min="40" max="40" width="16.140625" style="50" customWidth="1"/>
    <col min="41" max="16384" width="10.85546875" style="50"/>
  </cols>
  <sheetData>
    <row r="1" spans="1:28" ht="32.25" customHeight="1">
      <c r="A1" s="702"/>
      <c r="B1" s="705" t="s">
        <v>0</v>
      </c>
      <c r="C1" s="706"/>
      <c r="D1" s="706"/>
      <c r="E1" s="706"/>
      <c r="F1" s="706"/>
      <c r="G1" s="706"/>
      <c r="H1" s="706"/>
      <c r="I1" s="706"/>
      <c r="J1" s="706"/>
      <c r="K1" s="706"/>
      <c r="L1" s="706"/>
      <c r="M1" s="706"/>
      <c r="N1" s="706"/>
      <c r="O1" s="706"/>
      <c r="P1" s="706"/>
      <c r="Q1" s="706"/>
      <c r="R1" s="706"/>
      <c r="S1" s="706"/>
      <c r="T1" s="706"/>
      <c r="U1" s="706"/>
      <c r="V1" s="706"/>
      <c r="W1" s="706"/>
      <c r="X1" s="706"/>
      <c r="Y1" s="707"/>
      <c r="Z1" s="708" t="s">
        <v>1</v>
      </c>
      <c r="AA1" s="709"/>
      <c r="AB1" s="710"/>
    </row>
    <row r="2" spans="1:28" ht="30.75" customHeight="1">
      <c r="A2" s="703"/>
      <c r="B2" s="711" t="s">
        <v>2</v>
      </c>
      <c r="C2" s="712"/>
      <c r="D2" s="712"/>
      <c r="E2" s="712"/>
      <c r="F2" s="712"/>
      <c r="G2" s="712"/>
      <c r="H2" s="712"/>
      <c r="I2" s="712"/>
      <c r="J2" s="712"/>
      <c r="K2" s="712"/>
      <c r="L2" s="712"/>
      <c r="M2" s="712"/>
      <c r="N2" s="712"/>
      <c r="O2" s="712"/>
      <c r="P2" s="712"/>
      <c r="Q2" s="712"/>
      <c r="R2" s="712"/>
      <c r="S2" s="712"/>
      <c r="T2" s="712"/>
      <c r="U2" s="712"/>
      <c r="V2" s="712"/>
      <c r="W2" s="712"/>
      <c r="X2" s="712"/>
      <c r="Y2" s="713"/>
      <c r="Z2" s="1004" t="s">
        <v>167</v>
      </c>
      <c r="AA2" s="1005"/>
      <c r="AB2" s="1006"/>
    </row>
    <row r="3" spans="1:28" ht="24" customHeight="1">
      <c r="A3" s="703"/>
      <c r="B3" s="717" t="s">
        <v>4</v>
      </c>
      <c r="C3" s="718"/>
      <c r="D3" s="718"/>
      <c r="E3" s="718"/>
      <c r="F3" s="718"/>
      <c r="G3" s="718"/>
      <c r="H3" s="718"/>
      <c r="I3" s="718"/>
      <c r="J3" s="718"/>
      <c r="K3" s="718"/>
      <c r="L3" s="718"/>
      <c r="M3" s="718"/>
      <c r="N3" s="718"/>
      <c r="O3" s="718"/>
      <c r="P3" s="718"/>
      <c r="Q3" s="718"/>
      <c r="R3" s="718"/>
      <c r="S3" s="718"/>
      <c r="T3" s="718"/>
      <c r="U3" s="718"/>
      <c r="V3" s="718"/>
      <c r="W3" s="718"/>
      <c r="X3" s="718"/>
      <c r="Y3" s="719"/>
      <c r="Z3" s="1004" t="s">
        <v>168</v>
      </c>
      <c r="AA3" s="1005"/>
      <c r="AB3" s="1006"/>
    </row>
    <row r="4" spans="1:28" ht="15.75" customHeight="1" thickBot="1">
      <c r="A4" s="704"/>
      <c r="B4" s="720"/>
      <c r="C4" s="721"/>
      <c r="D4" s="721"/>
      <c r="E4" s="721"/>
      <c r="F4" s="721"/>
      <c r="G4" s="721"/>
      <c r="H4" s="721"/>
      <c r="I4" s="721"/>
      <c r="J4" s="721"/>
      <c r="K4" s="721"/>
      <c r="L4" s="721"/>
      <c r="M4" s="721"/>
      <c r="N4" s="721"/>
      <c r="O4" s="721"/>
      <c r="P4" s="721"/>
      <c r="Q4" s="721"/>
      <c r="R4" s="721"/>
      <c r="S4" s="721"/>
      <c r="T4" s="721"/>
      <c r="U4" s="721"/>
      <c r="V4" s="721"/>
      <c r="W4" s="721"/>
      <c r="X4" s="721"/>
      <c r="Y4" s="722"/>
      <c r="Z4" s="723" t="s">
        <v>6</v>
      </c>
      <c r="AA4" s="724"/>
      <c r="AB4" s="725"/>
    </row>
    <row r="5" spans="1:28" ht="9" customHeight="1" thickBot="1">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c r="A7" s="726" t="s">
        <v>15</v>
      </c>
      <c r="B7" s="727"/>
      <c r="C7" s="732"/>
      <c r="D7" s="733"/>
      <c r="E7" s="733"/>
      <c r="F7" s="733"/>
      <c r="G7" s="733"/>
      <c r="H7" s="733"/>
      <c r="I7" s="733"/>
      <c r="J7" s="733"/>
      <c r="K7" s="734"/>
      <c r="L7" s="62"/>
      <c r="M7" s="63"/>
      <c r="N7" s="63"/>
      <c r="O7" s="63"/>
      <c r="P7" s="63"/>
      <c r="Q7" s="64"/>
      <c r="R7" s="919" t="s">
        <v>9</v>
      </c>
      <c r="S7" s="868"/>
      <c r="T7" s="869"/>
      <c r="U7" s="956" t="s">
        <v>169</v>
      </c>
      <c r="V7" s="742"/>
      <c r="W7" s="919" t="s">
        <v>10</v>
      </c>
      <c r="X7" s="869"/>
      <c r="Y7" s="747" t="s">
        <v>11</v>
      </c>
      <c r="Z7" s="748"/>
      <c r="AA7" s="752"/>
      <c r="AB7" s="753"/>
    </row>
    <row r="8" spans="1:28" ht="15" customHeight="1">
      <c r="A8" s="728"/>
      <c r="B8" s="729"/>
      <c r="C8" s="717"/>
      <c r="D8" s="718"/>
      <c r="E8" s="718"/>
      <c r="F8" s="718"/>
      <c r="G8" s="718"/>
      <c r="H8" s="718"/>
      <c r="I8" s="718"/>
      <c r="J8" s="718"/>
      <c r="K8" s="719"/>
      <c r="L8" s="62"/>
      <c r="M8" s="63"/>
      <c r="N8" s="63"/>
      <c r="O8" s="63"/>
      <c r="P8" s="63"/>
      <c r="Q8" s="64"/>
      <c r="R8" s="780"/>
      <c r="S8" s="781"/>
      <c r="T8" s="782"/>
      <c r="U8" s="743"/>
      <c r="V8" s="744"/>
      <c r="W8" s="780"/>
      <c r="X8" s="782"/>
      <c r="Y8" s="754" t="s">
        <v>12</v>
      </c>
      <c r="Z8" s="755"/>
      <c r="AA8" s="756"/>
      <c r="AB8" s="757"/>
    </row>
    <row r="9" spans="1:28" ht="15" customHeight="1" thickBot="1">
      <c r="A9" s="730"/>
      <c r="B9" s="731"/>
      <c r="C9" s="720"/>
      <c r="D9" s="721"/>
      <c r="E9" s="721"/>
      <c r="F9" s="721"/>
      <c r="G9" s="721"/>
      <c r="H9" s="721"/>
      <c r="I9" s="721"/>
      <c r="J9" s="721"/>
      <c r="K9" s="722"/>
      <c r="L9" s="62"/>
      <c r="M9" s="63"/>
      <c r="N9" s="63"/>
      <c r="O9" s="63"/>
      <c r="P9" s="63"/>
      <c r="Q9" s="64"/>
      <c r="R9" s="957"/>
      <c r="S9" s="1007"/>
      <c r="T9" s="958"/>
      <c r="U9" s="745"/>
      <c r="V9" s="746"/>
      <c r="W9" s="957"/>
      <c r="X9" s="958"/>
      <c r="Y9" s="758" t="s">
        <v>13</v>
      </c>
      <c r="Z9" s="759"/>
      <c r="AA9" s="760"/>
      <c r="AB9" s="761"/>
    </row>
    <row r="10" spans="1:28" ht="9" customHeight="1" thickBot="1">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c r="A11" s="762" t="s">
        <v>17</v>
      </c>
      <c r="B11" s="763"/>
      <c r="C11" s="959"/>
      <c r="D11" s="960"/>
      <c r="E11" s="960"/>
      <c r="F11" s="960"/>
      <c r="G11" s="960"/>
      <c r="H11" s="960"/>
      <c r="I11" s="960"/>
      <c r="J11" s="960"/>
      <c r="K11" s="961"/>
      <c r="L11" s="72"/>
      <c r="M11" s="764" t="s">
        <v>19</v>
      </c>
      <c r="N11" s="765"/>
      <c r="O11" s="765"/>
      <c r="P11" s="765"/>
      <c r="Q11" s="766"/>
      <c r="R11" s="767"/>
      <c r="S11" s="768"/>
      <c r="T11" s="768"/>
      <c r="U11" s="768"/>
      <c r="V11" s="769"/>
      <c r="W11" s="764" t="s">
        <v>21</v>
      </c>
      <c r="X11" s="766"/>
      <c r="Y11" s="749"/>
      <c r="Z11" s="750"/>
      <c r="AA11" s="750"/>
      <c r="AB11" s="751"/>
    </row>
    <row r="12" spans="1:28" ht="9" customHeight="1" thickBot="1">
      <c r="A12" s="59"/>
      <c r="B12" s="54"/>
      <c r="C12" s="772"/>
      <c r="D12" s="772"/>
      <c r="E12" s="772"/>
      <c r="F12" s="772"/>
      <c r="G12" s="772"/>
      <c r="H12" s="772"/>
      <c r="I12" s="772"/>
      <c r="J12" s="772"/>
      <c r="K12" s="772"/>
      <c r="L12" s="772"/>
      <c r="M12" s="772"/>
      <c r="N12" s="772"/>
      <c r="O12" s="772"/>
      <c r="P12" s="772"/>
      <c r="Q12" s="772"/>
      <c r="R12" s="772"/>
      <c r="S12" s="772"/>
      <c r="T12" s="772"/>
      <c r="U12" s="772"/>
      <c r="V12" s="772"/>
      <c r="W12" s="772"/>
      <c r="X12" s="772"/>
      <c r="Y12" s="772"/>
      <c r="Z12" s="772"/>
      <c r="AA12" s="73"/>
      <c r="AB12" s="74"/>
    </row>
    <row r="13" spans="1:28" s="76" customFormat="1" ht="37.5" customHeight="1" thickBot="1">
      <c r="A13" s="762" t="s">
        <v>23</v>
      </c>
      <c r="B13" s="763"/>
      <c r="C13" s="870"/>
      <c r="D13" s="871"/>
      <c r="E13" s="871"/>
      <c r="F13" s="871"/>
      <c r="G13" s="871"/>
      <c r="H13" s="871"/>
      <c r="I13" s="871"/>
      <c r="J13" s="871"/>
      <c r="K13" s="871"/>
      <c r="L13" s="871"/>
      <c r="M13" s="871"/>
      <c r="N13" s="871"/>
      <c r="O13" s="871"/>
      <c r="P13" s="871"/>
      <c r="Q13" s="872"/>
      <c r="R13" s="54"/>
      <c r="S13" s="980" t="s">
        <v>170</v>
      </c>
      <c r="T13" s="980"/>
      <c r="U13" s="75"/>
      <c r="V13" s="985" t="s">
        <v>26</v>
      </c>
      <c r="W13" s="980"/>
      <c r="X13" s="980"/>
      <c r="Y13" s="980"/>
      <c r="Z13" s="54"/>
      <c r="AA13" s="778"/>
      <c r="AB13" s="779"/>
    </row>
    <row r="14" spans="1:28" ht="16.5" customHeight="1" thickBot="1">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c r="A15" s="726" t="s">
        <v>7</v>
      </c>
      <c r="B15" s="727"/>
      <c r="C15" s="997" t="s">
        <v>171</v>
      </c>
      <c r="D15" s="80"/>
      <c r="E15" s="80"/>
      <c r="F15" s="80"/>
      <c r="G15" s="80"/>
      <c r="H15" s="80"/>
      <c r="I15" s="80"/>
      <c r="J15" s="70"/>
      <c r="K15" s="81"/>
      <c r="L15" s="70"/>
      <c r="M15" s="60"/>
      <c r="N15" s="60"/>
      <c r="O15" s="60"/>
      <c r="P15" s="60"/>
      <c r="Q15" s="986" t="s">
        <v>27</v>
      </c>
      <c r="R15" s="987"/>
      <c r="S15" s="987"/>
      <c r="T15" s="987"/>
      <c r="U15" s="987"/>
      <c r="V15" s="987"/>
      <c r="W15" s="987"/>
      <c r="X15" s="987"/>
      <c r="Y15" s="987"/>
      <c r="Z15" s="987"/>
      <c r="AA15" s="987"/>
      <c r="AB15" s="988"/>
    </row>
    <row r="16" spans="1:28" ht="35.25" customHeight="1" thickBot="1">
      <c r="A16" s="730"/>
      <c r="B16" s="731"/>
      <c r="C16" s="998"/>
      <c r="D16" s="80"/>
      <c r="E16" s="80"/>
      <c r="F16" s="80"/>
      <c r="G16" s="80"/>
      <c r="H16" s="80"/>
      <c r="I16" s="80"/>
      <c r="J16" s="70"/>
      <c r="K16" s="70"/>
      <c r="L16" s="70"/>
      <c r="M16" s="60"/>
      <c r="N16" s="60"/>
      <c r="O16" s="60"/>
      <c r="P16" s="60"/>
      <c r="Q16" s="981" t="s">
        <v>172</v>
      </c>
      <c r="R16" s="954"/>
      <c r="S16" s="954"/>
      <c r="T16" s="954"/>
      <c r="U16" s="954"/>
      <c r="V16" s="982"/>
      <c r="W16" s="953" t="s">
        <v>173</v>
      </c>
      <c r="X16" s="954"/>
      <c r="Y16" s="954"/>
      <c r="Z16" s="954"/>
      <c r="AA16" s="954"/>
      <c r="AB16" s="955"/>
    </row>
    <row r="17" spans="1:39" ht="27" customHeight="1">
      <c r="A17" s="82"/>
      <c r="B17" s="60"/>
      <c r="C17" s="60"/>
      <c r="D17" s="80"/>
      <c r="E17" s="80"/>
      <c r="F17" s="80"/>
      <c r="G17" s="80"/>
      <c r="H17" s="80"/>
      <c r="I17" s="80"/>
      <c r="J17" s="80"/>
      <c r="K17" s="80"/>
      <c r="L17" s="80"/>
      <c r="M17" s="60"/>
      <c r="N17" s="60"/>
      <c r="O17" s="60"/>
      <c r="P17" s="60"/>
      <c r="Q17" s="965" t="s">
        <v>174</v>
      </c>
      <c r="R17" s="966"/>
      <c r="S17" s="967"/>
      <c r="T17" s="971" t="s">
        <v>175</v>
      </c>
      <c r="U17" s="972"/>
      <c r="V17" s="973"/>
      <c r="W17" s="1008" t="s">
        <v>174</v>
      </c>
      <c r="X17" s="967"/>
      <c r="Y17" s="1008" t="s">
        <v>176</v>
      </c>
      <c r="Z17" s="967"/>
      <c r="AA17" s="971" t="s">
        <v>177</v>
      </c>
      <c r="AB17" s="1009"/>
      <c r="AC17" s="83"/>
      <c r="AD17" s="83"/>
    </row>
    <row r="18" spans="1:39" ht="27" customHeight="1">
      <c r="A18" s="82"/>
      <c r="B18" s="60"/>
      <c r="C18" s="60"/>
      <c r="D18" s="80"/>
      <c r="E18" s="80"/>
      <c r="F18" s="80"/>
      <c r="G18" s="80"/>
      <c r="H18" s="80"/>
      <c r="I18" s="80"/>
      <c r="J18" s="80"/>
      <c r="K18" s="80"/>
      <c r="L18" s="80"/>
      <c r="M18" s="60"/>
      <c r="N18" s="60"/>
      <c r="O18" s="60"/>
      <c r="P18" s="60"/>
      <c r="Q18" s="153"/>
      <c r="R18" s="154"/>
      <c r="S18" s="155"/>
      <c r="T18" s="971"/>
      <c r="U18" s="972"/>
      <c r="V18" s="973"/>
      <c r="W18" s="137"/>
      <c r="X18" s="138"/>
      <c r="Y18" s="137"/>
      <c r="Z18" s="138"/>
      <c r="AA18" s="139"/>
      <c r="AB18" s="140"/>
      <c r="AC18" s="83"/>
      <c r="AD18" s="83"/>
    </row>
    <row r="19" spans="1:39" ht="18" customHeight="1" thickBot="1">
      <c r="A19" s="59"/>
      <c r="B19" s="54"/>
      <c r="C19" s="80"/>
      <c r="D19" s="80"/>
      <c r="E19" s="80"/>
      <c r="F19" s="80"/>
      <c r="G19" s="84"/>
      <c r="H19" s="84"/>
      <c r="I19" s="84"/>
      <c r="J19" s="84"/>
      <c r="K19" s="84"/>
      <c r="L19" s="84"/>
      <c r="M19" s="80"/>
      <c r="N19" s="80"/>
      <c r="O19" s="80"/>
      <c r="P19" s="80"/>
      <c r="Q19" s="962"/>
      <c r="R19" s="963"/>
      <c r="S19" s="964"/>
      <c r="T19" s="970"/>
      <c r="U19" s="963"/>
      <c r="V19" s="964"/>
      <c r="W19" s="989"/>
      <c r="X19" s="990"/>
      <c r="Y19" s="1010"/>
      <c r="Z19" s="1011"/>
      <c r="AA19" s="968"/>
      <c r="AB19" s="969"/>
      <c r="AC19" s="3"/>
      <c r="AD19" s="3"/>
    </row>
    <row r="20" spans="1:39" ht="7.5" customHeight="1" thickBot="1">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c r="A21" s="787" t="s">
        <v>48</v>
      </c>
      <c r="B21" s="788"/>
      <c r="C21" s="789"/>
      <c r="D21" s="789"/>
      <c r="E21" s="789"/>
      <c r="F21" s="789"/>
      <c r="G21" s="789"/>
      <c r="H21" s="789"/>
      <c r="I21" s="789"/>
      <c r="J21" s="789"/>
      <c r="K21" s="789"/>
      <c r="L21" s="789"/>
      <c r="M21" s="789"/>
      <c r="N21" s="789"/>
      <c r="O21" s="789"/>
      <c r="P21" s="789"/>
      <c r="Q21" s="789"/>
      <c r="R21" s="789"/>
      <c r="S21" s="789"/>
      <c r="T21" s="789"/>
      <c r="U21" s="789"/>
      <c r="V21" s="789"/>
      <c r="W21" s="789"/>
      <c r="X21" s="789"/>
      <c r="Y21" s="789"/>
      <c r="Z21" s="789"/>
      <c r="AA21" s="789"/>
      <c r="AB21" s="790"/>
    </row>
    <row r="22" spans="1:39" ht="15" customHeight="1">
      <c r="A22" s="791" t="s">
        <v>49</v>
      </c>
      <c r="B22" s="793" t="s">
        <v>50</v>
      </c>
      <c r="C22" s="794"/>
      <c r="D22" s="797" t="s">
        <v>178</v>
      </c>
      <c r="E22" s="798"/>
      <c r="F22" s="798"/>
      <c r="G22" s="798"/>
      <c r="H22" s="798"/>
      <c r="I22" s="798"/>
      <c r="J22" s="798"/>
      <c r="K22" s="798"/>
      <c r="L22" s="798"/>
      <c r="M22" s="798"/>
      <c r="N22" s="798"/>
      <c r="O22" s="799"/>
      <c r="P22" s="800" t="s">
        <v>41</v>
      </c>
      <c r="Q22" s="800" t="s">
        <v>52</v>
      </c>
      <c r="R22" s="800"/>
      <c r="S22" s="800"/>
      <c r="T22" s="800"/>
      <c r="U22" s="800"/>
      <c r="V22" s="800"/>
      <c r="W22" s="800"/>
      <c r="X22" s="800"/>
      <c r="Y22" s="800"/>
      <c r="Z22" s="800"/>
      <c r="AA22" s="800"/>
      <c r="AB22" s="771"/>
    </row>
    <row r="23" spans="1:39" ht="27" customHeight="1">
      <c r="A23" s="792"/>
      <c r="B23" s="795"/>
      <c r="C23" s="796"/>
      <c r="D23" s="88" t="s">
        <v>30</v>
      </c>
      <c r="E23" s="88" t="s">
        <v>31</v>
      </c>
      <c r="F23" s="88" t="s">
        <v>32</v>
      </c>
      <c r="G23" s="88" t="s">
        <v>8</v>
      </c>
      <c r="H23" s="88" t="s">
        <v>33</v>
      </c>
      <c r="I23" s="88" t="s">
        <v>34</v>
      </c>
      <c r="J23" s="88" t="s">
        <v>35</v>
      </c>
      <c r="K23" s="88" t="s">
        <v>36</v>
      </c>
      <c r="L23" s="88" t="s">
        <v>37</v>
      </c>
      <c r="M23" s="88" t="s">
        <v>38</v>
      </c>
      <c r="N23" s="88" t="s">
        <v>39</v>
      </c>
      <c r="O23" s="88" t="s">
        <v>40</v>
      </c>
      <c r="P23" s="799"/>
      <c r="Q23" s="800"/>
      <c r="R23" s="800"/>
      <c r="S23" s="800"/>
      <c r="T23" s="800"/>
      <c r="U23" s="800"/>
      <c r="V23" s="800"/>
      <c r="W23" s="800"/>
      <c r="X23" s="800"/>
      <c r="Y23" s="800"/>
      <c r="Z23" s="800"/>
      <c r="AA23" s="800"/>
      <c r="AB23" s="771"/>
    </row>
    <row r="24" spans="1:39" ht="42" customHeight="1" thickBot="1">
      <c r="A24" s="85"/>
      <c r="B24" s="862"/>
      <c r="C24" s="863"/>
      <c r="D24" s="89"/>
      <c r="E24" s="89"/>
      <c r="F24" s="89"/>
      <c r="G24" s="89"/>
      <c r="H24" s="89"/>
      <c r="I24" s="89"/>
      <c r="J24" s="89"/>
      <c r="K24" s="89"/>
      <c r="L24" s="89"/>
      <c r="M24" s="89"/>
      <c r="N24" s="89"/>
      <c r="O24" s="89"/>
      <c r="P24" s="86">
        <f>SUM(D24:O24)</f>
        <v>0</v>
      </c>
      <c r="Q24" s="1014" t="s">
        <v>179</v>
      </c>
      <c r="R24" s="1014"/>
      <c r="S24" s="1014"/>
      <c r="T24" s="1014"/>
      <c r="U24" s="1014"/>
      <c r="V24" s="1014"/>
      <c r="W24" s="1014"/>
      <c r="X24" s="1014"/>
      <c r="Y24" s="1014"/>
      <c r="Z24" s="1014"/>
      <c r="AA24" s="1014"/>
      <c r="AB24" s="1015"/>
    </row>
    <row r="25" spans="1:39" ht="21.95" customHeight="1">
      <c r="A25" s="805" t="s">
        <v>53</v>
      </c>
      <c r="B25" s="806"/>
      <c r="C25" s="806"/>
      <c r="D25" s="806"/>
      <c r="E25" s="806"/>
      <c r="F25" s="806"/>
      <c r="G25" s="806"/>
      <c r="H25" s="806"/>
      <c r="I25" s="806"/>
      <c r="J25" s="806"/>
      <c r="K25" s="806"/>
      <c r="L25" s="806"/>
      <c r="M25" s="806"/>
      <c r="N25" s="806"/>
      <c r="O25" s="806"/>
      <c r="P25" s="806"/>
      <c r="Q25" s="806"/>
      <c r="R25" s="806"/>
      <c r="S25" s="806"/>
      <c r="T25" s="806"/>
      <c r="U25" s="806"/>
      <c r="V25" s="806"/>
      <c r="W25" s="806"/>
      <c r="X25" s="806"/>
      <c r="Y25" s="806"/>
      <c r="Z25" s="806"/>
      <c r="AA25" s="806"/>
      <c r="AB25" s="807"/>
    </row>
    <row r="26" spans="1:39" ht="23.1" customHeight="1">
      <c r="A26" s="770" t="s">
        <v>54</v>
      </c>
      <c r="B26" s="800" t="s">
        <v>55</v>
      </c>
      <c r="C26" s="800" t="s">
        <v>50</v>
      </c>
      <c r="D26" s="800" t="s">
        <v>56</v>
      </c>
      <c r="E26" s="800"/>
      <c r="F26" s="800"/>
      <c r="G26" s="800"/>
      <c r="H26" s="800"/>
      <c r="I26" s="800"/>
      <c r="J26" s="800"/>
      <c r="K26" s="800"/>
      <c r="L26" s="800"/>
      <c r="M26" s="800"/>
      <c r="N26" s="800"/>
      <c r="O26" s="800"/>
      <c r="P26" s="800"/>
      <c r="Q26" s="800" t="s">
        <v>57</v>
      </c>
      <c r="R26" s="800"/>
      <c r="S26" s="800"/>
      <c r="T26" s="800"/>
      <c r="U26" s="800"/>
      <c r="V26" s="800"/>
      <c r="W26" s="800"/>
      <c r="X26" s="800"/>
      <c r="Y26" s="800"/>
      <c r="Z26" s="800"/>
      <c r="AA26" s="800"/>
      <c r="AB26" s="771"/>
      <c r="AE26" s="87"/>
      <c r="AF26" s="87"/>
      <c r="AG26" s="87"/>
      <c r="AH26" s="87"/>
      <c r="AI26" s="87"/>
      <c r="AJ26" s="87"/>
      <c r="AK26" s="87"/>
      <c r="AL26" s="87"/>
      <c r="AM26" s="87"/>
    </row>
    <row r="27" spans="1:39" ht="23.1" customHeight="1">
      <c r="A27" s="770"/>
      <c r="B27" s="800"/>
      <c r="C27" s="808"/>
      <c r="D27" s="88" t="s">
        <v>30</v>
      </c>
      <c r="E27" s="88" t="s">
        <v>31</v>
      </c>
      <c r="F27" s="88" t="s">
        <v>32</v>
      </c>
      <c r="G27" s="88" t="s">
        <v>8</v>
      </c>
      <c r="H27" s="88" t="s">
        <v>33</v>
      </c>
      <c r="I27" s="88" t="s">
        <v>34</v>
      </c>
      <c r="J27" s="88" t="s">
        <v>35</v>
      </c>
      <c r="K27" s="88" t="s">
        <v>36</v>
      </c>
      <c r="L27" s="88" t="s">
        <v>37</v>
      </c>
      <c r="M27" s="88" t="s">
        <v>38</v>
      </c>
      <c r="N27" s="88" t="s">
        <v>39</v>
      </c>
      <c r="O27" s="88" t="s">
        <v>40</v>
      </c>
      <c r="P27" s="88" t="s">
        <v>41</v>
      </c>
      <c r="Q27" s="795" t="s">
        <v>58</v>
      </c>
      <c r="R27" s="809"/>
      <c r="S27" s="809"/>
      <c r="T27" s="796"/>
      <c r="U27" s="795" t="s">
        <v>59</v>
      </c>
      <c r="V27" s="809"/>
      <c r="W27" s="809"/>
      <c r="X27" s="796"/>
      <c r="Y27" s="795" t="s">
        <v>60</v>
      </c>
      <c r="Z27" s="809"/>
      <c r="AA27" s="809"/>
      <c r="AB27" s="813"/>
      <c r="AE27" s="87"/>
      <c r="AF27" s="87"/>
      <c r="AG27" s="87"/>
      <c r="AH27" s="87"/>
      <c r="AI27" s="87"/>
      <c r="AJ27" s="87"/>
      <c r="AK27" s="87"/>
      <c r="AL27" s="87"/>
      <c r="AM27" s="87"/>
    </row>
    <row r="28" spans="1:39" ht="33" customHeight="1">
      <c r="A28" s="1012"/>
      <c r="B28" s="952"/>
      <c r="C28" s="90" t="s">
        <v>65</v>
      </c>
      <c r="D28" s="89"/>
      <c r="E28" s="89"/>
      <c r="F28" s="89"/>
      <c r="G28" s="89"/>
      <c r="H28" s="89"/>
      <c r="I28" s="89"/>
      <c r="J28" s="89"/>
      <c r="K28" s="89"/>
      <c r="L28" s="89"/>
      <c r="M28" s="89"/>
      <c r="N28" s="89"/>
      <c r="O28" s="89"/>
      <c r="P28" s="151">
        <f>SUM(D28:O28)</f>
        <v>0</v>
      </c>
      <c r="Q28" s="854" t="s">
        <v>180</v>
      </c>
      <c r="R28" s="855"/>
      <c r="S28" s="855"/>
      <c r="T28" s="856"/>
      <c r="U28" s="854" t="s">
        <v>181</v>
      </c>
      <c r="V28" s="855"/>
      <c r="W28" s="855"/>
      <c r="X28" s="856"/>
      <c r="Y28" s="854" t="s">
        <v>182</v>
      </c>
      <c r="Z28" s="855"/>
      <c r="AA28" s="855"/>
      <c r="AB28" s="860"/>
      <c r="AE28" s="87"/>
      <c r="AF28" s="87"/>
      <c r="AG28" s="87"/>
      <c r="AH28" s="87"/>
      <c r="AI28" s="87"/>
      <c r="AJ28" s="87"/>
      <c r="AK28" s="87"/>
      <c r="AL28" s="87"/>
      <c r="AM28" s="87"/>
    </row>
    <row r="29" spans="1:39" ht="33.950000000000003" customHeight="1" thickBot="1">
      <c r="A29" s="1013"/>
      <c r="B29" s="849"/>
      <c r="C29" s="91" t="s">
        <v>69</v>
      </c>
      <c r="D29" s="92"/>
      <c r="E29" s="92"/>
      <c r="F29" s="92"/>
      <c r="G29" s="93"/>
      <c r="H29" s="93"/>
      <c r="I29" s="93"/>
      <c r="J29" s="93"/>
      <c r="K29" s="93"/>
      <c r="L29" s="93"/>
      <c r="M29" s="93"/>
      <c r="N29" s="93"/>
      <c r="O29" s="93"/>
      <c r="P29" s="152">
        <f>SUM(D29:O29)</f>
        <v>0</v>
      </c>
      <c r="Q29" s="857"/>
      <c r="R29" s="858"/>
      <c r="S29" s="858"/>
      <c r="T29" s="859"/>
      <c r="U29" s="857"/>
      <c r="V29" s="858"/>
      <c r="W29" s="858"/>
      <c r="X29" s="859"/>
      <c r="Y29" s="857"/>
      <c r="Z29" s="858"/>
      <c r="AA29" s="858"/>
      <c r="AB29" s="861"/>
      <c r="AC29" s="49"/>
      <c r="AE29" s="87"/>
      <c r="AF29" s="87"/>
      <c r="AG29" s="87"/>
      <c r="AH29" s="87"/>
      <c r="AI29" s="87"/>
      <c r="AJ29" s="87"/>
      <c r="AK29" s="87"/>
      <c r="AL29" s="87"/>
      <c r="AM29" s="87"/>
    </row>
    <row r="30" spans="1:39" ht="26.1" customHeight="1">
      <c r="A30" s="783" t="s">
        <v>70</v>
      </c>
      <c r="B30" s="840" t="s">
        <v>71</v>
      </c>
      <c r="C30" s="842" t="s">
        <v>72</v>
      </c>
      <c r="D30" s="842"/>
      <c r="E30" s="842"/>
      <c r="F30" s="842"/>
      <c r="G30" s="842"/>
      <c r="H30" s="842"/>
      <c r="I30" s="842"/>
      <c r="J30" s="842"/>
      <c r="K30" s="842"/>
      <c r="L30" s="842"/>
      <c r="M30" s="842"/>
      <c r="N30" s="842"/>
      <c r="O30" s="842"/>
      <c r="P30" s="842"/>
      <c r="Q30" s="843" t="s">
        <v>73</v>
      </c>
      <c r="R30" s="844"/>
      <c r="S30" s="844"/>
      <c r="T30" s="844"/>
      <c r="U30" s="844"/>
      <c r="V30" s="844"/>
      <c r="W30" s="844"/>
      <c r="X30" s="844"/>
      <c r="Y30" s="844"/>
      <c r="Z30" s="844"/>
      <c r="AA30" s="844"/>
      <c r="AB30" s="845"/>
      <c r="AE30" s="87"/>
      <c r="AF30" s="87"/>
      <c r="AG30" s="87"/>
      <c r="AH30" s="87"/>
      <c r="AI30" s="87"/>
      <c r="AJ30" s="87"/>
      <c r="AK30" s="87"/>
      <c r="AL30" s="87"/>
      <c r="AM30" s="87"/>
    </row>
    <row r="31" spans="1:39" ht="26.1" customHeight="1">
      <c r="A31" s="770"/>
      <c r="B31" s="841"/>
      <c r="C31" s="88" t="s">
        <v>74</v>
      </c>
      <c r="D31" s="88" t="s">
        <v>75</v>
      </c>
      <c r="E31" s="88" t="s">
        <v>76</v>
      </c>
      <c r="F31" s="88" t="s">
        <v>77</v>
      </c>
      <c r="G31" s="88" t="s">
        <v>78</v>
      </c>
      <c r="H31" s="88" t="s">
        <v>79</v>
      </c>
      <c r="I31" s="88" t="s">
        <v>80</v>
      </c>
      <c r="J31" s="88" t="s">
        <v>81</v>
      </c>
      <c r="K31" s="88" t="s">
        <v>82</v>
      </c>
      <c r="L31" s="88" t="s">
        <v>83</v>
      </c>
      <c r="M31" s="88" t="s">
        <v>84</v>
      </c>
      <c r="N31" s="88" t="s">
        <v>85</v>
      </c>
      <c r="O31" s="88" t="s">
        <v>86</v>
      </c>
      <c r="P31" s="88" t="s">
        <v>87</v>
      </c>
      <c r="Q31" s="797" t="s">
        <v>88</v>
      </c>
      <c r="R31" s="798"/>
      <c r="S31" s="798"/>
      <c r="T31" s="798"/>
      <c r="U31" s="798"/>
      <c r="V31" s="798"/>
      <c r="W31" s="798"/>
      <c r="X31" s="798"/>
      <c r="Y31" s="798"/>
      <c r="Z31" s="798"/>
      <c r="AA31" s="798"/>
      <c r="AB31" s="846"/>
      <c r="AE31" s="94"/>
      <c r="AF31" s="94"/>
      <c r="AG31" s="94"/>
      <c r="AH31" s="94"/>
      <c r="AI31" s="94"/>
      <c r="AJ31" s="94"/>
      <c r="AK31" s="94"/>
      <c r="AL31" s="94"/>
      <c r="AM31" s="94"/>
    </row>
    <row r="32" spans="1:39" ht="28.5" customHeight="1">
      <c r="A32" s="1020"/>
      <c r="B32" s="1018"/>
      <c r="C32" s="90" t="s">
        <v>65</v>
      </c>
      <c r="D32" s="95"/>
      <c r="E32" s="95"/>
      <c r="F32" s="95"/>
      <c r="G32" s="95"/>
      <c r="H32" s="95"/>
      <c r="I32" s="95"/>
      <c r="J32" s="95"/>
      <c r="K32" s="95"/>
      <c r="L32" s="95"/>
      <c r="M32" s="95"/>
      <c r="N32" s="95"/>
      <c r="O32" s="95"/>
      <c r="P32" s="96">
        <f t="shared" ref="P32:P39" si="0">SUM(D32:O32)</f>
        <v>0</v>
      </c>
      <c r="Q32" s="991" t="s">
        <v>183</v>
      </c>
      <c r="R32" s="992"/>
      <c r="S32" s="992"/>
      <c r="T32" s="992"/>
      <c r="U32" s="992"/>
      <c r="V32" s="992"/>
      <c r="W32" s="992"/>
      <c r="X32" s="992"/>
      <c r="Y32" s="992"/>
      <c r="Z32" s="992"/>
      <c r="AA32" s="992"/>
      <c r="AB32" s="993"/>
      <c r="AC32" s="97"/>
      <c r="AE32" s="98"/>
      <c r="AF32" s="98"/>
      <c r="AG32" s="98"/>
      <c r="AH32" s="98"/>
      <c r="AI32" s="98"/>
      <c r="AJ32" s="98"/>
      <c r="AK32" s="98"/>
      <c r="AL32" s="98"/>
      <c r="AM32" s="98"/>
    </row>
    <row r="33" spans="1:29" ht="28.5" customHeight="1">
      <c r="A33" s="1021"/>
      <c r="B33" s="1019"/>
      <c r="C33" s="99" t="s">
        <v>69</v>
      </c>
      <c r="D33" s="100"/>
      <c r="E33" s="100"/>
      <c r="F33" s="100"/>
      <c r="G33" s="100"/>
      <c r="H33" s="100"/>
      <c r="I33" s="100"/>
      <c r="J33" s="100"/>
      <c r="K33" s="100"/>
      <c r="L33" s="100"/>
      <c r="M33" s="100"/>
      <c r="N33" s="100"/>
      <c r="O33" s="100"/>
      <c r="P33" s="101">
        <f t="shared" si="0"/>
        <v>0</v>
      </c>
      <c r="Q33" s="994"/>
      <c r="R33" s="995"/>
      <c r="S33" s="995"/>
      <c r="T33" s="995"/>
      <c r="U33" s="995"/>
      <c r="V33" s="995"/>
      <c r="W33" s="995"/>
      <c r="X33" s="995"/>
      <c r="Y33" s="995"/>
      <c r="Z33" s="995"/>
      <c r="AA33" s="995"/>
      <c r="AB33" s="996"/>
      <c r="AC33" s="97"/>
    </row>
    <row r="34" spans="1:29" ht="28.5" customHeight="1">
      <c r="A34" s="1021"/>
      <c r="B34" s="999"/>
      <c r="C34" s="102" t="s">
        <v>65</v>
      </c>
      <c r="D34" s="103"/>
      <c r="E34" s="103"/>
      <c r="F34" s="103"/>
      <c r="G34" s="103"/>
      <c r="H34" s="103"/>
      <c r="I34" s="103"/>
      <c r="J34" s="103"/>
      <c r="K34" s="103"/>
      <c r="L34" s="103"/>
      <c r="M34" s="103"/>
      <c r="N34" s="103"/>
      <c r="O34" s="103"/>
      <c r="P34" s="101">
        <f t="shared" si="0"/>
        <v>0</v>
      </c>
      <c r="Q34" s="974"/>
      <c r="R34" s="975"/>
      <c r="S34" s="975"/>
      <c r="T34" s="975"/>
      <c r="U34" s="975"/>
      <c r="V34" s="975"/>
      <c r="W34" s="975"/>
      <c r="X34" s="975"/>
      <c r="Y34" s="975"/>
      <c r="Z34" s="975"/>
      <c r="AA34" s="975"/>
      <c r="AB34" s="976"/>
      <c r="AC34" s="97"/>
    </row>
    <row r="35" spans="1:29" ht="28.5" customHeight="1">
      <c r="A35" s="1021"/>
      <c r="B35" s="1019"/>
      <c r="C35" s="99" t="s">
        <v>69</v>
      </c>
      <c r="D35" s="100"/>
      <c r="E35" s="100"/>
      <c r="F35" s="100"/>
      <c r="G35" s="100"/>
      <c r="H35" s="100"/>
      <c r="I35" s="100"/>
      <c r="J35" s="100"/>
      <c r="K35" s="100"/>
      <c r="L35" s="104"/>
      <c r="M35" s="104"/>
      <c r="N35" s="104"/>
      <c r="O35" s="104"/>
      <c r="P35" s="101">
        <f t="shared" si="0"/>
        <v>0</v>
      </c>
      <c r="Q35" s="977"/>
      <c r="R35" s="978"/>
      <c r="S35" s="978"/>
      <c r="T35" s="978"/>
      <c r="U35" s="978"/>
      <c r="V35" s="978"/>
      <c r="W35" s="978"/>
      <c r="X35" s="978"/>
      <c r="Y35" s="978"/>
      <c r="Z35" s="978"/>
      <c r="AA35" s="978"/>
      <c r="AB35" s="979"/>
      <c r="AC35" s="97"/>
    </row>
    <row r="36" spans="1:29" ht="28.5" customHeight="1">
      <c r="A36" s="1016"/>
      <c r="B36" s="999"/>
      <c r="C36" s="102" t="s">
        <v>65</v>
      </c>
      <c r="D36" s="103"/>
      <c r="E36" s="103"/>
      <c r="F36" s="103"/>
      <c r="G36" s="103"/>
      <c r="H36" s="103"/>
      <c r="I36" s="103"/>
      <c r="J36" s="103"/>
      <c r="K36" s="103"/>
      <c r="L36" s="103"/>
      <c r="M36" s="103"/>
      <c r="N36" s="103"/>
      <c r="O36" s="103"/>
      <c r="P36" s="101">
        <f t="shared" si="0"/>
        <v>0</v>
      </c>
      <c r="Q36" s="974"/>
      <c r="R36" s="975"/>
      <c r="S36" s="975"/>
      <c r="T36" s="975"/>
      <c r="U36" s="975"/>
      <c r="V36" s="975"/>
      <c r="W36" s="975"/>
      <c r="X36" s="975"/>
      <c r="Y36" s="975"/>
      <c r="Z36" s="975"/>
      <c r="AA36" s="975"/>
      <c r="AB36" s="976"/>
      <c r="AC36" s="97"/>
    </row>
    <row r="37" spans="1:29" ht="28.5" customHeight="1">
      <c r="A37" s="1017"/>
      <c r="B37" s="1019"/>
      <c r="C37" s="99" t="s">
        <v>69</v>
      </c>
      <c r="D37" s="100"/>
      <c r="E37" s="100"/>
      <c r="F37" s="100"/>
      <c r="G37" s="100"/>
      <c r="H37" s="100"/>
      <c r="I37" s="100"/>
      <c r="J37" s="100"/>
      <c r="K37" s="100"/>
      <c r="L37" s="104"/>
      <c r="M37" s="104"/>
      <c r="N37" s="104"/>
      <c r="O37" s="104"/>
      <c r="P37" s="101">
        <f t="shared" si="0"/>
        <v>0</v>
      </c>
      <c r="Q37" s="977"/>
      <c r="R37" s="978"/>
      <c r="S37" s="978"/>
      <c r="T37" s="978"/>
      <c r="U37" s="978"/>
      <c r="V37" s="978"/>
      <c r="W37" s="978"/>
      <c r="X37" s="978"/>
      <c r="Y37" s="978"/>
      <c r="Z37" s="978"/>
      <c r="AA37" s="978"/>
      <c r="AB37" s="979"/>
      <c r="AC37" s="97"/>
    </row>
    <row r="38" spans="1:29" ht="28.5" customHeight="1">
      <c r="A38" s="983"/>
      <c r="B38" s="999"/>
      <c r="C38" s="102" t="s">
        <v>65</v>
      </c>
      <c r="D38" s="103"/>
      <c r="E38" s="103"/>
      <c r="F38" s="103"/>
      <c r="G38" s="103"/>
      <c r="H38" s="103"/>
      <c r="I38" s="103"/>
      <c r="J38" s="103"/>
      <c r="K38" s="103"/>
      <c r="L38" s="103"/>
      <c r="M38" s="103"/>
      <c r="N38" s="103"/>
      <c r="O38" s="103"/>
      <c r="P38" s="101">
        <f t="shared" si="0"/>
        <v>0</v>
      </c>
      <c r="Q38" s="974"/>
      <c r="R38" s="975"/>
      <c r="S38" s="975"/>
      <c r="T38" s="975"/>
      <c r="U38" s="975"/>
      <c r="V38" s="975"/>
      <c r="W38" s="975"/>
      <c r="X38" s="975"/>
      <c r="Y38" s="975"/>
      <c r="Z38" s="975"/>
      <c r="AA38" s="975"/>
      <c r="AB38" s="976"/>
      <c r="AC38" s="97"/>
    </row>
    <row r="39" spans="1:29" ht="28.5" customHeight="1" thickBot="1">
      <c r="A39" s="984"/>
      <c r="B39" s="1000"/>
      <c r="C39" s="91" t="s">
        <v>69</v>
      </c>
      <c r="D39" s="105"/>
      <c r="E39" s="105"/>
      <c r="F39" s="105"/>
      <c r="G39" s="105"/>
      <c r="H39" s="105"/>
      <c r="I39" s="105"/>
      <c r="J39" s="105"/>
      <c r="K39" s="105"/>
      <c r="L39" s="106"/>
      <c r="M39" s="106"/>
      <c r="N39" s="106"/>
      <c r="O39" s="106"/>
      <c r="P39" s="107">
        <f t="shared" si="0"/>
        <v>0</v>
      </c>
      <c r="Q39" s="1001"/>
      <c r="R39" s="1002"/>
      <c r="S39" s="1002"/>
      <c r="T39" s="1002"/>
      <c r="U39" s="1002"/>
      <c r="V39" s="1002"/>
      <c r="W39" s="1002"/>
      <c r="X39" s="1002"/>
      <c r="Y39" s="1002"/>
      <c r="Z39" s="1002"/>
      <c r="AA39" s="1002"/>
      <c r="AB39" s="1003"/>
      <c r="AC39" s="97"/>
    </row>
    <row r="40" spans="1:29">
      <c r="A40" s="50" t="s">
        <v>95</v>
      </c>
    </row>
  </sheetData>
  <mergeCells count="86">
    <mergeCell ref="A36:A37"/>
    <mergeCell ref="B32:B33"/>
    <mergeCell ref="B30:B31"/>
    <mergeCell ref="B34:B35"/>
    <mergeCell ref="B36:B37"/>
    <mergeCell ref="A32:A33"/>
    <mergeCell ref="A30:A31"/>
    <mergeCell ref="A34:A35"/>
    <mergeCell ref="A28:A29"/>
    <mergeCell ref="A25:AB25"/>
    <mergeCell ref="D26:P26"/>
    <mergeCell ref="Q24:AB24"/>
    <mergeCell ref="B26:B27"/>
    <mergeCell ref="Q28:T29"/>
    <mergeCell ref="Y17:Z17"/>
    <mergeCell ref="AA17:AB17"/>
    <mergeCell ref="W17:X17"/>
    <mergeCell ref="B24:C24"/>
    <mergeCell ref="A26:A27"/>
    <mergeCell ref="C26:C27"/>
    <mergeCell ref="A22:A23"/>
    <mergeCell ref="Y19:Z19"/>
    <mergeCell ref="A1:A4"/>
    <mergeCell ref="Z2:AB2"/>
    <mergeCell ref="Z4:AB4"/>
    <mergeCell ref="R7:T9"/>
    <mergeCell ref="A15:B16"/>
    <mergeCell ref="A7:B9"/>
    <mergeCell ref="R11:V11"/>
    <mergeCell ref="AA7:AB7"/>
    <mergeCell ref="Y9:Z9"/>
    <mergeCell ref="Z3:AB3"/>
    <mergeCell ref="B3:Y4"/>
    <mergeCell ref="C7:K9"/>
    <mergeCell ref="Z1:AB1"/>
    <mergeCell ref="AA8:AB8"/>
    <mergeCell ref="AA9:AB9"/>
    <mergeCell ref="W11:X11"/>
    <mergeCell ref="A38:A39"/>
    <mergeCell ref="V13:Y13"/>
    <mergeCell ref="Q15:AB15"/>
    <mergeCell ref="AA13:AB13"/>
    <mergeCell ref="W19:X19"/>
    <mergeCell ref="Y27:AB27"/>
    <mergeCell ref="Q31:AB31"/>
    <mergeCell ref="Q32:AB33"/>
    <mergeCell ref="Q30:AB30"/>
    <mergeCell ref="C15:C16"/>
    <mergeCell ref="B38:B39"/>
    <mergeCell ref="C13:Q13"/>
    <mergeCell ref="Q22:AB23"/>
    <mergeCell ref="Q38:AB39"/>
    <mergeCell ref="U27:X27"/>
    <mergeCell ref="Q36:AB37"/>
    <mergeCell ref="B1:Y1"/>
    <mergeCell ref="Q34:AB35"/>
    <mergeCell ref="A21:AB21"/>
    <mergeCell ref="P22:P23"/>
    <mergeCell ref="C30:P30"/>
    <mergeCell ref="B2:Y2"/>
    <mergeCell ref="S13:T13"/>
    <mergeCell ref="Y11:AB11"/>
    <mergeCell ref="U28:X29"/>
    <mergeCell ref="Y28:AB29"/>
    <mergeCell ref="T18:V18"/>
    <mergeCell ref="D22:O22"/>
    <mergeCell ref="Q26:AB26"/>
    <mergeCell ref="Q27:T27"/>
    <mergeCell ref="Q16:V16"/>
    <mergeCell ref="M11:Q11"/>
    <mergeCell ref="Y8:Z8"/>
    <mergeCell ref="C12:Z12"/>
    <mergeCell ref="B28:B29"/>
    <mergeCell ref="B22:C23"/>
    <mergeCell ref="Y7:Z7"/>
    <mergeCell ref="W16:AB16"/>
    <mergeCell ref="U7:V9"/>
    <mergeCell ref="W7:X9"/>
    <mergeCell ref="A13:B13"/>
    <mergeCell ref="C11:K11"/>
    <mergeCell ref="A11:B11"/>
    <mergeCell ref="Q19:S19"/>
    <mergeCell ref="Q17:S17"/>
    <mergeCell ref="AA19:AB19"/>
    <mergeCell ref="T19:V19"/>
    <mergeCell ref="T17:V17"/>
  </mergeCells>
  <dataValidations count="2">
    <dataValidation type="textLength" operator="lessThanOrEqual" allowBlank="1" showInputMessage="1" showErrorMessage="1" errorTitle="Máximo 2.000 caracteres" error="Máximo 2.000 caracteres" promptTitle="2.000 caracteres" sqref="Q24:AB24" xr:uid="{00000000-0002-0000-0300-000000000000}">
      <formula1>2000</formula1>
    </dataValidation>
    <dataValidation type="textLength" operator="lessThanOrEqual" allowBlank="1" showInputMessage="1" showErrorMessage="1" errorTitle="Máximo 2.000 caracteres" error="Máximo 2.000 caracteres" sqref="Q32:AB39 Q28 U28 Y28" xr:uid="{00000000-0002-0000-0300-000001000000}">
      <formula1>2000</formula1>
    </dataValidation>
  </dataValidations>
  <pageMargins left="0" right="0" top="0" bottom="0" header="0" footer="0"/>
  <pageSetup paperSize="41" scale="48" fitToHeight="0" orientation="landscape"/>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97305-7402-4891-BB25-7BB6BC9A21AC}">
  <dimension ref="A1:CF106"/>
  <sheetViews>
    <sheetView topLeftCell="AV39" zoomScale="75" zoomScaleNormal="75" zoomScaleSheetLayoutView="40" workbookViewId="0">
      <selection activeCell="BS46" sqref="BS46"/>
    </sheetView>
  </sheetViews>
  <sheetFormatPr baseColWidth="10" defaultColWidth="19.42578125" defaultRowHeight="15"/>
  <cols>
    <col min="1" max="1" width="24" style="108" customWidth="1"/>
    <col min="2" max="2" width="10.42578125" style="108" customWidth="1"/>
    <col min="3" max="3" width="18.7109375" style="108" customWidth="1"/>
    <col min="4" max="4" width="13.28515625" style="108" bestFit="1" customWidth="1"/>
    <col min="5" max="5" width="18.7109375" style="108" bestFit="1" customWidth="1"/>
    <col min="6" max="6" width="10.85546875" style="108" customWidth="1"/>
    <col min="7" max="7" width="11.5703125" style="108" bestFit="1" customWidth="1"/>
    <col min="8" max="8" width="22.7109375" style="108" customWidth="1"/>
    <col min="9" max="9" width="10.85546875" style="108" customWidth="1"/>
    <col min="10" max="10" width="18.7109375" style="108" bestFit="1" customWidth="1"/>
    <col min="11" max="11" width="16.28515625" style="108" customWidth="1"/>
    <col min="12" max="12" width="18.7109375" style="108" customWidth="1"/>
    <col min="13" max="13" width="10.85546875" style="108" hidden="1" customWidth="1"/>
    <col min="14" max="14" width="12" style="108" hidden="1" customWidth="1"/>
    <col min="15" max="15" width="22.7109375" style="108" hidden="1" customWidth="1"/>
    <col min="16" max="16" width="10.85546875" style="108" hidden="1" customWidth="1"/>
    <col min="17" max="17" width="16.5703125" style="108" hidden="1" customWidth="1"/>
    <col min="18" max="18" width="13.7109375" style="108" hidden="1" customWidth="1"/>
    <col min="19" max="19" width="15.7109375" style="108" hidden="1" customWidth="1"/>
    <col min="20" max="20" width="10.85546875" style="108" hidden="1" customWidth="1"/>
    <col min="21" max="21" width="13" style="108" hidden="1" customWidth="1"/>
    <col min="22" max="22" width="22.7109375" style="108" hidden="1" customWidth="1"/>
    <col min="23" max="23" width="10.85546875" style="108" hidden="1" customWidth="1"/>
    <col min="24" max="24" width="18.7109375" style="108" hidden="1" customWidth="1"/>
    <col min="25" max="25" width="13.7109375" style="108" hidden="1" customWidth="1"/>
    <col min="26" max="26" width="18.7109375" style="108" hidden="1" customWidth="1"/>
    <col min="27" max="27" width="10.85546875" style="108" hidden="1" customWidth="1"/>
    <col min="28" max="28" width="8.140625" style="108" hidden="1" customWidth="1"/>
    <col min="29" max="29" width="16.140625" style="108" hidden="1" customWidth="1"/>
    <col min="30" max="30" width="8.140625" style="108" customWidth="1"/>
    <col min="31" max="31" width="25.140625" style="108" bestFit="1" customWidth="1"/>
    <col min="32" max="32" width="9.42578125" style="108" hidden="1" customWidth="1"/>
    <col min="33" max="33" width="8.140625" style="108" hidden="1" customWidth="1"/>
    <col min="34" max="38" width="7.85546875" style="108" hidden="1" customWidth="1"/>
    <col min="39" max="39" width="11.28515625" style="108" hidden="1" customWidth="1"/>
    <col min="40" max="40" width="2.28515625" style="108" hidden="1" customWidth="1"/>
    <col min="41" max="41" width="19.42578125" style="108" hidden="1" customWidth="1"/>
    <col min="42" max="42" width="11.28515625" style="108" hidden="1" customWidth="1"/>
    <col min="43" max="43" width="13.5703125" style="108" hidden="1" customWidth="1"/>
    <col min="44" max="44" width="3.140625" style="108" customWidth="1"/>
    <col min="45" max="45" width="24.140625" style="108" bestFit="1" customWidth="1"/>
    <col min="46" max="46" width="10.85546875" style="108" bestFit="1" customWidth="1"/>
    <col min="47" max="47" width="18.42578125" style="108" bestFit="1" customWidth="1"/>
    <col min="48" max="48" width="12.28515625" style="108" bestFit="1" customWidth="1"/>
    <col min="49" max="49" width="26.5703125" style="108" bestFit="1" customWidth="1"/>
    <col min="50" max="50" width="11.28515625" style="108" customWidth="1"/>
    <col min="51" max="51" width="11.85546875" style="108" customWidth="1"/>
    <col min="52" max="52" width="22.7109375" style="108" customWidth="1"/>
    <col min="53" max="53" width="18.7109375" style="108" bestFit="1" customWidth="1"/>
    <col min="54" max="54" width="18.7109375" style="108" customWidth="1"/>
    <col min="55" max="55" width="11.28515625" style="108" customWidth="1"/>
    <col min="56" max="56" width="13.28515625" style="108" bestFit="1" customWidth="1"/>
    <col min="57" max="66" width="11.28515625" style="108" hidden="1" customWidth="1"/>
    <col min="67" max="67" width="26.5703125" style="108" hidden="1" customWidth="1"/>
    <col min="68" max="70" width="8.85546875" style="108" hidden="1" customWidth="1"/>
    <col min="71" max="71" width="18" style="108" customWidth="1"/>
    <col min="72" max="72" width="27.7109375" style="108" customWidth="1"/>
    <col min="73" max="79" width="8.85546875" style="108" hidden="1" customWidth="1"/>
    <col min="80" max="84" width="0" style="108" hidden="1" customWidth="1"/>
    <col min="85" max="257" width="19.42578125" style="108"/>
    <col min="258" max="260" width="11" style="108" customWidth="1"/>
    <col min="261" max="261" width="16.140625" style="108" customWidth="1"/>
    <col min="262" max="262" width="12.42578125" style="108" customWidth="1"/>
    <col min="263" max="263" width="14.28515625" style="108" customWidth="1"/>
    <col min="264" max="264" width="12" style="108" customWidth="1"/>
    <col min="265" max="265" width="16.7109375" style="108" customWidth="1"/>
    <col min="266" max="266" width="12" style="108" customWidth="1"/>
    <col min="267" max="267" width="16.28515625" style="108" customWidth="1"/>
    <col min="268" max="268" width="12.28515625" style="108" customWidth="1"/>
    <col min="269" max="269" width="17.42578125" style="108" customWidth="1"/>
    <col min="270" max="270" width="12" style="108" customWidth="1"/>
    <col min="271" max="271" width="16.5703125" style="108" customWidth="1"/>
    <col min="272" max="272" width="13.28515625" style="108" customWidth="1"/>
    <col min="273" max="273" width="16.5703125" style="108" customWidth="1"/>
    <col min="274" max="274" width="13.7109375" style="108" customWidth="1"/>
    <col min="275" max="275" width="15.7109375" style="108" customWidth="1"/>
    <col min="276" max="276" width="12.5703125" style="108" customWidth="1"/>
    <col min="277" max="277" width="19.140625" style="108" customWidth="1"/>
    <col min="278" max="278" width="12.28515625" style="108" customWidth="1"/>
    <col min="279" max="279" width="17.140625" style="108" customWidth="1"/>
    <col min="280" max="280" width="12.5703125" style="108" customWidth="1"/>
    <col min="281" max="281" width="17.7109375" style="108" customWidth="1"/>
    <col min="282" max="282" width="12.140625" style="108" customWidth="1"/>
    <col min="283" max="283" width="30.5703125" style="108" customWidth="1"/>
    <col min="284" max="287" width="8.140625" style="108" customWidth="1"/>
    <col min="288" max="288" width="9.42578125" style="108" customWidth="1"/>
    <col min="289" max="289" width="8.140625" style="108" customWidth="1"/>
    <col min="290" max="294" width="7.85546875" style="108" customWidth="1"/>
    <col min="295" max="295" width="11.28515625" style="108" customWidth="1"/>
    <col min="296" max="296" width="2.28515625" style="108" customWidth="1"/>
    <col min="297" max="297" width="19.42578125" style="108"/>
    <col min="298" max="323" width="11.28515625" style="108" customWidth="1"/>
    <col min="324" max="335" width="8.85546875" style="108" customWidth="1"/>
    <col min="336" max="513" width="19.42578125" style="108"/>
    <col min="514" max="516" width="11" style="108" customWidth="1"/>
    <col min="517" max="517" width="16.140625" style="108" customWidth="1"/>
    <col min="518" max="518" width="12.42578125" style="108" customWidth="1"/>
    <col min="519" max="519" width="14.28515625" style="108" customWidth="1"/>
    <col min="520" max="520" width="12" style="108" customWidth="1"/>
    <col min="521" max="521" width="16.7109375" style="108" customWidth="1"/>
    <col min="522" max="522" width="12" style="108" customWidth="1"/>
    <col min="523" max="523" width="16.28515625" style="108" customWidth="1"/>
    <col min="524" max="524" width="12.28515625" style="108" customWidth="1"/>
    <col min="525" max="525" width="17.42578125" style="108" customWidth="1"/>
    <col min="526" max="526" width="12" style="108" customWidth="1"/>
    <col min="527" max="527" width="16.5703125" style="108" customWidth="1"/>
    <col min="528" max="528" width="13.28515625" style="108" customWidth="1"/>
    <col min="529" max="529" width="16.5703125" style="108" customWidth="1"/>
    <col min="530" max="530" width="13.7109375" style="108" customWidth="1"/>
    <col min="531" max="531" width="15.7109375" style="108" customWidth="1"/>
    <col min="532" max="532" width="12.5703125" style="108" customWidth="1"/>
    <col min="533" max="533" width="19.140625" style="108" customWidth="1"/>
    <col min="534" max="534" width="12.28515625" style="108" customWidth="1"/>
    <col min="535" max="535" width="17.140625" style="108" customWidth="1"/>
    <col min="536" max="536" width="12.5703125" style="108" customWidth="1"/>
    <col min="537" max="537" width="17.7109375" style="108" customWidth="1"/>
    <col min="538" max="538" width="12.140625" style="108" customWidth="1"/>
    <col min="539" max="539" width="30.5703125" style="108" customWidth="1"/>
    <col min="540" max="543" width="8.140625" style="108" customWidth="1"/>
    <col min="544" max="544" width="9.42578125" style="108" customWidth="1"/>
    <col min="545" max="545" width="8.140625" style="108" customWidth="1"/>
    <col min="546" max="550" width="7.85546875" style="108" customWidth="1"/>
    <col min="551" max="551" width="11.28515625" style="108" customWidth="1"/>
    <col min="552" max="552" width="2.28515625" style="108" customWidth="1"/>
    <col min="553" max="553" width="19.42578125" style="108"/>
    <col min="554" max="579" width="11.28515625" style="108" customWidth="1"/>
    <col min="580" max="591" width="8.85546875" style="108" customWidth="1"/>
    <col min="592" max="769" width="19.42578125" style="108"/>
    <col min="770" max="772" width="11" style="108" customWidth="1"/>
    <col min="773" max="773" width="16.140625" style="108" customWidth="1"/>
    <col min="774" max="774" width="12.42578125" style="108" customWidth="1"/>
    <col min="775" max="775" width="14.28515625" style="108" customWidth="1"/>
    <col min="776" max="776" width="12" style="108" customWidth="1"/>
    <col min="777" max="777" width="16.7109375" style="108" customWidth="1"/>
    <col min="778" max="778" width="12" style="108" customWidth="1"/>
    <col min="779" max="779" width="16.28515625" style="108" customWidth="1"/>
    <col min="780" max="780" width="12.28515625" style="108" customWidth="1"/>
    <col min="781" max="781" width="17.42578125" style="108" customWidth="1"/>
    <col min="782" max="782" width="12" style="108" customWidth="1"/>
    <col min="783" max="783" width="16.5703125" style="108" customWidth="1"/>
    <col min="784" max="784" width="13.28515625" style="108" customWidth="1"/>
    <col min="785" max="785" width="16.5703125" style="108" customWidth="1"/>
    <col min="786" max="786" width="13.7109375" style="108" customWidth="1"/>
    <col min="787" max="787" width="15.7109375" style="108" customWidth="1"/>
    <col min="788" max="788" width="12.5703125" style="108" customWidth="1"/>
    <col min="789" max="789" width="19.140625" style="108" customWidth="1"/>
    <col min="790" max="790" width="12.28515625" style="108" customWidth="1"/>
    <col min="791" max="791" width="17.140625" style="108" customWidth="1"/>
    <col min="792" max="792" width="12.5703125" style="108" customWidth="1"/>
    <col min="793" max="793" width="17.7109375" style="108" customWidth="1"/>
    <col min="794" max="794" width="12.140625" style="108" customWidth="1"/>
    <col min="795" max="795" width="30.5703125" style="108" customWidth="1"/>
    <col min="796" max="799" width="8.140625" style="108" customWidth="1"/>
    <col min="800" max="800" width="9.42578125" style="108" customWidth="1"/>
    <col min="801" max="801" width="8.140625" style="108" customWidth="1"/>
    <col min="802" max="806" width="7.85546875" style="108" customWidth="1"/>
    <col min="807" max="807" width="11.28515625" style="108" customWidth="1"/>
    <col min="808" max="808" width="2.28515625" style="108" customWidth="1"/>
    <col min="809" max="809" width="19.42578125" style="108"/>
    <col min="810" max="835" width="11.28515625" style="108" customWidth="1"/>
    <col min="836" max="847" width="8.85546875" style="108" customWidth="1"/>
    <col min="848" max="1025" width="19.42578125" style="108"/>
    <col min="1026" max="1028" width="11" style="108" customWidth="1"/>
    <col min="1029" max="1029" width="16.140625" style="108" customWidth="1"/>
    <col min="1030" max="1030" width="12.42578125" style="108" customWidth="1"/>
    <col min="1031" max="1031" width="14.28515625" style="108" customWidth="1"/>
    <col min="1032" max="1032" width="12" style="108" customWidth="1"/>
    <col min="1033" max="1033" width="16.7109375" style="108" customWidth="1"/>
    <col min="1034" max="1034" width="12" style="108" customWidth="1"/>
    <col min="1035" max="1035" width="16.28515625" style="108" customWidth="1"/>
    <col min="1036" max="1036" width="12.28515625" style="108" customWidth="1"/>
    <col min="1037" max="1037" width="17.42578125" style="108" customWidth="1"/>
    <col min="1038" max="1038" width="12" style="108" customWidth="1"/>
    <col min="1039" max="1039" width="16.5703125" style="108" customWidth="1"/>
    <col min="1040" max="1040" width="13.28515625" style="108" customWidth="1"/>
    <col min="1041" max="1041" width="16.5703125" style="108" customWidth="1"/>
    <col min="1042" max="1042" width="13.7109375" style="108" customWidth="1"/>
    <col min="1043" max="1043" width="15.7109375" style="108" customWidth="1"/>
    <col min="1044" max="1044" width="12.5703125" style="108" customWidth="1"/>
    <col min="1045" max="1045" width="19.140625" style="108" customWidth="1"/>
    <col min="1046" max="1046" width="12.28515625" style="108" customWidth="1"/>
    <col min="1047" max="1047" width="17.140625" style="108" customWidth="1"/>
    <col min="1048" max="1048" width="12.5703125" style="108" customWidth="1"/>
    <col min="1049" max="1049" width="17.7109375" style="108" customWidth="1"/>
    <col min="1050" max="1050" width="12.140625" style="108" customWidth="1"/>
    <col min="1051" max="1051" width="30.5703125" style="108" customWidth="1"/>
    <col min="1052" max="1055" width="8.140625" style="108" customWidth="1"/>
    <col min="1056" max="1056" width="9.42578125" style="108" customWidth="1"/>
    <col min="1057" max="1057" width="8.140625" style="108" customWidth="1"/>
    <col min="1058" max="1062" width="7.85546875" style="108" customWidth="1"/>
    <col min="1063" max="1063" width="11.28515625" style="108" customWidth="1"/>
    <col min="1064" max="1064" width="2.28515625" style="108" customWidth="1"/>
    <col min="1065" max="1065" width="19.42578125" style="108"/>
    <col min="1066" max="1091" width="11.28515625" style="108" customWidth="1"/>
    <col min="1092" max="1103" width="8.85546875" style="108" customWidth="1"/>
    <col min="1104" max="1281" width="19.42578125" style="108"/>
    <col min="1282" max="1284" width="11" style="108" customWidth="1"/>
    <col min="1285" max="1285" width="16.140625" style="108" customWidth="1"/>
    <col min="1286" max="1286" width="12.42578125" style="108" customWidth="1"/>
    <col min="1287" max="1287" width="14.28515625" style="108" customWidth="1"/>
    <col min="1288" max="1288" width="12" style="108" customWidth="1"/>
    <col min="1289" max="1289" width="16.7109375" style="108" customWidth="1"/>
    <col min="1290" max="1290" width="12" style="108" customWidth="1"/>
    <col min="1291" max="1291" width="16.28515625" style="108" customWidth="1"/>
    <col min="1292" max="1292" width="12.28515625" style="108" customWidth="1"/>
    <col min="1293" max="1293" width="17.42578125" style="108" customWidth="1"/>
    <col min="1294" max="1294" width="12" style="108" customWidth="1"/>
    <col min="1295" max="1295" width="16.5703125" style="108" customWidth="1"/>
    <col min="1296" max="1296" width="13.28515625" style="108" customWidth="1"/>
    <col min="1297" max="1297" width="16.5703125" style="108" customWidth="1"/>
    <col min="1298" max="1298" width="13.7109375" style="108" customWidth="1"/>
    <col min="1299" max="1299" width="15.7109375" style="108" customWidth="1"/>
    <col min="1300" max="1300" width="12.5703125" style="108" customWidth="1"/>
    <col min="1301" max="1301" width="19.140625" style="108" customWidth="1"/>
    <col min="1302" max="1302" width="12.28515625" style="108" customWidth="1"/>
    <col min="1303" max="1303" width="17.140625" style="108" customWidth="1"/>
    <col min="1304" max="1304" width="12.5703125" style="108" customWidth="1"/>
    <col min="1305" max="1305" width="17.7109375" style="108" customWidth="1"/>
    <col min="1306" max="1306" width="12.140625" style="108" customWidth="1"/>
    <col min="1307" max="1307" width="30.5703125" style="108" customWidth="1"/>
    <col min="1308" max="1311" width="8.140625" style="108" customWidth="1"/>
    <col min="1312" max="1312" width="9.42578125" style="108" customWidth="1"/>
    <col min="1313" max="1313" width="8.140625" style="108" customWidth="1"/>
    <col min="1314" max="1318" width="7.85546875" style="108" customWidth="1"/>
    <col min="1319" max="1319" width="11.28515625" style="108" customWidth="1"/>
    <col min="1320" max="1320" width="2.28515625" style="108" customWidth="1"/>
    <col min="1321" max="1321" width="19.42578125" style="108"/>
    <col min="1322" max="1347" width="11.28515625" style="108" customWidth="1"/>
    <col min="1348" max="1359" width="8.85546875" style="108" customWidth="1"/>
    <col min="1360" max="1537" width="19.42578125" style="108"/>
    <col min="1538" max="1540" width="11" style="108" customWidth="1"/>
    <col min="1541" max="1541" width="16.140625" style="108" customWidth="1"/>
    <col min="1542" max="1542" width="12.42578125" style="108" customWidth="1"/>
    <col min="1543" max="1543" width="14.28515625" style="108" customWidth="1"/>
    <col min="1544" max="1544" width="12" style="108" customWidth="1"/>
    <col min="1545" max="1545" width="16.7109375" style="108" customWidth="1"/>
    <col min="1546" max="1546" width="12" style="108" customWidth="1"/>
    <col min="1547" max="1547" width="16.28515625" style="108" customWidth="1"/>
    <col min="1548" max="1548" width="12.28515625" style="108" customWidth="1"/>
    <col min="1549" max="1549" width="17.42578125" style="108" customWidth="1"/>
    <col min="1550" max="1550" width="12" style="108" customWidth="1"/>
    <col min="1551" max="1551" width="16.5703125" style="108" customWidth="1"/>
    <col min="1552" max="1552" width="13.28515625" style="108" customWidth="1"/>
    <col min="1553" max="1553" width="16.5703125" style="108" customWidth="1"/>
    <col min="1554" max="1554" width="13.7109375" style="108" customWidth="1"/>
    <col min="1555" max="1555" width="15.7109375" style="108" customWidth="1"/>
    <col min="1556" max="1556" width="12.5703125" style="108" customWidth="1"/>
    <col min="1557" max="1557" width="19.140625" style="108" customWidth="1"/>
    <col min="1558" max="1558" width="12.28515625" style="108" customWidth="1"/>
    <col min="1559" max="1559" width="17.140625" style="108" customWidth="1"/>
    <col min="1560" max="1560" width="12.5703125" style="108" customWidth="1"/>
    <col min="1561" max="1561" width="17.7109375" style="108" customWidth="1"/>
    <col min="1562" max="1562" width="12.140625" style="108" customWidth="1"/>
    <col min="1563" max="1563" width="30.5703125" style="108" customWidth="1"/>
    <col min="1564" max="1567" width="8.140625" style="108" customWidth="1"/>
    <col min="1568" max="1568" width="9.42578125" style="108" customWidth="1"/>
    <col min="1569" max="1569" width="8.140625" style="108" customWidth="1"/>
    <col min="1570" max="1574" width="7.85546875" style="108" customWidth="1"/>
    <col min="1575" max="1575" width="11.28515625" style="108" customWidth="1"/>
    <col min="1576" max="1576" width="2.28515625" style="108" customWidth="1"/>
    <col min="1577" max="1577" width="19.42578125" style="108"/>
    <col min="1578" max="1603" width="11.28515625" style="108" customWidth="1"/>
    <col min="1604" max="1615" width="8.85546875" style="108" customWidth="1"/>
    <col min="1616" max="1793" width="19.42578125" style="108"/>
    <col min="1794" max="1796" width="11" style="108" customWidth="1"/>
    <col min="1797" max="1797" width="16.140625" style="108" customWidth="1"/>
    <col min="1798" max="1798" width="12.42578125" style="108" customWidth="1"/>
    <col min="1799" max="1799" width="14.28515625" style="108" customWidth="1"/>
    <col min="1800" max="1800" width="12" style="108" customWidth="1"/>
    <col min="1801" max="1801" width="16.7109375" style="108" customWidth="1"/>
    <col min="1802" max="1802" width="12" style="108" customWidth="1"/>
    <col min="1803" max="1803" width="16.28515625" style="108" customWidth="1"/>
    <col min="1804" max="1804" width="12.28515625" style="108" customWidth="1"/>
    <col min="1805" max="1805" width="17.42578125" style="108" customWidth="1"/>
    <col min="1806" max="1806" width="12" style="108" customWidth="1"/>
    <col min="1807" max="1807" width="16.5703125" style="108" customWidth="1"/>
    <col min="1808" max="1808" width="13.28515625" style="108" customWidth="1"/>
    <col min="1809" max="1809" width="16.5703125" style="108" customWidth="1"/>
    <col min="1810" max="1810" width="13.7109375" style="108" customWidth="1"/>
    <col min="1811" max="1811" width="15.7109375" style="108" customWidth="1"/>
    <col min="1812" max="1812" width="12.5703125" style="108" customWidth="1"/>
    <col min="1813" max="1813" width="19.140625" style="108" customWidth="1"/>
    <col min="1814" max="1814" width="12.28515625" style="108" customWidth="1"/>
    <col min="1815" max="1815" width="17.140625" style="108" customWidth="1"/>
    <col min="1816" max="1816" width="12.5703125" style="108" customWidth="1"/>
    <col min="1817" max="1817" width="17.7109375" style="108" customWidth="1"/>
    <col min="1818" max="1818" width="12.140625" style="108" customWidth="1"/>
    <col min="1819" max="1819" width="30.5703125" style="108" customWidth="1"/>
    <col min="1820" max="1823" width="8.140625" style="108" customWidth="1"/>
    <col min="1824" max="1824" width="9.42578125" style="108" customWidth="1"/>
    <col min="1825" max="1825" width="8.140625" style="108" customWidth="1"/>
    <col min="1826" max="1830" width="7.85546875" style="108" customWidth="1"/>
    <col min="1831" max="1831" width="11.28515625" style="108" customWidth="1"/>
    <col min="1832" max="1832" width="2.28515625" style="108" customWidth="1"/>
    <col min="1833" max="1833" width="19.42578125" style="108"/>
    <col min="1834" max="1859" width="11.28515625" style="108" customWidth="1"/>
    <col min="1860" max="1871" width="8.85546875" style="108" customWidth="1"/>
    <col min="1872" max="2049" width="19.42578125" style="108"/>
    <col min="2050" max="2052" width="11" style="108" customWidth="1"/>
    <col min="2053" max="2053" width="16.140625" style="108" customWidth="1"/>
    <col min="2054" max="2054" width="12.42578125" style="108" customWidth="1"/>
    <col min="2055" max="2055" width="14.28515625" style="108" customWidth="1"/>
    <col min="2056" max="2056" width="12" style="108" customWidth="1"/>
    <col min="2057" max="2057" width="16.7109375" style="108" customWidth="1"/>
    <col min="2058" max="2058" width="12" style="108" customWidth="1"/>
    <col min="2059" max="2059" width="16.28515625" style="108" customWidth="1"/>
    <col min="2060" max="2060" width="12.28515625" style="108" customWidth="1"/>
    <col min="2061" max="2061" width="17.42578125" style="108" customWidth="1"/>
    <col min="2062" max="2062" width="12" style="108" customWidth="1"/>
    <col min="2063" max="2063" width="16.5703125" style="108" customWidth="1"/>
    <col min="2064" max="2064" width="13.28515625" style="108" customWidth="1"/>
    <col min="2065" max="2065" width="16.5703125" style="108" customWidth="1"/>
    <col min="2066" max="2066" width="13.7109375" style="108" customWidth="1"/>
    <col min="2067" max="2067" width="15.7109375" style="108" customWidth="1"/>
    <col min="2068" max="2068" width="12.5703125" style="108" customWidth="1"/>
    <col min="2069" max="2069" width="19.140625" style="108" customWidth="1"/>
    <col min="2070" max="2070" width="12.28515625" style="108" customWidth="1"/>
    <col min="2071" max="2071" width="17.140625" style="108" customWidth="1"/>
    <col min="2072" max="2072" width="12.5703125" style="108" customWidth="1"/>
    <col min="2073" max="2073" width="17.7109375" style="108" customWidth="1"/>
    <col min="2074" max="2074" width="12.140625" style="108" customWidth="1"/>
    <col min="2075" max="2075" width="30.5703125" style="108" customWidth="1"/>
    <col min="2076" max="2079" width="8.140625" style="108" customWidth="1"/>
    <col min="2080" max="2080" width="9.42578125" style="108" customWidth="1"/>
    <col min="2081" max="2081" width="8.140625" style="108" customWidth="1"/>
    <col min="2082" max="2086" width="7.85546875" style="108" customWidth="1"/>
    <col min="2087" max="2087" width="11.28515625" style="108" customWidth="1"/>
    <col min="2088" max="2088" width="2.28515625" style="108" customWidth="1"/>
    <col min="2089" max="2089" width="19.42578125" style="108"/>
    <col min="2090" max="2115" width="11.28515625" style="108" customWidth="1"/>
    <col min="2116" max="2127" width="8.85546875" style="108" customWidth="1"/>
    <col min="2128" max="2305" width="19.42578125" style="108"/>
    <col min="2306" max="2308" width="11" style="108" customWidth="1"/>
    <col min="2309" max="2309" width="16.140625" style="108" customWidth="1"/>
    <col min="2310" max="2310" width="12.42578125" style="108" customWidth="1"/>
    <col min="2311" max="2311" width="14.28515625" style="108" customWidth="1"/>
    <col min="2312" max="2312" width="12" style="108" customWidth="1"/>
    <col min="2313" max="2313" width="16.7109375" style="108" customWidth="1"/>
    <col min="2314" max="2314" width="12" style="108" customWidth="1"/>
    <col min="2315" max="2315" width="16.28515625" style="108" customWidth="1"/>
    <col min="2316" max="2316" width="12.28515625" style="108" customWidth="1"/>
    <col min="2317" max="2317" width="17.42578125" style="108" customWidth="1"/>
    <col min="2318" max="2318" width="12" style="108" customWidth="1"/>
    <col min="2319" max="2319" width="16.5703125" style="108" customWidth="1"/>
    <col min="2320" max="2320" width="13.28515625" style="108" customWidth="1"/>
    <col min="2321" max="2321" width="16.5703125" style="108" customWidth="1"/>
    <col min="2322" max="2322" width="13.7109375" style="108" customWidth="1"/>
    <col min="2323" max="2323" width="15.7109375" style="108" customWidth="1"/>
    <col min="2324" max="2324" width="12.5703125" style="108" customWidth="1"/>
    <col min="2325" max="2325" width="19.140625" style="108" customWidth="1"/>
    <col min="2326" max="2326" width="12.28515625" style="108" customWidth="1"/>
    <col min="2327" max="2327" width="17.140625" style="108" customWidth="1"/>
    <col min="2328" max="2328" width="12.5703125" style="108" customWidth="1"/>
    <col min="2329" max="2329" width="17.7109375" style="108" customWidth="1"/>
    <col min="2330" max="2330" width="12.140625" style="108" customWidth="1"/>
    <col min="2331" max="2331" width="30.5703125" style="108" customWidth="1"/>
    <col min="2332" max="2335" width="8.140625" style="108" customWidth="1"/>
    <col min="2336" max="2336" width="9.42578125" style="108" customWidth="1"/>
    <col min="2337" max="2337" width="8.140625" style="108" customWidth="1"/>
    <col min="2338" max="2342" width="7.85546875" style="108" customWidth="1"/>
    <col min="2343" max="2343" width="11.28515625" style="108" customWidth="1"/>
    <col min="2344" max="2344" width="2.28515625" style="108" customWidth="1"/>
    <col min="2345" max="2345" width="19.42578125" style="108"/>
    <col min="2346" max="2371" width="11.28515625" style="108" customWidth="1"/>
    <col min="2372" max="2383" width="8.85546875" style="108" customWidth="1"/>
    <col min="2384" max="2561" width="19.42578125" style="108"/>
    <col min="2562" max="2564" width="11" style="108" customWidth="1"/>
    <col min="2565" max="2565" width="16.140625" style="108" customWidth="1"/>
    <col min="2566" max="2566" width="12.42578125" style="108" customWidth="1"/>
    <col min="2567" max="2567" width="14.28515625" style="108" customWidth="1"/>
    <col min="2568" max="2568" width="12" style="108" customWidth="1"/>
    <col min="2569" max="2569" width="16.7109375" style="108" customWidth="1"/>
    <col min="2570" max="2570" width="12" style="108" customWidth="1"/>
    <col min="2571" max="2571" width="16.28515625" style="108" customWidth="1"/>
    <col min="2572" max="2572" width="12.28515625" style="108" customWidth="1"/>
    <col min="2573" max="2573" width="17.42578125" style="108" customWidth="1"/>
    <col min="2574" max="2574" width="12" style="108" customWidth="1"/>
    <col min="2575" max="2575" width="16.5703125" style="108" customWidth="1"/>
    <col min="2576" max="2576" width="13.28515625" style="108" customWidth="1"/>
    <col min="2577" max="2577" width="16.5703125" style="108" customWidth="1"/>
    <col min="2578" max="2578" width="13.7109375" style="108" customWidth="1"/>
    <col min="2579" max="2579" width="15.7109375" style="108" customWidth="1"/>
    <col min="2580" max="2580" width="12.5703125" style="108" customWidth="1"/>
    <col min="2581" max="2581" width="19.140625" style="108" customWidth="1"/>
    <col min="2582" max="2582" width="12.28515625" style="108" customWidth="1"/>
    <col min="2583" max="2583" width="17.140625" style="108" customWidth="1"/>
    <col min="2584" max="2584" width="12.5703125" style="108" customWidth="1"/>
    <col min="2585" max="2585" width="17.7109375" style="108" customWidth="1"/>
    <col min="2586" max="2586" width="12.140625" style="108" customWidth="1"/>
    <col min="2587" max="2587" width="30.5703125" style="108" customWidth="1"/>
    <col min="2588" max="2591" width="8.140625" style="108" customWidth="1"/>
    <col min="2592" max="2592" width="9.42578125" style="108" customWidth="1"/>
    <col min="2593" max="2593" width="8.140625" style="108" customWidth="1"/>
    <col min="2594" max="2598" width="7.85546875" style="108" customWidth="1"/>
    <col min="2599" max="2599" width="11.28515625" style="108" customWidth="1"/>
    <col min="2600" max="2600" width="2.28515625" style="108" customWidth="1"/>
    <col min="2601" max="2601" width="19.42578125" style="108"/>
    <col min="2602" max="2627" width="11.28515625" style="108" customWidth="1"/>
    <col min="2628" max="2639" width="8.85546875" style="108" customWidth="1"/>
    <col min="2640" max="2817" width="19.42578125" style="108"/>
    <col min="2818" max="2820" width="11" style="108" customWidth="1"/>
    <col min="2821" max="2821" width="16.140625" style="108" customWidth="1"/>
    <col min="2822" max="2822" width="12.42578125" style="108" customWidth="1"/>
    <col min="2823" max="2823" width="14.28515625" style="108" customWidth="1"/>
    <col min="2824" max="2824" width="12" style="108" customWidth="1"/>
    <col min="2825" max="2825" width="16.7109375" style="108" customWidth="1"/>
    <col min="2826" max="2826" width="12" style="108" customWidth="1"/>
    <col min="2827" max="2827" width="16.28515625" style="108" customWidth="1"/>
    <col min="2828" max="2828" width="12.28515625" style="108" customWidth="1"/>
    <col min="2829" max="2829" width="17.42578125" style="108" customWidth="1"/>
    <col min="2830" max="2830" width="12" style="108" customWidth="1"/>
    <col min="2831" max="2831" width="16.5703125" style="108" customWidth="1"/>
    <col min="2832" max="2832" width="13.28515625" style="108" customWidth="1"/>
    <col min="2833" max="2833" width="16.5703125" style="108" customWidth="1"/>
    <col min="2834" max="2834" width="13.7109375" style="108" customWidth="1"/>
    <col min="2835" max="2835" width="15.7109375" style="108" customWidth="1"/>
    <col min="2836" max="2836" width="12.5703125" style="108" customWidth="1"/>
    <col min="2837" max="2837" width="19.140625" style="108" customWidth="1"/>
    <col min="2838" max="2838" width="12.28515625" style="108" customWidth="1"/>
    <col min="2839" max="2839" width="17.140625" style="108" customWidth="1"/>
    <col min="2840" max="2840" width="12.5703125" style="108" customWidth="1"/>
    <col min="2841" max="2841" width="17.7109375" style="108" customWidth="1"/>
    <col min="2842" max="2842" width="12.140625" style="108" customWidth="1"/>
    <col min="2843" max="2843" width="30.5703125" style="108" customWidth="1"/>
    <col min="2844" max="2847" width="8.140625" style="108" customWidth="1"/>
    <col min="2848" max="2848" width="9.42578125" style="108" customWidth="1"/>
    <col min="2849" max="2849" width="8.140625" style="108" customWidth="1"/>
    <col min="2850" max="2854" width="7.85546875" style="108" customWidth="1"/>
    <col min="2855" max="2855" width="11.28515625" style="108" customWidth="1"/>
    <col min="2856" max="2856" width="2.28515625" style="108" customWidth="1"/>
    <col min="2857" max="2857" width="19.42578125" style="108"/>
    <col min="2858" max="2883" width="11.28515625" style="108" customWidth="1"/>
    <col min="2884" max="2895" width="8.85546875" style="108" customWidth="1"/>
    <col min="2896" max="3073" width="19.42578125" style="108"/>
    <col min="3074" max="3076" width="11" style="108" customWidth="1"/>
    <col min="3077" max="3077" width="16.140625" style="108" customWidth="1"/>
    <col min="3078" max="3078" width="12.42578125" style="108" customWidth="1"/>
    <col min="3079" max="3079" width="14.28515625" style="108" customWidth="1"/>
    <col min="3080" max="3080" width="12" style="108" customWidth="1"/>
    <col min="3081" max="3081" width="16.7109375" style="108" customWidth="1"/>
    <col min="3082" max="3082" width="12" style="108" customWidth="1"/>
    <col min="3083" max="3083" width="16.28515625" style="108" customWidth="1"/>
    <col min="3084" max="3084" width="12.28515625" style="108" customWidth="1"/>
    <col min="3085" max="3085" width="17.42578125" style="108" customWidth="1"/>
    <col min="3086" max="3086" width="12" style="108" customWidth="1"/>
    <col min="3087" max="3087" width="16.5703125" style="108" customWidth="1"/>
    <col min="3088" max="3088" width="13.28515625" style="108" customWidth="1"/>
    <col min="3089" max="3089" width="16.5703125" style="108" customWidth="1"/>
    <col min="3090" max="3090" width="13.7109375" style="108" customWidth="1"/>
    <col min="3091" max="3091" width="15.7109375" style="108" customWidth="1"/>
    <col min="3092" max="3092" width="12.5703125" style="108" customWidth="1"/>
    <col min="3093" max="3093" width="19.140625" style="108" customWidth="1"/>
    <col min="3094" max="3094" width="12.28515625" style="108" customWidth="1"/>
    <col min="3095" max="3095" width="17.140625" style="108" customWidth="1"/>
    <col min="3096" max="3096" width="12.5703125" style="108" customWidth="1"/>
    <col min="3097" max="3097" width="17.7109375" style="108" customWidth="1"/>
    <col min="3098" max="3098" width="12.140625" style="108" customWidth="1"/>
    <col min="3099" max="3099" width="30.5703125" style="108" customWidth="1"/>
    <col min="3100" max="3103" width="8.140625" style="108" customWidth="1"/>
    <col min="3104" max="3104" width="9.42578125" style="108" customWidth="1"/>
    <col min="3105" max="3105" width="8.140625" style="108" customWidth="1"/>
    <col min="3106" max="3110" width="7.85546875" style="108" customWidth="1"/>
    <col min="3111" max="3111" width="11.28515625" style="108" customWidth="1"/>
    <col min="3112" max="3112" width="2.28515625" style="108" customWidth="1"/>
    <col min="3113" max="3113" width="19.42578125" style="108"/>
    <col min="3114" max="3139" width="11.28515625" style="108" customWidth="1"/>
    <col min="3140" max="3151" width="8.85546875" style="108" customWidth="1"/>
    <col min="3152" max="3329" width="19.42578125" style="108"/>
    <col min="3330" max="3332" width="11" style="108" customWidth="1"/>
    <col min="3333" max="3333" width="16.140625" style="108" customWidth="1"/>
    <col min="3334" max="3334" width="12.42578125" style="108" customWidth="1"/>
    <col min="3335" max="3335" width="14.28515625" style="108" customWidth="1"/>
    <col min="3336" max="3336" width="12" style="108" customWidth="1"/>
    <col min="3337" max="3337" width="16.7109375" style="108" customWidth="1"/>
    <col min="3338" max="3338" width="12" style="108" customWidth="1"/>
    <col min="3339" max="3339" width="16.28515625" style="108" customWidth="1"/>
    <col min="3340" max="3340" width="12.28515625" style="108" customWidth="1"/>
    <col min="3341" max="3341" width="17.42578125" style="108" customWidth="1"/>
    <col min="3342" max="3342" width="12" style="108" customWidth="1"/>
    <col min="3343" max="3343" width="16.5703125" style="108" customWidth="1"/>
    <col min="3344" max="3344" width="13.28515625" style="108" customWidth="1"/>
    <col min="3345" max="3345" width="16.5703125" style="108" customWidth="1"/>
    <col min="3346" max="3346" width="13.7109375" style="108" customWidth="1"/>
    <col min="3347" max="3347" width="15.7109375" style="108" customWidth="1"/>
    <col min="3348" max="3348" width="12.5703125" style="108" customWidth="1"/>
    <col min="3349" max="3349" width="19.140625" style="108" customWidth="1"/>
    <col min="3350" max="3350" width="12.28515625" style="108" customWidth="1"/>
    <col min="3351" max="3351" width="17.140625" style="108" customWidth="1"/>
    <col min="3352" max="3352" width="12.5703125" style="108" customWidth="1"/>
    <col min="3353" max="3353" width="17.7109375" style="108" customWidth="1"/>
    <col min="3354" max="3354" width="12.140625" style="108" customWidth="1"/>
    <col min="3355" max="3355" width="30.5703125" style="108" customWidth="1"/>
    <col min="3356" max="3359" width="8.140625" style="108" customWidth="1"/>
    <col min="3360" max="3360" width="9.42578125" style="108" customWidth="1"/>
    <col min="3361" max="3361" width="8.140625" style="108" customWidth="1"/>
    <col min="3362" max="3366" width="7.85546875" style="108" customWidth="1"/>
    <col min="3367" max="3367" width="11.28515625" style="108" customWidth="1"/>
    <col min="3368" max="3368" width="2.28515625" style="108" customWidth="1"/>
    <col min="3369" max="3369" width="19.42578125" style="108"/>
    <col min="3370" max="3395" width="11.28515625" style="108" customWidth="1"/>
    <col min="3396" max="3407" width="8.85546875" style="108" customWidth="1"/>
    <col min="3408" max="3585" width="19.42578125" style="108"/>
    <col min="3586" max="3588" width="11" style="108" customWidth="1"/>
    <col min="3589" max="3589" width="16.140625" style="108" customWidth="1"/>
    <col min="3590" max="3590" width="12.42578125" style="108" customWidth="1"/>
    <col min="3591" max="3591" width="14.28515625" style="108" customWidth="1"/>
    <col min="3592" max="3592" width="12" style="108" customWidth="1"/>
    <col min="3593" max="3593" width="16.7109375" style="108" customWidth="1"/>
    <col min="3594" max="3594" width="12" style="108" customWidth="1"/>
    <col min="3595" max="3595" width="16.28515625" style="108" customWidth="1"/>
    <col min="3596" max="3596" width="12.28515625" style="108" customWidth="1"/>
    <col min="3597" max="3597" width="17.42578125" style="108" customWidth="1"/>
    <col min="3598" max="3598" width="12" style="108" customWidth="1"/>
    <col min="3599" max="3599" width="16.5703125" style="108" customWidth="1"/>
    <col min="3600" max="3600" width="13.28515625" style="108" customWidth="1"/>
    <col min="3601" max="3601" width="16.5703125" style="108" customWidth="1"/>
    <col min="3602" max="3602" width="13.7109375" style="108" customWidth="1"/>
    <col min="3603" max="3603" width="15.7109375" style="108" customWidth="1"/>
    <col min="3604" max="3604" width="12.5703125" style="108" customWidth="1"/>
    <col min="3605" max="3605" width="19.140625" style="108" customWidth="1"/>
    <col min="3606" max="3606" width="12.28515625" style="108" customWidth="1"/>
    <col min="3607" max="3607" width="17.140625" style="108" customWidth="1"/>
    <col min="3608" max="3608" width="12.5703125" style="108" customWidth="1"/>
    <col min="3609" max="3609" width="17.7109375" style="108" customWidth="1"/>
    <col min="3610" max="3610" width="12.140625" style="108" customWidth="1"/>
    <col min="3611" max="3611" width="30.5703125" style="108" customWidth="1"/>
    <col min="3612" max="3615" width="8.140625" style="108" customWidth="1"/>
    <col min="3616" max="3616" width="9.42578125" style="108" customWidth="1"/>
    <col min="3617" max="3617" width="8.140625" style="108" customWidth="1"/>
    <col min="3618" max="3622" width="7.85546875" style="108" customWidth="1"/>
    <col min="3623" max="3623" width="11.28515625" style="108" customWidth="1"/>
    <col min="3624" max="3624" width="2.28515625" style="108" customWidth="1"/>
    <col min="3625" max="3625" width="19.42578125" style="108"/>
    <col min="3626" max="3651" width="11.28515625" style="108" customWidth="1"/>
    <col min="3652" max="3663" width="8.85546875" style="108" customWidth="1"/>
    <col min="3664" max="3841" width="19.42578125" style="108"/>
    <col min="3842" max="3844" width="11" style="108" customWidth="1"/>
    <col min="3845" max="3845" width="16.140625" style="108" customWidth="1"/>
    <col min="3846" max="3846" width="12.42578125" style="108" customWidth="1"/>
    <col min="3847" max="3847" width="14.28515625" style="108" customWidth="1"/>
    <col min="3848" max="3848" width="12" style="108" customWidth="1"/>
    <col min="3849" max="3849" width="16.7109375" style="108" customWidth="1"/>
    <col min="3850" max="3850" width="12" style="108" customWidth="1"/>
    <col min="3851" max="3851" width="16.28515625" style="108" customWidth="1"/>
    <col min="3852" max="3852" width="12.28515625" style="108" customWidth="1"/>
    <col min="3853" max="3853" width="17.42578125" style="108" customWidth="1"/>
    <col min="3854" max="3854" width="12" style="108" customWidth="1"/>
    <col min="3855" max="3855" width="16.5703125" style="108" customWidth="1"/>
    <col min="3856" max="3856" width="13.28515625" style="108" customWidth="1"/>
    <col min="3857" max="3857" width="16.5703125" style="108" customWidth="1"/>
    <col min="3858" max="3858" width="13.7109375" style="108" customWidth="1"/>
    <col min="3859" max="3859" width="15.7109375" style="108" customWidth="1"/>
    <col min="3860" max="3860" width="12.5703125" style="108" customWidth="1"/>
    <col min="3861" max="3861" width="19.140625" style="108" customWidth="1"/>
    <col min="3862" max="3862" width="12.28515625" style="108" customWidth="1"/>
    <col min="3863" max="3863" width="17.140625" style="108" customWidth="1"/>
    <col min="3864" max="3864" width="12.5703125" style="108" customWidth="1"/>
    <col min="3865" max="3865" width="17.7109375" style="108" customWidth="1"/>
    <col min="3866" max="3866" width="12.140625" style="108" customWidth="1"/>
    <col min="3867" max="3867" width="30.5703125" style="108" customWidth="1"/>
    <col min="3868" max="3871" width="8.140625" style="108" customWidth="1"/>
    <col min="3872" max="3872" width="9.42578125" style="108" customWidth="1"/>
    <col min="3873" max="3873" width="8.140625" style="108" customWidth="1"/>
    <col min="3874" max="3878" width="7.85546875" style="108" customWidth="1"/>
    <col min="3879" max="3879" width="11.28515625" style="108" customWidth="1"/>
    <col min="3880" max="3880" width="2.28515625" style="108" customWidth="1"/>
    <col min="3881" max="3881" width="19.42578125" style="108"/>
    <col min="3882" max="3907" width="11.28515625" style="108" customWidth="1"/>
    <col min="3908" max="3919" width="8.85546875" style="108" customWidth="1"/>
    <col min="3920" max="4097" width="19.42578125" style="108"/>
    <col min="4098" max="4100" width="11" style="108" customWidth="1"/>
    <col min="4101" max="4101" width="16.140625" style="108" customWidth="1"/>
    <col min="4102" max="4102" width="12.42578125" style="108" customWidth="1"/>
    <col min="4103" max="4103" width="14.28515625" style="108" customWidth="1"/>
    <col min="4104" max="4104" width="12" style="108" customWidth="1"/>
    <col min="4105" max="4105" width="16.7109375" style="108" customWidth="1"/>
    <col min="4106" max="4106" width="12" style="108" customWidth="1"/>
    <col min="4107" max="4107" width="16.28515625" style="108" customWidth="1"/>
    <col min="4108" max="4108" width="12.28515625" style="108" customWidth="1"/>
    <col min="4109" max="4109" width="17.42578125" style="108" customWidth="1"/>
    <col min="4110" max="4110" width="12" style="108" customWidth="1"/>
    <col min="4111" max="4111" width="16.5703125" style="108" customWidth="1"/>
    <col min="4112" max="4112" width="13.28515625" style="108" customWidth="1"/>
    <col min="4113" max="4113" width="16.5703125" style="108" customWidth="1"/>
    <col min="4114" max="4114" width="13.7109375" style="108" customWidth="1"/>
    <col min="4115" max="4115" width="15.7109375" style="108" customWidth="1"/>
    <col min="4116" max="4116" width="12.5703125" style="108" customWidth="1"/>
    <col min="4117" max="4117" width="19.140625" style="108" customWidth="1"/>
    <col min="4118" max="4118" width="12.28515625" style="108" customWidth="1"/>
    <col min="4119" max="4119" width="17.140625" style="108" customWidth="1"/>
    <col min="4120" max="4120" width="12.5703125" style="108" customWidth="1"/>
    <col min="4121" max="4121" width="17.7109375" style="108" customWidth="1"/>
    <col min="4122" max="4122" width="12.140625" style="108" customWidth="1"/>
    <col min="4123" max="4123" width="30.5703125" style="108" customWidth="1"/>
    <col min="4124" max="4127" width="8.140625" style="108" customWidth="1"/>
    <col min="4128" max="4128" width="9.42578125" style="108" customWidth="1"/>
    <col min="4129" max="4129" width="8.140625" style="108" customWidth="1"/>
    <col min="4130" max="4134" width="7.85546875" style="108" customWidth="1"/>
    <col min="4135" max="4135" width="11.28515625" style="108" customWidth="1"/>
    <col min="4136" max="4136" width="2.28515625" style="108" customWidth="1"/>
    <col min="4137" max="4137" width="19.42578125" style="108"/>
    <col min="4138" max="4163" width="11.28515625" style="108" customWidth="1"/>
    <col min="4164" max="4175" width="8.85546875" style="108" customWidth="1"/>
    <col min="4176" max="4353" width="19.42578125" style="108"/>
    <col min="4354" max="4356" width="11" style="108" customWidth="1"/>
    <col min="4357" max="4357" width="16.140625" style="108" customWidth="1"/>
    <col min="4358" max="4358" width="12.42578125" style="108" customWidth="1"/>
    <col min="4359" max="4359" width="14.28515625" style="108" customWidth="1"/>
    <col min="4360" max="4360" width="12" style="108" customWidth="1"/>
    <col min="4361" max="4361" width="16.7109375" style="108" customWidth="1"/>
    <col min="4362" max="4362" width="12" style="108" customWidth="1"/>
    <col min="4363" max="4363" width="16.28515625" style="108" customWidth="1"/>
    <col min="4364" max="4364" width="12.28515625" style="108" customWidth="1"/>
    <col min="4365" max="4365" width="17.42578125" style="108" customWidth="1"/>
    <col min="4366" max="4366" width="12" style="108" customWidth="1"/>
    <col min="4367" max="4367" width="16.5703125" style="108" customWidth="1"/>
    <col min="4368" max="4368" width="13.28515625" style="108" customWidth="1"/>
    <col min="4369" max="4369" width="16.5703125" style="108" customWidth="1"/>
    <col min="4370" max="4370" width="13.7109375" style="108" customWidth="1"/>
    <col min="4371" max="4371" width="15.7109375" style="108" customWidth="1"/>
    <col min="4372" max="4372" width="12.5703125" style="108" customWidth="1"/>
    <col min="4373" max="4373" width="19.140625" style="108" customWidth="1"/>
    <col min="4374" max="4374" width="12.28515625" style="108" customWidth="1"/>
    <col min="4375" max="4375" width="17.140625" style="108" customWidth="1"/>
    <col min="4376" max="4376" width="12.5703125" style="108" customWidth="1"/>
    <col min="4377" max="4377" width="17.7109375" style="108" customWidth="1"/>
    <col min="4378" max="4378" width="12.140625" style="108" customWidth="1"/>
    <col min="4379" max="4379" width="30.5703125" style="108" customWidth="1"/>
    <col min="4380" max="4383" width="8.140625" style="108" customWidth="1"/>
    <col min="4384" max="4384" width="9.42578125" style="108" customWidth="1"/>
    <col min="4385" max="4385" width="8.140625" style="108" customWidth="1"/>
    <col min="4386" max="4390" width="7.85546875" style="108" customWidth="1"/>
    <col min="4391" max="4391" width="11.28515625" style="108" customWidth="1"/>
    <col min="4392" max="4392" width="2.28515625" style="108" customWidth="1"/>
    <col min="4393" max="4393" width="19.42578125" style="108"/>
    <col min="4394" max="4419" width="11.28515625" style="108" customWidth="1"/>
    <col min="4420" max="4431" width="8.85546875" style="108" customWidth="1"/>
    <col min="4432" max="4609" width="19.42578125" style="108"/>
    <col min="4610" max="4612" width="11" style="108" customWidth="1"/>
    <col min="4613" max="4613" width="16.140625" style="108" customWidth="1"/>
    <col min="4614" max="4614" width="12.42578125" style="108" customWidth="1"/>
    <col min="4615" max="4615" width="14.28515625" style="108" customWidth="1"/>
    <col min="4616" max="4616" width="12" style="108" customWidth="1"/>
    <col min="4617" max="4617" width="16.7109375" style="108" customWidth="1"/>
    <col min="4618" max="4618" width="12" style="108" customWidth="1"/>
    <col min="4619" max="4619" width="16.28515625" style="108" customWidth="1"/>
    <col min="4620" max="4620" width="12.28515625" style="108" customWidth="1"/>
    <col min="4621" max="4621" width="17.42578125" style="108" customWidth="1"/>
    <col min="4622" max="4622" width="12" style="108" customWidth="1"/>
    <col min="4623" max="4623" width="16.5703125" style="108" customWidth="1"/>
    <col min="4624" max="4624" width="13.28515625" style="108" customWidth="1"/>
    <col min="4625" max="4625" width="16.5703125" style="108" customWidth="1"/>
    <col min="4626" max="4626" width="13.7109375" style="108" customWidth="1"/>
    <col min="4627" max="4627" width="15.7109375" style="108" customWidth="1"/>
    <col min="4628" max="4628" width="12.5703125" style="108" customWidth="1"/>
    <col min="4629" max="4629" width="19.140625" style="108" customWidth="1"/>
    <col min="4630" max="4630" width="12.28515625" style="108" customWidth="1"/>
    <col min="4631" max="4631" width="17.140625" style="108" customWidth="1"/>
    <col min="4632" max="4632" width="12.5703125" style="108" customWidth="1"/>
    <col min="4633" max="4633" width="17.7109375" style="108" customWidth="1"/>
    <col min="4634" max="4634" width="12.140625" style="108" customWidth="1"/>
    <col min="4635" max="4635" width="30.5703125" style="108" customWidth="1"/>
    <col min="4636" max="4639" width="8.140625" style="108" customWidth="1"/>
    <col min="4640" max="4640" width="9.42578125" style="108" customWidth="1"/>
    <col min="4641" max="4641" width="8.140625" style="108" customWidth="1"/>
    <col min="4642" max="4646" width="7.85546875" style="108" customWidth="1"/>
    <col min="4647" max="4647" width="11.28515625" style="108" customWidth="1"/>
    <col min="4648" max="4648" width="2.28515625" style="108" customWidth="1"/>
    <col min="4649" max="4649" width="19.42578125" style="108"/>
    <col min="4650" max="4675" width="11.28515625" style="108" customWidth="1"/>
    <col min="4676" max="4687" width="8.85546875" style="108" customWidth="1"/>
    <col min="4688" max="4865" width="19.42578125" style="108"/>
    <col min="4866" max="4868" width="11" style="108" customWidth="1"/>
    <col min="4869" max="4869" width="16.140625" style="108" customWidth="1"/>
    <col min="4870" max="4870" width="12.42578125" style="108" customWidth="1"/>
    <col min="4871" max="4871" width="14.28515625" style="108" customWidth="1"/>
    <col min="4872" max="4872" width="12" style="108" customWidth="1"/>
    <col min="4873" max="4873" width="16.7109375" style="108" customWidth="1"/>
    <col min="4874" max="4874" width="12" style="108" customWidth="1"/>
    <col min="4875" max="4875" width="16.28515625" style="108" customWidth="1"/>
    <col min="4876" max="4876" width="12.28515625" style="108" customWidth="1"/>
    <col min="4877" max="4877" width="17.42578125" style="108" customWidth="1"/>
    <col min="4878" max="4878" width="12" style="108" customWidth="1"/>
    <col min="4879" max="4879" width="16.5703125" style="108" customWidth="1"/>
    <col min="4880" max="4880" width="13.28515625" style="108" customWidth="1"/>
    <col min="4881" max="4881" width="16.5703125" style="108" customWidth="1"/>
    <col min="4882" max="4882" width="13.7109375" style="108" customWidth="1"/>
    <col min="4883" max="4883" width="15.7109375" style="108" customWidth="1"/>
    <col min="4884" max="4884" width="12.5703125" style="108" customWidth="1"/>
    <col min="4885" max="4885" width="19.140625" style="108" customWidth="1"/>
    <col min="4886" max="4886" width="12.28515625" style="108" customWidth="1"/>
    <col min="4887" max="4887" width="17.140625" style="108" customWidth="1"/>
    <col min="4888" max="4888" width="12.5703125" style="108" customWidth="1"/>
    <col min="4889" max="4889" width="17.7109375" style="108" customWidth="1"/>
    <col min="4890" max="4890" width="12.140625" style="108" customWidth="1"/>
    <col min="4891" max="4891" width="30.5703125" style="108" customWidth="1"/>
    <col min="4892" max="4895" width="8.140625" style="108" customWidth="1"/>
    <col min="4896" max="4896" width="9.42578125" style="108" customWidth="1"/>
    <col min="4897" max="4897" width="8.140625" style="108" customWidth="1"/>
    <col min="4898" max="4902" width="7.85546875" style="108" customWidth="1"/>
    <col min="4903" max="4903" width="11.28515625" style="108" customWidth="1"/>
    <col min="4904" max="4904" width="2.28515625" style="108" customWidth="1"/>
    <col min="4905" max="4905" width="19.42578125" style="108"/>
    <col min="4906" max="4931" width="11.28515625" style="108" customWidth="1"/>
    <col min="4932" max="4943" width="8.85546875" style="108" customWidth="1"/>
    <col min="4944" max="5121" width="19.42578125" style="108"/>
    <col min="5122" max="5124" width="11" style="108" customWidth="1"/>
    <col min="5125" max="5125" width="16.140625" style="108" customWidth="1"/>
    <col min="5126" max="5126" width="12.42578125" style="108" customWidth="1"/>
    <col min="5127" max="5127" width="14.28515625" style="108" customWidth="1"/>
    <col min="5128" max="5128" width="12" style="108" customWidth="1"/>
    <col min="5129" max="5129" width="16.7109375" style="108" customWidth="1"/>
    <col min="5130" max="5130" width="12" style="108" customWidth="1"/>
    <col min="5131" max="5131" width="16.28515625" style="108" customWidth="1"/>
    <col min="5132" max="5132" width="12.28515625" style="108" customWidth="1"/>
    <col min="5133" max="5133" width="17.42578125" style="108" customWidth="1"/>
    <col min="5134" max="5134" width="12" style="108" customWidth="1"/>
    <col min="5135" max="5135" width="16.5703125" style="108" customWidth="1"/>
    <col min="5136" max="5136" width="13.28515625" style="108" customWidth="1"/>
    <col min="5137" max="5137" width="16.5703125" style="108" customWidth="1"/>
    <col min="5138" max="5138" width="13.7109375" style="108" customWidth="1"/>
    <col min="5139" max="5139" width="15.7109375" style="108" customWidth="1"/>
    <col min="5140" max="5140" width="12.5703125" style="108" customWidth="1"/>
    <col min="5141" max="5141" width="19.140625" style="108" customWidth="1"/>
    <col min="5142" max="5142" width="12.28515625" style="108" customWidth="1"/>
    <col min="5143" max="5143" width="17.140625" style="108" customWidth="1"/>
    <col min="5144" max="5144" width="12.5703125" style="108" customWidth="1"/>
    <col min="5145" max="5145" width="17.7109375" style="108" customWidth="1"/>
    <col min="5146" max="5146" width="12.140625" style="108" customWidth="1"/>
    <col min="5147" max="5147" width="30.5703125" style="108" customWidth="1"/>
    <col min="5148" max="5151" width="8.140625" style="108" customWidth="1"/>
    <col min="5152" max="5152" width="9.42578125" style="108" customWidth="1"/>
    <col min="5153" max="5153" width="8.140625" style="108" customWidth="1"/>
    <col min="5154" max="5158" width="7.85546875" style="108" customWidth="1"/>
    <col min="5159" max="5159" width="11.28515625" style="108" customWidth="1"/>
    <col min="5160" max="5160" width="2.28515625" style="108" customWidth="1"/>
    <col min="5161" max="5161" width="19.42578125" style="108"/>
    <col min="5162" max="5187" width="11.28515625" style="108" customWidth="1"/>
    <col min="5188" max="5199" width="8.85546875" style="108" customWidth="1"/>
    <col min="5200" max="5377" width="19.42578125" style="108"/>
    <col min="5378" max="5380" width="11" style="108" customWidth="1"/>
    <col min="5381" max="5381" width="16.140625" style="108" customWidth="1"/>
    <col min="5382" max="5382" width="12.42578125" style="108" customWidth="1"/>
    <col min="5383" max="5383" width="14.28515625" style="108" customWidth="1"/>
    <col min="5384" max="5384" width="12" style="108" customWidth="1"/>
    <col min="5385" max="5385" width="16.7109375" style="108" customWidth="1"/>
    <col min="5386" max="5386" width="12" style="108" customWidth="1"/>
    <col min="5387" max="5387" width="16.28515625" style="108" customWidth="1"/>
    <col min="5388" max="5388" width="12.28515625" style="108" customWidth="1"/>
    <col min="5389" max="5389" width="17.42578125" style="108" customWidth="1"/>
    <col min="5390" max="5390" width="12" style="108" customWidth="1"/>
    <col min="5391" max="5391" width="16.5703125" style="108" customWidth="1"/>
    <col min="5392" max="5392" width="13.28515625" style="108" customWidth="1"/>
    <col min="5393" max="5393" width="16.5703125" style="108" customWidth="1"/>
    <col min="5394" max="5394" width="13.7109375" style="108" customWidth="1"/>
    <col min="5395" max="5395" width="15.7109375" style="108" customWidth="1"/>
    <col min="5396" max="5396" width="12.5703125" style="108" customWidth="1"/>
    <col min="5397" max="5397" width="19.140625" style="108" customWidth="1"/>
    <col min="5398" max="5398" width="12.28515625" style="108" customWidth="1"/>
    <col min="5399" max="5399" width="17.140625" style="108" customWidth="1"/>
    <col min="5400" max="5400" width="12.5703125" style="108" customWidth="1"/>
    <col min="5401" max="5401" width="17.7109375" style="108" customWidth="1"/>
    <col min="5402" max="5402" width="12.140625" style="108" customWidth="1"/>
    <col min="5403" max="5403" width="30.5703125" style="108" customWidth="1"/>
    <col min="5404" max="5407" width="8.140625" style="108" customWidth="1"/>
    <col min="5408" max="5408" width="9.42578125" style="108" customWidth="1"/>
    <col min="5409" max="5409" width="8.140625" style="108" customWidth="1"/>
    <col min="5410" max="5414" width="7.85546875" style="108" customWidth="1"/>
    <col min="5415" max="5415" width="11.28515625" style="108" customWidth="1"/>
    <col min="5416" max="5416" width="2.28515625" style="108" customWidth="1"/>
    <col min="5417" max="5417" width="19.42578125" style="108"/>
    <col min="5418" max="5443" width="11.28515625" style="108" customWidth="1"/>
    <col min="5444" max="5455" width="8.85546875" style="108" customWidth="1"/>
    <col min="5456" max="5633" width="19.42578125" style="108"/>
    <col min="5634" max="5636" width="11" style="108" customWidth="1"/>
    <col min="5637" max="5637" width="16.140625" style="108" customWidth="1"/>
    <col min="5638" max="5638" width="12.42578125" style="108" customWidth="1"/>
    <col min="5639" max="5639" width="14.28515625" style="108" customWidth="1"/>
    <col min="5640" max="5640" width="12" style="108" customWidth="1"/>
    <col min="5641" max="5641" width="16.7109375" style="108" customWidth="1"/>
    <col min="5642" max="5642" width="12" style="108" customWidth="1"/>
    <col min="5643" max="5643" width="16.28515625" style="108" customWidth="1"/>
    <col min="5644" max="5644" width="12.28515625" style="108" customWidth="1"/>
    <col min="5645" max="5645" width="17.42578125" style="108" customWidth="1"/>
    <col min="5646" max="5646" width="12" style="108" customWidth="1"/>
    <col min="5647" max="5647" width="16.5703125" style="108" customWidth="1"/>
    <col min="5648" max="5648" width="13.28515625" style="108" customWidth="1"/>
    <col min="5649" max="5649" width="16.5703125" style="108" customWidth="1"/>
    <col min="5650" max="5650" width="13.7109375" style="108" customWidth="1"/>
    <col min="5651" max="5651" width="15.7109375" style="108" customWidth="1"/>
    <col min="5652" max="5652" width="12.5703125" style="108" customWidth="1"/>
    <col min="5653" max="5653" width="19.140625" style="108" customWidth="1"/>
    <col min="5654" max="5654" width="12.28515625" style="108" customWidth="1"/>
    <col min="5655" max="5655" width="17.140625" style="108" customWidth="1"/>
    <col min="5656" max="5656" width="12.5703125" style="108" customWidth="1"/>
    <col min="5657" max="5657" width="17.7109375" style="108" customWidth="1"/>
    <col min="5658" max="5658" width="12.140625" style="108" customWidth="1"/>
    <col min="5659" max="5659" width="30.5703125" style="108" customWidth="1"/>
    <col min="5660" max="5663" width="8.140625" style="108" customWidth="1"/>
    <col min="5664" max="5664" width="9.42578125" style="108" customWidth="1"/>
    <col min="5665" max="5665" width="8.140625" style="108" customWidth="1"/>
    <col min="5666" max="5670" width="7.85546875" style="108" customWidth="1"/>
    <col min="5671" max="5671" width="11.28515625" style="108" customWidth="1"/>
    <col min="5672" max="5672" width="2.28515625" style="108" customWidth="1"/>
    <col min="5673" max="5673" width="19.42578125" style="108"/>
    <col min="5674" max="5699" width="11.28515625" style="108" customWidth="1"/>
    <col min="5700" max="5711" width="8.85546875" style="108" customWidth="1"/>
    <col min="5712" max="5889" width="19.42578125" style="108"/>
    <col min="5890" max="5892" width="11" style="108" customWidth="1"/>
    <col min="5893" max="5893" width="16.140625" style="108" customWidth="1"/>
    <col min="5894" max="5894" width="12.42578125" style="108" customWidth="1"/>
    <col min="5895" max="5895" width="14.28515625" style="108" customWidth="1"/>
    <col min="5896" max="5896" width="12" style="108" customWidth="1"/>
    <col min="5897" max="5897" width="16.7109375" style="108" customWidth="1"/>
    <col min="5898" max="5898" width="12" style="108" customWidth="1"/>
    <col min="5899" max="5899" width="16.28515625" style="108" customWidth="1"/>
    <col min="5900" max="5900" width="12.28515625" style="108" customWidth="1"/>
    <col min="5901" max="5901" width="17.42578125" style="108" customWidth="1"/>
    <col min="5902" max="5902" width="12" style="108" customWidth="1"/>
    <col min="5903" max="5903" width="16.5703125" style="108" customWidth="1"/>
    <col min="5904" max="5904" width="13.28515625" style="108" customWidth="1"/>
    <col min="5905" max="5905" width="16.5703125" style="108" customWidth="1"/>
    <col min="5906" max="5906" width="13.7109375" style="108" customWidth="1"/>
    <col min="5907" max="5907" width="15.7109375" style="108" customWidth="1"/>
    <col min="5908" max="5908" width="12.5703125" style="108" customWidth="1"/>
    <col min="5909" max="5909" width="19.140625" style="108" customWidth="1"/>
    <col min="5910" max="5910" width="12.28515625" style="108" customWidth="1"/>
    <col min="5911" max="5911" width="17.140625" style="108" customWidth="1"/>
    <col min="5912" max="5912" width="12.5703125" style="108" customWidth="1"/>
    <col min="5913" max="5913" width="17.7109375" style="108" customWidth="1"/>
    <col min="5914" max="5914" width="12.140625" style="108" customWidth="1"/>
    <col min="5915" max="5915" width="30.5703125" style="108" customWidth="1"/>
    <col min="5916" max="5919" width="8.140625" style="108" customWidth="1"/>
    <col min="5920" max="5920" width="9.42578125" style="108" customWidth="1"/>
    <col min="5921" max="5921" width="8.140625" style="108" customWidth="1"/>
    <col min="5922" max="5926" width="7.85546875" style="108" customWidth="1"/>
    <col min="5927" max="5927" width="11.28515625" style="108" customWidth="1"/>
    <col min="5928" max="5928" width="2.28515625" style="108" customWidth="1"/>
    <col min="5929" max="5929" width="19.42578125" style="108"/>
    <col min="5930" max="5955" width="11.28515625" style="108" customWidth="1"/>
    <col min="5956" max="5967" width="8.85546875" style="108" customWidth="1"/>
    <col min="5968" max="6145" width="19.42578125" style="108"/>
    <col min="6146" max="6148" width="11" style="108" customWidth="1"/>
    <col min="6149" max="6149" width="16.140625" style="108" customWidth="1"/>
    <col min="6150" max="6150" width="12.42578125" style="108" customWidth="1"/>
    <col min="6151" max="6151" width="14.28515625" style="108" customWidth="1"/>
    <col min="6152" max="6152" width="12" style="108" customWidth="1"/>
    <col min="6153" max="6153" width="16.7109375" style="108" customWidth="1"/>
    <col min="6154" max="6154" width="12" style="108" customWidth="1"/>
    <col min="6155" max="6155" width="16.28515625" style="108" customWidth="1"/>
    <col min="6156" max="6156" width="12.28515625" style="108" customWidth="1"/>
    <col min="6157" max="6157" width="17.42578125" style="108" customWidth="1"/>
    <col min="6158" max="6158" width="12" style="108" customWidth="1"/>
    <col min="6159" max="6159" width="16.5703125" style="108" customWidth="1"/>
    <col min="6160" max="6160" width="13.28515625" style="108" customWidth="1"/>
    <col min="6161" max="6161" width="16.5703125" style="108" customWidth="1"/>
    <col min="6162" max="6162" width="13.7109375" style="108" customWidth="1"/>
    <col min="6163" max="6163" width="15.7109375" style="108" customWidth="1"/>
    <col min="6164" max="6164" width="12.5703125" style="108" customWidth="1"/>
    <col min="6165" max="6165" width="19.140625" style="108" customWidth="1"/>
    <col min="6166" max="6166" width="12.28515625" style="108" customWidth="1"/>
    <col min="6167" max="6167" width="17.140625" style="108" customWidth="1"/>
    <col min="6168" max="6168" width="12.5703125" style="108" customWidth="1"/>
    <col min="6169" max="6169" width="17.7109375" style="108" customWidth="1"/>
    <col min="6170" max="6170" width="12.140625" style="108" customWidth="1"/>
    <col min="6171" max="6171" width="30.5703125" style="108" customWidth="1"/>
    <col min="6172" max="6175" width="8.140625" style="108" customWidth="1"/>
    <col min="6176" max="6176" width="9.42578125" style="108" customWidth="1"/>
    <col min="6177" max="6177" width="8.140625" style="108" customWidth="1"/>
    <col min="6178" max="6182" width="7.85546875" style="108" customWidth="1"/>
    <col min="6183" max="6183" width="11.28515625" style="108" customWidth="1"/>
    <col min="6184" max="6184" width="2.28515625" style="108" customWidth="1"/>
    <col min="6185" max="6185" width="19.42578125" style="108"/>
    <col min="6186" max="6211" width="11.28515625" style="108" customWidth="1"/>
    <col min="6212" max="6223" width="8.85546875" style="108" customWidth="1"/>
    <col min="6224" max="6401" width="19.42578125" style="108"/>
    <col min="6402" max="6404" width="11" style="108" customWidth="1"/>
    <col min="6405" max="6405" width="16.140625" style="108" customWidth="1"/>
    <col min="6406" max="6406" width="12.42578125" style="108" customWidth="1"/>
    <col min="6407" max="6407" width="14.28515625" style="108" customWidth="1"/>
    <col min="6408" max="6408" width="12" style="108" customWidth="1"/>
    <col min="6409" max="6409" width="16.7109375" style="108" customWidth="1"/>
    <col min="6410" max="6410" width="12" style="108" customWidth="1"/>
    <col min="6411" max="6411" width="16.28515625" style="108" customWidth="1"/>
    <col min="6412" max="6412" width="12.28515625" style="108" customWidth="1"/>
    <col min="6413" max="6413" width="17.42578125" style="108" customWidth="1"/>
    <col min="6414" max="6414" width="12" style="108" customWidth="1"/>
    <col min="6415" max="6415" width="16.5703125" style="108" customWidth="1"/>
    <col min="6416" max="6416" width="13.28515625" style="108" customWidth="1"/>
    <col min="6417" max="6417" width="16.5703125" style="108" customWidth="1"/>
    <col min="6418" max="6418" width="13.7109375" style="108" customWidth="1"/>
    <col min="6419" max="6419" width="15.7109375" style="108" customWidth="1"/>
    <col min="6420" max="6420" width="12.5703125" style="108" customWidth="1"/>
    <col min="6421" max="6421" width="19.140625" style="108" customWidth="1"/>
    <col min="6422" max="6422" width="12.28515625" style="108" customWidth="1"/>
    <col min="6423" max="6423" width="17.140625" style="108" customWidth="1"/>
    <col min="6424" max="6424" width="12.5703125" style="108" customWidth="1"/>
    <col min="6425" max="6425" width="17.7109375" style="108" customWidth="1"/>
    <col min="6426" max="6426" width="12.140625" style="108" customWidth="1"/>
    <col min="6427" max="6427" width="30.5703125" style="108" customWidth="1"/>
    <col min="6428" max="6431" width="8.140625" style="108" customWidth="1"/>
    <col min="6432" max="6432" width="9.42578125" style="108" customWidth="1"/>
    <col min="6433" max="6433" width="8.140625" style="108" customWidth="1"/>
    <col min="6434" max="6438" width="7.85546875" style="108" customWidth="1"/>
    <col min="6439" max="6439" width="11.28515625" style="108" customWidth="1"/>
    <col min="6440" max="6440" width="2.28515625" style="108" customWidth="1"/>
    <col min="6441" max="6441" width="19.42578125" style="108"/>
    <col min="6442" max="6467" width="11.28515625" style="108" customWidth="1"/>
    <col min="6468" max="6479" width="8.85546875" style="108" customWidth="1"/>
    <col min="6480" max="6657" width="19.42578125" style="108"/>
    <col min="6658" max="6660" width="11" style="108" customWidth="1"/>
    <col min="6661" max="6661" width="16.140625" style="108" customWidth="1"/>
    <col min="6662" max="6662" width="12.42578125" style="108" customWidth="1"/>
    <col min="6663" max="6663" width="14.28515625" style="108" customWidth="1"/>
    <col min="6664" max="6664" width="12" style="108" customWidth="1"/>
    <col min="6665" max="6665" width="16.7109375" style="108" customWidth="1"/>
    <col min="6666" max="6666" width="12" style="108" customWidth="1"/>
    <col min="6667" max="6667" width="16.28515625" style="108" customWidth="1"/>
    <col min="6668" max="6668" width="12.28515625" style="108" customWidth="1"/>
    <col min="6669" max="6669" width="17.42578125" style="108" customWidth="1"/>
    <col min="6670" max="6670" width="12" style="108" customWidth="1"/>
    <col min="6671" max="6671" width="16.5703125" style="108" customWidth="1"/>
    <col min="6672" max="6672" width="13.28515625" style="108" customWidth="1"/>
    <col min="6673" max="6673" width="16.5703125" style="108" customWidth="1"/>
    <col min="6674" max="6674" width="13.7109375" style="108" customWidth="1"/>
    <col min="6675" max="6675" width="15.7109375" style="108" customWidth="1"/>
    <col min="6676" max="6676" width="12.5703125" style="108" customWidth="1"/>
    <col min="6677" max="6677" width="19.140625" style="108" customWidth="1"/>
    <col min="6678" max="6678" width="12.28515625" style="108" customWidth="1"/>
    <col min="6679" max="6679" width="17.140625" style="108" customWidth="1"/>
    <col min="6680" max="6680" width="12.5703125" style="108" customWidth="1"/>
    <col min="6681" max="6681" width="17.7109375" style="108" customWidth="1"/>
    <col min="6682" max="6682" width="12.140625" style="108" customWidth="1"/>
    <col min="6683" max="6683" width="30.5703125" style="108" customWidth="1"/>
    <col min="6684" max="6687" width="8.140625" style="108" customWidth="1"/>
    <col min="6688" max="6688" width="9.42578125" style="108" customWidth="1"/>
    <col min="6689" max="6689" width="8.140625" style="108" customWidth="1"/>
    <col min="6690" max="6694" width="7.85546875" style="108" customWidth="1"/>
    <col min="6695" max="6695" width="11.28515625" style="108" customWidth="1"/>
    <col min="6696" max="6696" width="2.28515625" style="108" customWidth="1"/>
    <col min="6697" max="6697" width="19.42578125" style="108"/>
    <col min="6698" max="6723" width="11.28515625" style="108" customWidth="1"/>
    <col min="6724" max="6735" width="8.85546875" style="108" customWidth="1"/>
    <col min="6736" max="6913" width="19.42578125" style="108"/>
    <col min="6914" max="6916" width="11" style="108" customWidth="1"/>
    <col min="6917" max="6917" width="16.140625" style="108" customWidth="1"/>
    <col min="6918" max="6918" width="12.42578125" style="108" customWidth="1"/>
    <col min="6919" max="6919" width="14.28515625" style="108" customWidth="1"/>
    <col min="6920" max="6920" width="12" style="108" customWidth="1"/>
    <col min="6921" max="6921" width="16.7109375" style="108" customWidth="1"/>
    <col min="6922" max="6922" width="12" style="108" customWidth="1"/>
    <col min="6923" max="6923" width="16.28515625" style="108" customWidth="1"/>
    <col min="6924" max="6924" width="12.28515625" style="108" customWidth="1"/>
    <col min="6925" max="6925" width="17.42578125" style="108" customWidth="1"/>
    <col min="6926" max="6926" width="12" style="108" customWidth="1"/>
    <col min="6927" max="6927" width="16.5703125" style="108" customWidth="1"/>
    <col min="6928" max="6928" width="13.28515625" style="108" customWidth="1"/>
    <col min="6929" max="6929" width="16.5703125" style="108" customWidth="1"/>
    <col min="6930" max="6930" width="13.7109375" style="108" customWidth="1"/>
    <col min="6931" max="6931" width="15.7109375" style="108" customWidth="1"/>
    <col min="6932" max="6932" width="12.5703125" style="108" customWidth="1"/>
    <col min="6933" max="6933" width="19.140625" style="108" customWidth="1"/>
    <col min="6934" max="6934" width="12.28515625" style="108" customWidth="1"/>
    <col min="6935" max="6935" width="17.140625" style="108" customWidth="1"/>
    <col min="6936" max="6936" width="12.5703125" style="108" customWidth="1"/>
    <col min="6937" max="6937" width="17.7109375" style="108" customWidth="1"/>
    <col min="6938" max="6938" width="12.140625" style="108" customWidth="1"/>
    <col min="6939" max="6939" width="30.5703125" style="108" customWidth="1"/>
    <col min="6940" max="6943" width="8.140625" style="108" customWidth="1"/>
    <col min="6944" max="6944" width="9.42578125" style="108" customWidth="1"/>
    <col min="6945" max="6945" width="8.140625" style="108" customWidth="1"/>
    <col min="6946" max="6950" width="7.85546875" style="108" customWidth="1"/>
    <col min="6951" max="6951" width="11.28515625" style="108" customWidth="1"/>
    <col min="6952" max="6952" width="2.28515625" style="108" customWidth="1"/>
    <col min="6953" max="6953" width="19.42578125" style="108"/>
    <col min="6954" max="6979" width="11.28515625" style="108" customWidth="1"/>
    <col min="6980" max="6991" width="8.85546875" style="108" customWidth="1"/>
    <col min="6992" max="7169" width="19.42578125" style="108"/>
    <col min="7170" max="7172" width="11" style="108" customWidth="1"/>
    <col min="7173" max="7173" width="16.140625" style="108" customWidth="1"/>
    <col min="7174" max="7174" width="12.42578125" style="108" customWidth="1"/>
    <col min="7175" max="7175" width="14.28515625" style="108" customWidth="1"/>
    <col min="7176" max="7176" width="12" style="108" customWidth="1"/>
    <col min="7177" max="7177" width="16.7109375" style="108" customWidth="1"/>
    <col min="7178" max="7178" width="12" style="108" customWidth="1"/>
    <col min="7179" max="7179" width="16.28515625" style="108" customWidth="1"/>
    <col min="7180" max="7180" width="12.28515625" style="108" customWidth="1"/>
    <col min="7181" max="7181" width="17.42578125" style="108" customWidth="1"/>
    <col min="7182" max="7182" width="12" style="108" customWidth="1"/>
    <col min="7183" max="7183" width="16.5703125" style="108" customWidth="1"/>
    <col min="7184" max="7184" width="13.28515625" style="108" customWidth="1"/>
    <col min="7185" max="7185" width="16.5703125" style="108" customWidth="1"/>
    <col min="7186" max="7186" width="13.7109375" style="108" customWidth="1"/>
    <col min="7187" max="7187" width="15.7109375" style="108" customWidth="1"/>
    <col min="7188" max="7188" width="12.5703125" style="108" customWidth="1"/>
    <col min="7189" max="7189" width="19.140625" style="108" customWidth="1"/>
    <col min="7190" max="7190" width="12.28515625" style="108" customWidth="1"/>
    <col min="7191" max="7191" width="17.140625" style="108" customWidth="1"/>
    <col min="7192" max="7192" width="12.5703125" style="108" customWidth="1"/>
    <col min="7193" max="7193" width="17.7109375" style="108" customWidth="1"/>
    <col min="7194" max="7194" width="12.140625" style="108" customWidth="1"/>
    <col min="7195" max="7195" width="30.5703125" style="108" customWidth="1"/>
    <col min="7196" max="7199" width="8.140625" style="108" customWidth="1"/>
    <col min="7200" max="7200" width="9.42578125" style="108" customWidth="1"/>
    <col min="7201" max="7201" width="8.140625" style="108" customWidth="1"/>
    <col min="7202" max="7206" width="7.85546875" style="108" customWidth="1"/>
    <col min="7207" max="7207" width="11.28515625" style="108" customWidth="1"/>
    <col min="7208" max="7208" width="2.28515625" style="108" customWidth="1"/>
    <col min="7209" max="7209" width="19.42578125" style="108"/>
    <col min="7210" max="7235" width="11.28515625" style="108" customWidth="1"/>
    <col min="7236" max="7247" width="8.85546875" style="108" customWidth="1"/>
    <col min="7248" max="7425" width="19.42578125" style="108"/>
    <col min="7426" max="7428" width="11" style="108" customWidth="1"/>
    <col min="7429" max="7429" width="16.140625" style="108" customWidth="1"/>
    <col min="7430" max="7430" width="12.42578125" style="108" customWidth="1"/>
    <col min="7431" max="7431" width="14.28515625" style="108" customWidth="1"/>
    <col min="7432" max="7432" width="12" style="108" customWidth="1"/>
    <col min="7433" max="7433" width="16.7109375" style="108" customWidth="1"/>
    <col min="7434" max="7434" width="12" style="108" customWidth="1"/>
    <col min="7435" max="7435" width="16.28515625" style="108" customWidth="1"/>
    <col min="7436" max="7436" width="12.28515625" style="108" customWidth="1"/>
    <col min="7437" max="7437" width="17.42578125" style="108" customWidth="1"/>
    <col min="7438" max="7438" width="12" style="108" customWidth="1"/>
    <col min="7439" max="7439" width="16.5703125" style="108" customWidth="1"/>
    <col min="7440" max="7440" width="13.28515625" style="108" customWidth="1"/>
    <col min="7441" max="7441" width="16.5703125" style="108" customWidth="1"/>
    <col min="7442" max="7442" width="13.7109375" style="108" customWidth="1"/>
    <col min="7443" max="7443" width="15.7109375" style="108" customWidth="1"/>
    <col min="7444" max="7444" width="12.5703125" style="108" customWidth="1"/>
    <col min="7445" max="7445" width="19.140625" style="108" customWidth="1"/>
    <col min="7446" max="7446" width="12.28515625" style="108" customWidth="1"/>
    <col min="7447" max="7447" width="17.140625" style="108" customWidth="1"/>
    <col min="7448" max="7448" width="12.5703125" style="108" customWidth="1"/>
    <col min="7449" max="7449" width="17.7109375" style="108" customWidth="1"/>
    <col min="7450" max="7450" width="12.140625" style="108" customWidth="1"/>
    <col min="7451" max="7451" width="30.5703125" style="108" customWidth="1"/>
    <col min="7452" max="7455" width="8.140625" style="108" customWidth="1"/>
    <col min="7456" max="7456" width="9.42578125" style="108" customWidth="1"/>
    <col min="7457" max="7457" width="8.140625" style="108" customWidth="1"/>
    <col min="7458" max="7462" width="7.85546875" style="108" customWidth="1"/>
    <col min="7463" max="7463" width="11.28515625" style="108" customWidth="1"/>
    <col min="7464" max="7464" width="2.28515625" style="108" customWidth="1"/>
    <col min="7465" max="7465" width="19.42578125" style="108"/>
    <col min="7466" max="7491" width="11.28515625" style="108" customWidth="1"/>
    <col min="7492" max="7503" width="8.85546875" style="108" customWidth="1"/>
    <col min="7504" max="7681" width="19.42578125" style="108"/>
    <col min="7682" max="7684" width="11" style="108" customWidth="1"/>
    <col min="7685" max="7685" width="16.140625" style="108" customWidth="1"/>
    <col min="7686" max="7686" width="12.42578125" style="108" customWidth="1"/>
    <col min="7687" max="7687" width="14.28515625" style="108" customWidth="1"/>
    <col min="7688" max="7688" width="12" style="108" customWidth="1"/>
    <col min="7689" max="7689" width="16.7109375" style="108" customWidth="1"/>
    <col min="7690" max="7690" width="12" style="108" customWidth="1"/>
    <col min="7691" max="7691" width="16.28515625" style="108" customWidth="1"/>
    <col min="7692" max="7692" width="12.28515625" style="108" customWidth="1"/>
    <col min="7693" max="7693" width="17.42578125" style="108" customWidth="1"/>
    <col min="7694" max="7694" width="12" style="108" customWidth="1"/>
    <col min="7695" max="7695" width="16.5703125" style="108" customWidth="1"/>
    <col min="7696" max="7696" width="13.28515625" style="108" customWidth="1"/>
    <col min="7697" max="7697" width="16.5703125" style="108" customWidth="1"/>
    <col min="7698" max="7698" width="13.7109375" style="108" customWidth="1"/>
    <col min="7699" max="7699" width="15.7109375" style="108" customWidth="1"/>
    <col min="7700" max="7700" width="12.5703125" style="108" customWidth="1"/>
    <col min="7701" max="7701" width="19.140625" style="108" customWidth="1"/>
    <col min="7702" max="7702" width="12.28515625" style="108" customWidth="1"/>
    <col min="7703" max="7703" width="17.140625" style="108" customWidth="1"/>
    <col min="7704" max="7704" width="12.5703125" style="108" customWidth="1"/>
    <col min="7705" max="7705" width="17.7109375" style="108" customWidth="1"/>
    <col min="7706" max="7706" width="12.140625" style="108" customWidth="1"/>
    <col min="7707" max="7707" width="30.5703125" style="108" customWidth="1"/>
    <col min="7708" max="7711" width="8.140625" style="108" customWidth="1"/>
    <col min="7712" max="7712" width="9.42578125" style="108" customWidth="1"/>
    <col min="7713" max="7713" width="8.140625" style="108" customWidth="1"/>
    <col min="7714" max="7718" width="7.85546875" style="108" customWidth="1"/>
    <col min="7719" max="7719" width="11.28515625" style="108" customWidth="1"/>
    <col min="7720" max="7720" width="2.28515625" style="108" customWidth="1"/>
    <col min="7721" max="7721" width="19.42578125" style="108"/>
    <col min="7722" max="7747" width="11.28515625" style="108" customWidth="1"/>
    <col min="7748" max="7759" width="8.85546875" style="108" customWidth="1"/>
    <col min="7760" max="7937" width="19.42578125" style="108"/>
    <col min="7938" max="7940" width="11" style="108" customWidth="1"/>
    <col min="7941" max="7941" width="16.140625" style="108" customWidth="1"/>
    <col min="7942" max="7942" width="12.42578125" style="108" customWidth="1"/>
    <col min="7943" max="7943" width="14.28515625" style="108" customWidth="1"/>
    <col min="7944" max="7944" width="12" style="108" customWidth="1"/>
    <col min="7945" max="7945" width="16.7109375" style="108" customWidth="1"/>
    <col min="7946" max="7946" width="12" style="108" customWidth="1"/>
    <col min="7947" max="7947" width="16.28515625" style="108" customWidth="1"/>
    <col min="7948" max="7948" width="12.28515625" style="108" customWidth="1"/>
    <col min="7949" max="7949" width="17.42578125" style="108" customWidth="1"/>
    <col min="7950" max="7950" width="12" style="108" customWidth="1"/>
    <col min="7951" max="7951" width="16.5703125" style="108" customWidth="1"/>
    <col min="7952" max="7952" width="13.28515625" style="108" customWidth="1"/>
    <col min="7953" max="7953" width="16.5703125" style="108" customWidth="1"/>
    <col min="7954" max="7954" width="13.7109375" style="108" customWidth="1"/>
    <col min="7955" max="7955" width="15.7109375" style="108" customWidth="1"/>
    <col min="7956" max="7956" width="12.5703125" style="108" customWidth="1"/>
    <col min="7957" max="7957" width="19.140625" style="108" customWidth="1"/>
    <col min="7958" max="7958" width="12.28515625" style="108" customWidth="1"/>
    <col min="7959" max="7959" width="17.140625" style="108" customWidth="1"/>
    <col min="7960" max="7960" width="12.5703125" style="108" customWidth="1"/>
    <col min="7961" max="7961" width="17.7109375" style="108" customWidth="1"/>
    <col min="7962" max="7962" width="12.140625" style="108" customWidth="1"/>
    <col min="7963" max="7963" width="30.5703125" style="108" customWidth="1"/>
    <col min="7964" max="7967" width="8.140625" style="108" customWidth="1"/>
    <col min="7968" max="7968" width="9.42578125" style="108" customWidth="1"/>
    <col min="7969" max="7969" width="8.140625" style="108" customWidth="1"/>
    <col min="7970" max="7974" width="7.85546875" style="108" customWidth="1"/>
    <col min="7975" max="7975" width="11.28515625" style="108" customWidth="1"/>
    <col min="7976" max="7976" width="2.28515625" style="108" customWidth="1"/>
    <col min="7977" max="7977" width="19.42578125" style="108"/>
    <col min="7978" max="8003" width="11.28515625" style="108" customWidth="1"/>
    <col min="8004" max="8015" width="8.85546875" style="108" customWidth="1"/>
    <col min="8016" max="8193" width="19.42578125" style="108"/>
    <col min="8194" max="8196" width="11" style="108" customWidth="1"/>
    <col min="8197" max="8197" width="16.140625" style="108" customWidth="1"/>
    <col min="8198" max="8198" width="12.42578125" style="108" customWidth="1"/>
    <col min="8199" max="8199" width="14.28515625" style="108" customWidth="1"/>
    <col min="8200" max="8200" width="12" style="108" customWidth="1"/>
    <col min="8201" max="8201" width="16.7109375" style="108" customWidth="1"/>
    <col min="8202" max="8202" width="12" style="108" customWidth="1"/>
    <col min="8203" max="8203" width="16.28515625" style="108" customWidth="1"/>
    <col min="8204" max="8204" width="12.28515625" style="108" customWidth="1"/>
    <col min="8205" max="8205" width="17.42578125" style="108" customWidth="1"/>
    <col min="8206" max="8206" width="12" style="108" customWidth="1"/>
    <col min="8207" max="8207" width="16.5703125" style="108" customWidth="1"/>
    <col min="8208" max="8208" width="13.28515625" style="108" customWidth="1"/>
    <col min="8209" max="8209" width="16.5703125" style="108" customWidth="1"/>
    <col min="8210" max="8210" width="13.7109375" style="108" customWidth="1"/>
    <col min="8211" max="8211" width="15.7109375" style="108" customWidth="1"/>
    <col min="8212" max="8212" width="12.5703125" style="108" customWidth="1"/>
    <col min="8213" max="8213" width="19.140625" style="108" customWidth="1"/>
    <col min="8214" max="8214" width="12.28515625" style="108" customWidth="1"/>
    <col min="8215" max="8215" width="17.140625" style="108" customWidth="1"/>
    <col min="8216" max="8216" width="12.5703125" style="108" customWidth="1"/>
    <col min="8217" max="8217" width="17.7109375" style="108" customWidth="1"/>
    <col min="8218" max="8218" width="12.140625" style="108" customWidth="1"/>
    <col min="8219" max="8219" width="30.5703125" style="108" customWidth="1"/>
    <col min="8220" max="8223" width="8.140625" style="108" customWidth="1"/>
    <col min="8224" max="8224" width="9.42578125" style="108" customWidth="1"/>
    <col min="8225" max="8225" width="8.140625" style="108" customWidth="1"/>
    <col min="8226" max="8230" width="7.85546875" style="108" customWidth="1"/>
    <col min="8231" max="8231" width="11.28515625" style="108" customWidth="1"/>
    <col min="8232" max="8232" width="2.28515625" style="108" customWidth="1"/>
    <col min="8233" max="8233" width="19.42578125" style="108"/>
    <col min="8234" max="8259" width="11.28515625" style="108" customWidth="1"/>
    <col min="8260" max="8271" width="8.85546875" style="108" customWidth="1"/>
    <col min="8272" max="8449" width="19.42578125" style="108"/>
    <col min="8450" max="8452" width="11" style="108" customWidth="1"/>
    <col min="8453" max="8453" width="16.140625" style="108" customWidth="1"/>
    <col min="8454" max="8454" width="12.42578125" style="108" customWidth="1"/>
    <col min="8455" max="8455" width="14.28515625" style="108" customWidth="1"/>
    <col min="8456" max="8456" width="12" style="108" customWidth="1"/>
    <col min="8457" max="8457" width="16.7109375" style="108" customWidth="1"/>
    <col min="8458" max="8458" width="12" style="108" customWidth="1"/>
    <col min="8459" max="8459" width="16.28515625" style="108" customWidth="1"/>
    <col min="8460" max="8460" width="12.28515625" style="108" customWidth="1"/>
    <col min="8461" max="8461" width="17.42578125" style="108" customWidth="1"/>
    <col min="8462" max="8462" width="12" style="108" customWidth="1"/>
    <col min="8463" max="8463" width="16.5703125" style="108" customWidth="1"/>
    <col min="8464" max="8464" width="13.28515625" style="108" customWidth="1"/>
    <col min="8465" max="8465" width="16.5703125" style="108" customWidth="1"/>
    <col min="8466" max="8466" width="13.7109375" style="108" customWidth="1"/>
    <col min="8467" max="8467" width="15.7109375" style="108" customWidth="1"/>
    <col min="8468" max="8468" width="12.5703125" style="108" customWidth="1"/>
    <col min="8469" max="8469" width="19.140625" style="108" customWidth="1"/>
    <col min="8470" max="8470" width="12.28515625" style="108" customWidth="1"/>
    <col min="8471" max="8471" width="17.140625" style="108" customWidth="1"/>
    <col min="8472" max="8472" width="12.5703125" style="108" customWidth="1"/>
    <col min="8473" max="8473" width="17.7109375" style="108" customWidth="1"/>
    <col min="8474" max="8474" width="12.140625" style="108" customWidth="1"/>
    <col min="8475" max="8475" width="30.5703125" style="108" customWidth="1"/>
    <col min="8476" max="8479" width="8.140625" style="108" customWidth="1"/>
    <col min="8480" max="8480" width="9.42578125" style="108" customWidth="1"/>
    <col min="8481" max="8481" width="8.140625" style="108" customWidth="1"/>
    <col min="8482" max="8486" width="7.85546875" style="108" customWidth="1"/>
    <col min="8487" max="8487" width="11.28515625" style="108" customWidth="1"/>
    <col min="8488" max="8488" width="2.28515625" style="108" customWidth="1"/>
    <col min="8489" max="8489" width="19.42578125" style="108"/>
    <col min="8490" max="8515" width="11.28515625" style="108" customWidth="1"/>
    <col min="8516" max="8527" width="8.85546875" style="108" customWidth="1"/>
    <col min="8528" max="8705" width="19.42578125" style="108"/>
    <col min="8706" max="8708" width="11" style="108" customWidth="1"/>
    <col min="8709" max="8709" width="16.140625" style="108" customWidth="1"/>
    <col min="8710" max="8710" width="12.42578125" style="108" customWidth="1"/>
    <col min="8711" max="8711" width="14.28515625" style="108" customWidth="1"/>
    <col min="8712" max="8712" width="12" style="108" customWidth="1"/>
    <col min="8713" max="8713" width="16.7109375" style="108" customWidth="1"/>
    <col min="8714" max="8714" width="12" style="108" customWidth="1"/>
    <col min="8715" max="8715" width="16.28515625" style="108" customWidth="1"/>
    <col min="8716" max="8716" width="12.28515625" style="108" customWidth="1"/>
    <col min="8717" max="8717" width="17.42578125" style="108" customWidth="1"/>
    <col min="8718" max="8718" width="12" style="108" customWidth="1"/>
    <col min="8719" max="8719" width="16.5703125" style="108" customWidth="1"/>
    <col min="8720" max="8720" width="13.28515625" style="108" customWidth="1"/>
    <col min="8721" max="8721" width="16.5703125" style="108" customWidth="1"/>
    <col min="8722" max="8722" width="13.7109375" style="108" customWidth="1"/>
    <col min="8723" max="8723" width="15.7109375" style="108" customWidth="1"/>
    <col min="8724" max="8724" width="12.5703125" style="108" customWidth="1"/>
    <col min="8725" max="8725" width="19.140625" style="108" customWidth="1"/>
    <col min="8726" max="8726" width="12.28515625" style="108" customWidth="1"/>
    <col min="8727" max="8727" width="17.140625" style="108" customWidth="1"/>
    <col min="8728" max="8728" width="12.5703125" style="108" customWidth="1"/>
    <col min="8729" max="8729" width="17.7109375" style="108" customWidth="1"/>
    <col min="8730" max="8730" width="12.140625" style="108" customWidth="1"/>
    <col min="8731" max="8731" width="30.5703125" style="108" customWidth="1"/>
    <col min="8732" max="8735" width="8.140625" style="108" customWidth="1"/>
    <col min="8736" max="8736" width="9.42578125" style="108" customWidth="1"/>
    <col min="8737" max="8737" width="8.140625" style="108" customWidth="1"/>
    <col min="8738" max="8742" width="7.85546875" style="108" customWidth="1"/>
    <col min="8743" max="8743" width="11.28515625" style="108" customWidth="1"/>
    <col min="8744" max="8744" width="2.28515625" style="108" customWidth="1"/>
    <col min="8745" max="8745" width="19.42578125" style="108"/>
    <col min="8746" max="8771" width="11.28515625" style="108" customWidth="1"/>
    <col min="8772" max="8783" width="8.85546875" style="108" customWidth="1"/>
    <col min="8784" max="8961" width="19.42578125" style="108"/>
    <col min="8962" max="8964" width="11" style="108" customWidth="1"/>
    <col min="8965" max="8965" width="16.140625" style="108" customWidth="1"/>
    <col min="8966" max="8966" width="12.42578125" style="108" customWidth="1"/>
    <col min="8967" max="8967" width="14.28515625" style="108" customWidth="1"/>
    <col min="8968" max="8968" width="12" style="108" customWidth="1"/>
    <col min="8969" max="8969" width="16.7109375" style="108" customWidth="1"/>
    <col min="8970" max="8970" width="12" style="108" customWidth="1"/>
    <col min="8971" max="8971" width="16.28515625" style="108" customWidth="1"/>
    <col min="8972" max="8972" width="12.28515625" style="108" customWidth="1"/>
    <col min="8973" max="8973" width="17.42578125" style="108" customWidth="1"/>
    <col min="8974" max="8974" width="12" style="108" customWidth="1"/>
    <col min="8975" max="8975" width="16.5703125" style="108" customWidth="1"/>
    <col min="8976" max="8976" width="13.28515625" style="108" customWidth="1"/>
    <col min="8977" max="8977" width="16.5703125" style="108" customWidth="1"/>
    <col min="8978" max="8978" width="13.7109375" style="108" customWidth="1"/>
    <col min="8979" max="8979" width="15.7109375" style="108" customWidth="1"/>
    <col min="8980" max="8980" width="12.5703125" style="108" customWidth="1"/>
    <col min="8981" max="8981" width="19.140625" style="108" customWidth="1"/>
    <col min="8982" max="8982" width="12.28515625" style="108" customWidth="1"/>
    <col min="8983" max="8983" width="17.140625" style="108" customWidth="1"/>
    <col min="8984" max="8984" width="12.5703125" style="108" customWidth="1"/>
    <col min="8985" max="8985" width="17.7109375" style="108" customWidth="1"/>
    <col min="8986" max="8986" width="12.140625" style="108" customWidth="1"/>
    <col min="8987" max="8987" width="30.5703125" style="108" customWidth="1"/>
    <col min="8988" max="8991" width="8.140625" style="108" customWidth="1"/>
    <col min="8992" max="8992" width="9.42578125" style="108" customWidth="1"/>
    <col min="8993" max="8993" width="8.140625" style="108" customWidth="1"/>
    <col min="8994" max="8998" width="7.85546875" style="108" customWidth="1"/>
    <col min="8999" max="8999" width="11.28515625" style="108" customWidth="1"/>
    <col min="9000" max="9000" width="2.28515625" style="108" customWidth="1"/>
    <col min="9001" max="9001" width="19.42578125" style="108"/>
    <col min="9002" max="9027" width="11.28515625" style="108" customWidth="1"/>
    <col min="9028" max="9039" width="8.85546875" style="108" customWidth="1"/>
    <col min="9040" max="9217" width="19.42578125" style="108"/>
    <col min="9218" max="9220" width="11" style="108" customWidth="1"/>
    <col min="9221" max="9221" width="16.140625" style="108" customWidth="1"/>
    <col min="9222" max="9222" width="12.42578125" style="108" customWidth="1"/>
    <col min="9223" max="9223" width="14.28515625" style="108" customWidth="1"/>
    <col min="9224" max="9224" width="12" style="108" customWidth="1"/>
    <col min="9225" max="9225" width="16.7109375" style="108" customWidth="1"/>
    <col min="9226" max="9226" width="12" style="108" customWidth="1"/>
    <col min="9227" max="9227" width="16.28515625" style="108" customWidth="1"/>
    <col min="9228" max="9228" width="12.28515625" style="108" customWidth="1"/>
    <col min="9229" max="9229" width="17.42578125" style="108" customWidth="1"/>
    <col min="9230" max="9230" width="12" style="108" customWidth="1"/>
    <col min="9231" max="9231" width="16.5703125" style="108" customWidth="1"/>
    <col min="9232" max="9232" width="13.28515625" style="108" customWidth="1"/>
    <col min="9233" max="9233" width="16.5703125" style="108" customWidth="1"/>
    <col min="9234" max="9234" width="13.7109375" style="108" customWidth="1"/>
    <col min="9235" max="9235" width="15.7109375" style="108" customWidth="1"/>
    <col min="9236" max="9236" width="12.5703125" style="108" customWidth="1"/>
    <col min="9237" max="9237" width="19.140625" style="108" customWidth="1"/>
    <col min="9238" max="9238" width="12.28515625" style="108" customWidth="1"/>
    <col min="9239" max="9239" width="17.140625" style="108" customWidth="1"/>
    <col min="9240" max="9240" width="12.5703125" style="108" customWidth="1"/>
    <col min="9241" max="9241" width="17.7109375" style="108" customWidth="1"/>
    <col min="9242" max="9242" width="12.140625" style="108" customWidth="1"/>
    <col min="9243" max="9243" width="30.5703125" style="108" customWidth="1"/>
    <col min="9244" max="9247" width="8.140625" style="108" customWidth="1"/>
    <col min="9248" max="9248" width="9.42578125" style="108" customWidth="1"/>
    <col min="9249" max="9249" width="8.140625" style="108" customWidth="1"/>
    <col min="9250" max="9254" width="7.85546875" style="108" customWidth="1"/>
    <col min="9255" max="9255" width="11.28515625" style="108" customWidth="1"/>
    <col min="9256" max="9256" width="2.28515625" style="108" customWidth="1"/>
    <col min="9257" max="9257" width="19.42578125" style="108"/>
    <col min="9258" max="9283" width="11.28515625" style="108" customWidth="1"/>
    <col min="9284" max="9295" width="8.85546875" style="108" customWidth="1"/>
    <col min="9296" max="9473" width="19.42578125" style="108"/>
    <col min="9474" max="9476" width="11" style="108" customWidth="1"/>
    <col min="9477" max="9477" width="16.140625" style="108" customWidth="1"/>
    <col min="9478" max="9478" width="12.42578125" style="108" customWidth="1"/>
    <col min="9479" max="9479" width="14.28515625" style="108" customWidth="1"/>
    <col min="9480" max="9480" width="12" style="108" customWidth="1"/>
    <col min="9481" max="9481" width="16.7109375" style="108" customWidth="1"/>
    <col min="9482" max="9482" width="12" style="108" customWidth="1"/>
    <col min="9483" max="9483" width="16.28515625" style="108" customWidth="1"/>
    <col min="9484" max="9484" width="12.28515625" style="108" customWidth="1"/>
    <col min="9485" max="9485" width="17.42578125" style="108" customWidth="1"/>
    <col min="9486" max="9486" width="12" style="108" customWidth="1"/>
    <col min="9487" max="9487" width="16.5703125" style="108" customWidth="1"/>
    <col min="9488" max="9488" width="13.28515625" style="108" customWidth="1"/>
    <col min="9489" max="9489" width="16.5703125" style="108" customWidth="1"/>
    <col min="9490" max="9490" width="13.7109375" style="108" customWidth="1"/>
    <col min="9491" max="9491" width="15.7109375" style="108" customWidth="1"/>
    <col min="9492" max="9492" width="12.5703125" style="108" customWidth="1"/>
    <col min="9493" max="9493" width="19.140625" style="108" customWidth="1"/>
    <col min="9494" max="9494" width="12.28515625" style="108" customWidth="1"/>
    <col min="9495" max="9495" width="17.140625" style="108" customWidth="1"/>
    <col min="9496" max="9496" width="12.5703125" style="108" customWidth="1"/>
    <col min="9497" max="9497" width="17.7109375" style="108" customWidth="1"/>
    <col min="9498" max="9498" width="12.140625" style="108" customWidth="1"/>
    <col min="9499" max="9499" width="30.5703125" style="108" customWidth="1"/>
    <col min="9500" max="9503" width="8.140625" style="108" customWidth="1"/>
    <col min="9504" max="9504" width="9.42578125" style="108" customWidth="1"/>
    <col min="9505" max="9505" width="8.140625" style="108" customWidth="1"/>
    <col min="9506" max="9510" width="7.85546875" style="108" customWidth="1"/>
    <col min="9511" max="9511" width="11.28515625" style="108" customWidth="1"/>
    <col min="9512" max="9512" width="2.28515625" style="108" customWidth="1"/>
    <col min="9513" max="9513" width="19.42578125" style="108"/>
    <col min="9514" max="9539" width="11.28515625" style="108" customWidth="1"/>
    <col min="9540" max="9551" width="8.85546875" style="108" customWidth="1"/>
    <col min="9552" max="9729" width="19.42578125" style="108"/>
    <col min="9730" max="9732" width="11" style="108" customWidth="1"/>
    <col min="9733" max="9733" width="16.140625" style="108" customWidth="1"/>
    <col min="9734" max="9734" width="12.42578125" style="108" customWidth="1"/>
    <col min="9735" max="9735" width="14.28515625" style="108" customWidth="1"/>
    <col min="9736" max="9736" width="12" style="108" customWidth="1"/>
    <col min="9737" max="9737" width="16.7109375" style="108" customWidth="1"/>
    <col min="9738" max="9738" width="12" style="108" customWidth="1"/>
    <col min="9739" max="9739" width="16.28515625" style="108" customWidth="1"/>
    <col min="9740" max="9740" width="12.28515625" style="108" customWidth="1"/>
    <col min="9741" max="9741" width="17.42578125" style="108" customWidth="1"/>
    <col min="9742" max="9742" width="12" style="108" customWidth="1"/>
    <col min="9743" max="9743" width="16.5703125" style="108" customWidth="1"/>
    <col min="9744" max="9744" width="13.28515625" style="108" customWidth="1"/>
    <col min="9745" max="9745" width="16.5703125" style="108" customWidth="1"/>
    <col min="9746" max="9746" width="13.7109375" style="108" customWidth="1"/>
    <col min="9747" max="9747" width="15.7109375" style="108" customWidth="1"/>
    <col min="9748" max="9748" width="12.5703125" style="108" customWidth="1"/>
    <col min="9749" max="9749" width="19.140625" style="108" customWidth="1"/>
    <col min="9750" max="9750" width="12.28515625" style="108" customWidth="1"/>
    <col min="9751" max="9751" width="17.140625" style="108" customWidth="1"/>
    <col min="9752" max="9752" width="12.5703125" style="108" customWidth="1"/>
    <col min="9753" max="9753" width="17.7109375" style="108" customWidth="1"/>
    <col min="9754" max="9754" width="12.140625" style="108" customWidth="1"/>
    <col min="9755" max="9755" width="30.5703125" style="108" customWidth="1"/>
    <col min="9756" max="9759" width="8.140625" style="108" customWidth="1"/>
    <col min="9760" max="9760" width="9.42578125" style="108" customWidth="1"/>
    <col min="9761" max="9761" width="8.140625" style="108" customWidth="1"/>
    <col min="9762" max="9766" width="7.85546875" style="108" customWidth="1"/>
    <col min="9767" max="9767" width="11.28515625" style="108" customWidth="1"/>
    <col min="9768" max="9768" width="2.28515625" style="108" customWidth="1"/>
    <col min="9769" max="9769" width="19.42578125" style="108"/>
    <col min="9770" max="9795" width="11.28515625" style="108" customWidth="1"/>
    <col min="9796" max="9807" width="8.85546875" style="108" customWidth="1"/>
    <col min="9808" max="9985" width="19.42578125" style="108"/>
    <col min="9986" max="9988" width="11" style="108" customWidth="1"/>
    <col min="9989" max="9989" width="16.140625" style="108" customWidth="1"/>
    <col min="9990" max="9990" width="12.42578125" style="108" customWidth="1"/>
    <col min="9991" max="9991" width="14.28515625" style="108" customWidth="1"/>
    <col min="9992" max="9992" width="12" style="108" customWidth="1"/>
    <col min="9993" max="9993" width="16.7109375" style="108" customWidth="1"/>
    <col min="9994" max="9994" width="12" style="108" customWidth="1"/>
    <col min="9995" max="9995" width="16.28515625" style="108" customWidth="1"/>
    <col min="9996" max="9996" width="12.28515625" style="108" customWidth="1"/>
    <col min="9997" max="9997" width="17.42578125" style="108" customWidth="1"/>
    <col min="9998" max="9998" width="12" style="108" customWidth="1"/>
    <col min="9999" max="9999" width="16.5703125" style="108" customWidth="1"/>
    <col min="10000" max="10000" width="13.28515625" style="108" customWidth="1"/>
    <col min="10001" max="10001" width="16.5703125" style="108" customWidth="1"/>
    <col min="10002" max="10002" width="13.7109375" style="108" customWidth="1"/>
    <col min="10003" max="10003" width="15.7109375" style="108" customWidth="1"/>
    <col min="10004" max="10004" width="12.5703125" style="108" customWidth="1"/>
    <col min="10005" max="10005" width="19.140625" style="108" customWidth="1"/>
    <col min="10006" max="10006" width="12.28515625" style="108" customWidth="1"/>
    <col min="10007" max="10007" width="17.140625" style="108" customWidth="1"/>
    <col min="10008" max="10008" width="12.5703125" style="108" customWidth="1"/>
    <col min="10009" max="10009" width="17.7109375" style="108" customWidth="1"/>
    <col min="10010" max="10010" width="12.140625" style="108" customWidth="1"/>
    <col min="10011" max="10011" width="30.5703125" style="108" customWidth="1"/>
    <col min="10012" max="10015" width="8.140625" style="108" customWidth="1"/>
    <col min="10016" max="10016" width="9.42578125" style="108" customWidth="1"/>
    <col min="10017" max="10017" width="8.140625" style="108" customWidth="1"/>
    <col min="10018" max="10022" width="7.85546875" style="108" customWidth="1"/>
    <col min="10023" max="10023" width="11.28515625" style="108" customWidth="1"/>
    <col min="10024" max="10024" width="2.28515625" style="108" customWidth="1"/>
    <col min="10025" max="10025" width="19.42578125" style="108"/>
    <col min="10026" max="10051" width="11.28515625" style="108" customWidth="1"/>
    <col min="10052" max="10063" width="8.85546875" style="108" customWidth="1"/>
    <col min="10064" max="10241" width="19.42578125" style="108"/>
    <col min="10242" max="10244" width="11" style="108" customWidth="1"/>
    <col min="10245" max="10245" width="16.140625" style="108" customWidth="1"/>
    <col min="10246" max="10246" width="12.42578125" style="108" customWidth="1"/>
    <col min="10247" max="10247" width="14.28515625" style="108" customWidth="1"/>
    <col min="10248" max="10248" width="12" style="108" customWidth="1"/>
    <col min="10249" max="10249" width="16.7109375" style="108" customWidth="1"/>
    <col min="10250" max="10250" width="12" style="108" customWidth="1"/>
    <col min="10251" max="10251" width="16.28515625" style="108" customWidth="1"/>
    <col min="10252" max="10252" width="12.28515625" style="108" customWidth="1"/>
    <col min="10253" max="10253" width="17.42578125" style="108" customWidth="1"/>
    <col min="10254" max="10254" width="12" style="108" customWidth="1"/>
    <col min="10255" max="10255" width="16.5703125" style="108" customWidth="1"/>
    <col min="10256" max="10256" width="13.28515625" style="108" customWidth="1"/>
    <col min="10257" max="10257" width="16.5703125" style="108" customWidth="1"/>
    <col min="10258" max="10258" width="13.7109375" style="108" customWidth="1"/>
    <col min="10259" max="10259" width="15.7109375" style="108" customWidth="1"/>
    <col min="10260" max="10260" width="12.5703125" style="108" customWidth="1"/>
    <col min="10261" max="10261" width="19.140625" style="108" customWidth="1"/>
    <col min="10262" max="10262" width="12.28515625" style="108" customWidth="1"/>
    <col min="10263" max="10263" width="17.140625" style="108" customWidth="1"/>
    <col min="10264" max="10264" width="12.5703125" style="108" customWidth="1"/>
    <col min="10265" max="10265" width="17.7109375" style="108" customWidth="1"/>
    <col min="10266" max="10266" width="12.140625" style="108" customWidth="1"/>
    <col min="10267" max="10267" width="30.5703125" style="108" customWidth="1"/>
    <col min="10268" max="10271" width="8.140625" style="108" customWidth="1"/>
    <col min="10272" max="10272" width="9.42578125" style="108" customWidth="1"/>
    <col min="10273" max="10273" width="8.140625" style="108" customWidth="1"/>
    <col min="10274" max="10278" width="7.85546875" style="108" customWidth="1"/>
    <col min="10279" max="10279" width="11.28515625" style="108" customWidth="1"/>
    <col min="10280" max="10280" width="2.28515625" style="108" customWidth="1"/>
    <col min="10281" max="10281" width="19.42578125" style="108"/>
    <col min="10282" max="10307" width="11.28515625" style="108" customWidth="1"/>
    <col min="10308" max="10319" width="8.85546875" style="108" customWidth="1"/>
    <col min="10320" max="10497" width="19.42578125" style="108"/>
    <col min="10498" max="10500" width="11" style="108" customWidth="1"/>
    <col min="10501" max="10501" width="16.140625" style="108" customWidth="1"/>
    <col min="10502" max="10502" width="12.42578125" style="108" customWidth="1"/>
    <col min="10503" max="10503" width="14.28515625" style="108" customWidth="1"/>
    <col min="10504" max="10504" width="12" style="108" customWidth="1"/>
    <col min="10505" max="10505" width="16.7109375" style="108" customWidth="1"/>
    <col min="10506" max="10506" width="12" style="108" customWidth="1"/>
    <col min="10507" max="10507" width="16.28515625" style="108" customWidth="1"/>
    <col min="10508" max="10508" width="12.28515625" style="108" customWidth="1"/>
    <col min="10509" max="10509" width="17.42578125" style="108" customWidth="1"/>
    <col min="10510" max="10510" width="12" style="108" customWidth="1"/>
    <col min="10511" max="10511" width="16.5703125" style="108" customWidth="1"/>
    <col min="10512" max="10512" width="13.28515625" style="108" customWidth="1"/>
    <col min="10513" max="10513" width="16.5703125" style="108" customWidth="1"/>
    <col min="10514" max="10514" width="13.7109375" style="108" customWidth="1"/>
    <col min="10515" max="10515" width="15.7109375" style="108" customWidth="1"/>
    <col min="10516" max="10516" width="12.5703125" style="108" customWidth="1"/>
    <col min="10517" max="10517" width="19.140625" style="108" customWidth="1"/>
    <col min="10518" max="10518" width="12.28515625" style="108" customWidth="1"/>
    <col min="10519" max="10519" width="17.140625" style="108" customWidth="1"/>
    <col min="10520" max="10520" width="12.5703125" style="108" customWidth="1"/>
    <col min="10521" max="10521" width="17.7109375" style="108" customWidth="1"/>
    <col min="10522" max="10522" width="12.140625" style="108" customWidth="1"/>
    <col min="10523" max="10523" width="30.5703125" style="108" customWidth="1"/>
    <col min="10524" max="10527" width="8.140625" style="108" customWidth="1"/>
    <col min="10528" max="10528" width="9.42578125" style="108" customWidth="1"/>
    <col min="10529" max="10529" width="8.140625" style="108" customWidth="1"/>
    <col min="10530" max="10534" width="7.85546875" style="108" customWidth="1"/>
    <col min="10535" max="10535" width="11.28515625" style="108" customWidth="1"/>
    <col min="10536" max="10536" width="2.28515625" style="108" customWidth="1"/>
    <col min="10537" max="10537" width="19.42578125" style="108"/>
    <col min="10538" max="10563" width="11.28515625" style="108" customWidth="1"/>
    <col min="10564" max="10575" width="8.85546875" style="108" customWidth="1"/>
    <col min="10576" max="10753" width="19.42578125" style="108"/>
    <col min="10754" max="10756" width="11" style="108" customWidth="1"/>
    <col min="10757" max="10757" width="16.140625" style="108" customWidth="1"/>
    <col min="10758" max="10758" width="12.42578125" style="108" customWidth="1"/>
    <col min="10759" max="10759" width="14.28515625" style="108" customWidth="1"/>
    <col min="10760" max="10760" width="12" style="108" customWidth="1"/>
    <col min="10761" max="10761" width="16.7109375" style="108" customWidth="1"/>
    <col min="10762" max="10762" width="12" style="108" customWidth="1"/>
    <col min="10763" max="10763" width="16.28515625" style="108" customWidth="1"/>
    <col min="10764" max="10764" width="12.28515625" style="108" customWidth="1"/>
    <col min="10765" max="10765" width="17.42578125" style="108" customWidth="1"/>
    <col min="10766" max="10766" width="12" style="108" customWidth="1"/>
    <col min="10767" max="10767" width="16.5703125" style="108" customWidth="1"/>
    <col min="10768" max="10768" width="13.28515625" style="108" customWidth="1"/>
    <col min="10769" max="10769" width="16.5703125" style="108" customWidth="1"/>
    <col min="10770" max="10770" width="13.7109375" style="108" customWidth="1"/>
    <col min="10771" max="10771" width="15.7109375" style="108" customWidth="1"/>
    <col min="10772" max="10772" width="12.5703125" style="108" customWidth="1"/>
    <col min="10773" max="10773" width="19.140625" style="108" customWidth="1"/>
    <col min="10774" max="10774" width="12.28515625" style="108" customWidth="1"/>
    <col min="10775" max="10775" width="17.140625" style="108" customWidth="1"/>
    <col min="10776" max="10776" width="12.5703125" style="108" customWidth="1"/>
    <col min="10777" max="10777" width="17.7109375" style="108" customWidth="1"/>
    <col min="10778" max="10778" width="12.140625" style="108" customWidth="1"/>
    <col min="10779" max="10779" width="30.5703125" style="108" customWidth="1"/>
    <col min="10780" max="10783" width="8.140625" style="108" customWidth="1"/>
    <col min="10784" max="10784" width="9.42578125" style="108" customWidth="1"/>
    <col min="10785" max="10785" width="8.140625" style="108" customWidth="1"/>
    <col min="10786" max="10790" width="7.85546875" style="108" customWidth="1"/>
    <col min="10791" max="10791" width="11.28515625" style="108" customWidth="1"/>
    <col min="10792" max="10792" width="2.28515625" style="108" customWidth="1"/>
    <col min="10793" max="10793" width="19.42578125" style="108"/>
    <col min="10794" max="10819" width="11.28515625" style="108" customWidth="1"/>
    <col min="10820" max="10831" width="8.85546875" style="108" customWidth="1"/>
    <col min="10832" max="11009" width="19.42578125" style="108"/>
    <col min="11010" max="11012" width="11" style="108" customWidth="1"/>
    <col min="11013" max="11013" width="16.140625" style="108" customWidth="1"/>
    <col min="11014" max="11014" width="12.42578125" style="108" customWidth="1"/>
    <col min="11015" max="11015" width="14.28515625" style="108" customWidth="1"/>
    <col min="11016" max="11016" width="12" style="108" customWidth="1"/>
    <col min="11017" max="11017" width="16.7109375" style="108" customWidth="1"/>
    <col min="11018" max="11018" width="12" style="108" customWidth="1"/>
    <col min="11019" max="11019" width="16.28515625" style="108" customWidth="1"/>
    <col min="11020" max="11020" width="12.28515625" style="108" customWidth="1"/>
    <col min="11021" max="11021" width="17.42578125" style="108" customWidth="1"/>
    <col min="11022" max="11022" width="12" style="108" customWidth="1"/>
    <col min="11023" max="11023" width="16.5703125" style="108" customWidth="1"/>
    <col min="11024" max="11024" width="13.28515625" style="108" customWidth="1"/>
    <col min="11025" max="11025" width="16.5703125" style="108" customWidth="1"/>
    <col min="11026" max="11026" width="13.7109375" style="108" customWidth="1"/>
    <col min="11027" max="11027" width="15.7109375" style="108" customWidth="1"/>
    <col min="11028" max="11028" width="12.5703125" style="108" customWidth="1"/>
    <col min="11029" max="11029" width="19.140625" style="108" customWidth="1"/>
    <col min="11030" max="11030" width="12.28515625" style="108" customWidth="1"/>
    <col min="11031" max="11031" width="17.140625" style="108" customWidth="1"/>
    <col min="11032" max="11032" width="12.5703125" style="108" customWidth="1"/>
    <col min="11033" max="11033" width="17.7109375" style="108" customWidth="1"/>
    <col min="11034" max="11034" width="12.140625" style="108" customWidth="1"/>
    <col min="11035" max="11035" width="30.5703125" style="108" customWidth="1"/>
    <col min="11036" max="11039" width="8.140625" style="108" customWidth="1"/>
    <col min="11040" max="11040" width="9.42578125" style="108" customWidth="1"/>
    <col min="11041" max="11041" width="8.140625" style="108" customWidth="1"/>
    <col min="11042" max="11046" width="7.85546875" style="108" customWidth="1"/>
    <col min="11047" max="11047" width="11.28515625" style="108" customWidth="1"/>
    <col min="11048" max="11048" width="2.28515625" style="108" customWidth="1"/>
    <col min="11049" max="11049" width="19.42578125" style="108"/>
    <col min="11050" max="11075" width="11.28515625" style="108" customWidth="1"/>
    <col min="11076" max="11087" width="8.85546875" style="108" customWidth="1"/>
    <col min="11088" max="11265" width="19.42578125" style="108"/>
    <col min="11266" max="11268" width="11" style="108" customWidth="1"/>
    <col min="11269" max="11269" width="16.140625" style="108" customWidth="1"/>
    <col min="11270" max="11270" width="12.42578125" style="108" customWidth="1"/>
    <col min="11271" max="11271" width="14.28515625" style="108" customWidth="1"/>
    <col min="11272" max="11272" width="12" style="108" customWidth="1"/>
    <col min="11273" max="11273" width="16.7109375" style="108" customWidth="1"/>
    <col min="11274" max="11274" width="12" style="108" customWidth="1"/>
    <col min="11275" max="11275" width="16.28515625" style="108" customWidth="1"/>
    <col min="11276" max="11276" width="12.28515625" style="108" customWidth="1"/>
    <col min="11277" max="11277" width="17.42578125" style="108" customWidth="1"/>
    <col min="11278" max="11278" width="12" style="108" customWidth="1"/>
    <col min="11279" max="11279" width="16.5703125" style="108" customWidth="1"/>
    <col min="11280" max="11280" width="13.28515625" style="108" customWidth="1"/>
    <col min="11281" max="11281" width="16.5703125" style="108" customWidth="1"/>
    <col min="11282" max="11282" width="13.7109375" style="108" customWidth="1"/>
    <col min="11283" max="11283" width="15.7109375" style="108" customWidth="1"/>
    <col min="11284" max="11284" width="12.5703125" style="108" customWidth="1"/>
    <col min="11285" max="11285" width="19.140625" style="108" customWidth="1"/>
    <col min="11286" max="11286" width="12.28515625" style="108" customWidth="1"/>
    <col min="11287" max="11287" width="17.140625" style="108" customWidth="1"/>
    <col min="11288" max="11288" width="12.5703125" style="108" customWidth="1"/>
    <col min="11289" max="11289" width="17.7109375" style="108" customWidth="1"/>
    <col min="11290" max="11290" width="12.140625" style="108" customWidth="1"/>
    <col min="11291" max="11291" width="30.5703125" style="108" customWidth="1"/>
    <col min="11292" max="11295" width="8.140625" style="108" customWidth="1"/>
    <col min="11296" max="11296" width="9.42578125" style="108" customWidth="1"/>
    <col min="11297" max="11297" width="8.140625" style="108" customWidth="1"/>
    <col min="11298" max="11302" width="7.85546875" style="108" customWidth="1"/>
    <col min="11303" max="11303" width="11.28515625" style="108" customWidth="1"/>
    <col min="11304" max="11304" width="2.28515625" style="108" customWidth="1"/>
    <col min="11305" max="11305" width="19.42578125" style="108"/>
    <col min="11306" max="11331" width="11.28515625" style="108" customWidth="1"/>
    <col min="11332" max="11343" width="8.85546875" style="108" customWidth="1"/>
    <col min="11344" max="11521" width="19.42578125" style="108"/>
    <col min="11522" max="11524" width="11" style="108" customWidth="1"/>
    <col min="11525" max="11525" width="16.140625" style="108" customWidth="1"/>
    <col min="11526" max="11526" width="12.42578125" style="108" customWidth="1"/>
    <col min="11527" max="11527" width="14.28515625" style="108" customWidth="1"/>
    <col min="11528" max="11528" width="12" style="108" customWidth="1"/>
    <col min="11529" max="11529" width="16.7109375" style="108" customWidth="1"/>
    <col min="11530" max="11530" width="12" style="108" customWidth="1"/>
    <col min="11531" max="11531" width="16.28515625" style="108" customWidth="1"/>
    <col min="11532" max="11532" width="12.28515625" style="108" customWidth="1"/>
    <col min="11533" max="11533" width="17.42578125" style="108" customWidth="1"/>
    <col min="11534" max="11534" width="12" style="108" customWidth="1"/>
    <col min="11535" max="11535" width="16.5703125" style="108" customWidth="1"/>
    <col min="11536" max="11536" width="13.28515625" style="108" customWidth="1"/>
    <col min="11537" max="11537" width="16.5703125" style="108" customWidth="1"/>
    <col min="11538" max="11538" width="13.7109375" style="108" customWidth="1"/>
    <col min="11539" max="11539" width="15.7109375" style="108" customWidth="1"/>
    <col min="11540" max="11540" width="12.5703125" style="108" customWidth="1"/>
    <col min="11541" max="11541" width="19.140625" style="108" customWidth="1"/>
    <col min="11542" max="11542" width="12.28515625" style="108" customWidth="1"/>
    <col min="11543" max="11543" width="17.140625" style="108" customWidth="1"/>
    <col min="11544" max="11544" width="12.5703125" style="108" customWidth="1"/>
    <col min="11545" max="11545" width="17.7109375" style="108" customWidth="1"/>
    <col min="11546" max="11546" width="12.140625" style="108" customWidth="1"/>
    <col min="11547" max="11547" width="30.5703125" style="108" customWidth="1"/>
    <col min="11548" max="11551" width="8.140625" style="108" customWidth="1"/>
    <col min="11552" max="11552" width="9.42578125" style="108" customWidth="1"/>
    <col min="11553" max="11553" width="8.140625" style="108" customWidth="1"/>
    <col min="11554" max="11558" width="7.85546875" style="108" customWidth="1"/>
    <col min="11559" max="11559" width="11.28515625" style="108" customWidth="1"/>
    <col min="11560" max="11560" width="2.28515625" style="108" customWidth="1"/>
    <col min="11561" max="11561" width="19.42578125" style="108"/>
    <col min="11562" max="11587" width="11.28515625" style="108" customWidth="1"/>
    <col min="11588" max="11599" width="8.85546875" style="108" customWidth="1"/>
    <col min="11600" max="11777" width="19.42578125" style="108"/>
    <col min="11778" max="11780" width="11" style="108" customWidth="1"/>
    <col min="11781" max="11781" width="16.140625" style="108" customWidth="1"/>
    <col min="11782" max="11782" width="12.42578125" style="108" customWidth="1"/>
    <col min="11783" max="11783" width="14.28515625" style="108" customWidth="1"/>
    <col min="11784" max="11784" width="12" style="108" customWidth="1"/>
    <col min="11785" max="11785" width="16.7109375" style="108" customWidth="1"/>
    <col min="11786" max="11786" width="12" style="108" customWidth="1"/>
    <col min="11787" max="11787" width="16.28515625" style="108" customWidth="1"/>
    <col min="11788" max="11788" width="12.28515625" style="108" customWidth="1"/>
    <col min="11789" max="11789" width="17.42578125" style="108" customWidth="1"/>
    <col min="11790" max="11790" width="12" style="108" customWidth="1"/>
    <col min="11791" max="11791" width="16.5703125" style="108" customWidth="1"/>
    <col min="11792" max="11792" width="13.28515625" style="108" customWidth="1"/>
    <col min="11793" max="11793" width="16.5703125" style="108" customWidth="1"/>
    <col min="11794" max="11794" width="13.7109375" style="108" customWidth="1"/>
    <col min="11795" max="11795" width="15.7109375" style="108" customWidth="1"/>
    <col min="11796" max="11796" width="12.5703125" style="108" customWidth="1"/>
    <col min="11797" max="11797" width="19.140625" style="108" customWidth="1"/>
    <col min="11798" max="11798" width="12.28515625" style="108" customWidth="1"/>
    <col min="11799" max="11799" width="17.140625" style="108" customWidth="1"/>
    <col min="11800" max="11800" width="12.5703125" style="108" customWidth="1"/>
    <col min="11801" max="11801" width="17.7109375" style="108" customWidth="1"/>
    <col min="11802" max="11802" width="12.140625" style="108" customWidth="1"/>
    <col min="11803" max="11803" width="30.5703125" style="108" customWidth="1"/>
    <col min="11804" max="11807" width="8.140625" style="108" customWidth="1"/>
    <col min="11808" max="11808" width="9.42578125" style="108" customWidth="1"/>
    <col min="11809" max="11809" width="8.140625" style="108" customWidth="1"/>
    <col min="11810" max="11814" width="7.85546875" style="108" customWidth="1"/>
    <col min="11815" max="11815" width="11.28515625" style="108" customWidth="1"/>
    <col min="11816" max="11816" width="2.28515625" style="108" customWidth="1"/>
    <col min="11817" max="11817" width="19.42578125" style="108"/>
    <col min="11818" max="11843" width="11.28515625" style="108" customWidth="1"/>
    <col min="11844" max="11855" width="8.85546875" style="108" customWidth="1"/>
    <col min="11856" max="12033" width="19.42578125" style="108"/>
    <col min="12034" max="12036" width="11" style="108" customWidth="1"/>
    <col min="12037" max="12037" width="16.140625" style="108" customWidth="1"/>
    <col min="12038" max="12038" width="12.42578125" style="108" customWidth="1"/>
    <col min="12039" max="12039" width="14.28515625" style="108" customWidth="1"/>
    <col min="12040" max="12040" width="12" style="108" customWidth="1"/>
    <col min="12041" max="12041" width="16.7109375" style="108" customWidth="1"/>
    <col min="12042" max="12042" width="12" style="108" customWidth="1"/>
    <col min="12043" max="12043" width="16.28515625" style="108" customWidth="1"/>
    <col min="12044" max="12044" width="12.28515625" style="108" customWidth="1"/>
    <col min="12045" max="12045" width="17.42578125" style="108" customWidth="1"/>
    <col min="12046" max="12046" width="12" style="108" customWidth="1"/>
    <col min="12047" max="12047" width="16.5703125" style="108" customWidth="1"/>
    <col min="12048" max="12048" width="13.28515625" style="108" customWidth="1"/>
    <col min="12049" max="12049" width="16.5703125" style="108" customWidth="1"/>
    <col min="12050" max="12050" width="13.7109375" style="108" customWidth="1"/>
    <col min="12051" max="12051" width="15.7109375" style="108" customWidth="1"/>
    <col min="12052" max="12052" width="12.5703125" style="108" customWidth="1"/>
    <col min="12053" max="12053" width="19.140625" style="108" customWidth="1"/>
    <col min="12054" max="12054" width="12.28515625" style="108" customWidth="1"/>
    <col min="12055" max="12055" width="17.140625" style="108" customWidth="1"/>
    <col min="12056" max="12056" width="12.5703125" style="108" customWidth="1"/>
    <col min="12057" max="12057" width="17.7109375" style="108" customWidth="1"/>
    <col min="12058" max="12058" width="12.140625" style="108" customWidth="1"/>
    <col min="12059" max="12059" width="30.5703125" style="108" customWidth="1"/>
    <col min="12060" max="12063" width="8.140625" style="108" customWidth="1"/>
    <col min="12064" max="12064" width="9.42578125" style="108" customWidth="1"/>
    <col min="12065" max="12065" width="8.140625" style="108" customWidth="1"/>
    <col min="12066" max="12070" width="7.85546875" style="108" customWidth="1"/>
    <col min="12071" max="12071" width="11.28515625" style="108" customWidth="1"/>
    <col min="12072" max="12072" width="2.28515625" style="108" customWidth="1"/>
    <col min="12073" max="12073" width="19.42578125" style="108"/>
    <col min="12074" max="12099" width="11.28515625" style="108" customWidth="1"/>
    <col min="12100" max="12111" width="8.85546875" style="108" customWidth="1"/>
    <col min="12112" max="12289" width="19.42578125" style="108"/>
    <col min="12290" max="12292" width="11" style="108" customWidth="1"/>
    <col min="12293" max="12293" width="16.140625" style="108" customWidth="1"/>
    <col min="12294" max="12294" width="12.42578125" style="108" customWidth="1"/>
    <col min="12295" max="12295" width="14.28515625" style="108" customWidth="1"/>
    <col min="12296" max="12296" width="12" style="108" customWidth="1"/>
    <col min="12297" max="12297" width="16.7109375" style="108" customWidth="1"/>
    <col min="12298" max="12298" width="12" style="108" customWidth="1"/>
    <col min="12299" max="12299" width="16.28515625" style="108" customWidth="1"/>
    <col min="12300" max="12300" width="12.28515625" style="108" customWidth="1"/>
    <col min="12301" max="12301" width="17.42578125" style="108" customWidth="1"/>
    <col min="12302" max="12302" width="12" style="108" customWidth="1"/>
    <col min="12303" max="12303" width="16.5703125" style="108" customWidth="1"/>
    <col min="12304" max="12304" width="13.28515625" style="108" customWidth="1"/>
    <col min="12305" max="12305" width="16.5703125" style="108" customWidth="1"/>
    <col min="12306" max="12306" width="13.7109375" style="108" customWidth="1"/>
    <col min="12307" max="12307" width="15.7109375" style="108" customWidth="1"/>
    <col min="12308" max="12308" width="12.5703125" style="108" customWidth="1"/>
    <col min="12309" max="12309" width="19.140625" style="108" customWidth="1"/>
    <col min="12310" max="12310" width="12.28515625" style="108" customWidth="1"/>
    <col min="12311" max="12311" width="17.140625" style="108" customWidth="1"/>
    <col min="12312" max="12312" width="12.5703125" style="108" customWidth="1"/>
    <col min="12313" max="12313" width="17.7109375" style="108" customWidth="1"/>
    <col min="12314" max="12314" width="12.140625" style="108" customWidth="1"/>
    <col min="12315" max="12315" width="30.5703125" style="108" customWidth="1"/>
    <col min="12316" max="12319" width="8.140625" style="108" customWidth="1"/>
    <col min="12320" max="12320" width="9.42578125" style="108" customWidth="1"/>
    <col min="12321" max="12321" width="8.140625" style="108" customWidth="1"/>
    <col min="12322" max="12326" width="7.85546875" style="108" customWidth="1"/>
    <col min="12327" max="12327" width="11.28515625" style="108" customWidth="1"/>
    <col min="12328" max="12328" width="2.28515625" style="108" customWidth="1"/>
    <col min="12329" max="12329" width="19.42578125" style="108"/>
    <col min="12330" max="12355" width="11.28515625" style="108" customWidth="1"/>
    <col min="12356" max="12367" width="8.85546875" style="108" customWidth="1"/>
    <col min="12368" max="12545" width="19.42578125" style="108"/>
    <col min="12546" max="12548" width="11" style="108" customWidth="1"/>
    <col min="12549" max="12549" width="16.140625" style="108" customWidth="1"/>
    <col min="12550" max="12550" width="12.42578125" style="108" customWidth="1"/>
    <col min="12551" max="12551" width="14.28515625" style="108" customWidth="1"/>
    <col min="12552" max="12552" width="12" style="108" customWidth="1"/>
    <col min="12553" max="12553" width="16.7109375" style="108" customWidth="1"/>
    <col min="12554" max="12554" width="12" style="108" customWidth="1"/>
    <col min="12555" max="12555" width="16.28515625" style="108" customWidth="1"/>
    <col min="12556" max="12556" width="12.28515625" style="108" customWidth="1"/>
    <col min="12557" max="12557" width="17.42578125" style="108" customWidth="1"/>
    <col min="12558" max="12558" width="12" style="108" customWidth="1"/>
    <col min="12559" max="12559" width="16.5703125" style="108" customWidth="1"/>
    <col min="12560" max="12560" width="13.28515625" style="108" customWidth="1"/>
    <col min="12561" max="12561" width="16.5703125" style="108" customWidth="1"/>
    <col min="12562" max="12562" width="13.7109375" style="108" customWidth="1"/>
    <col min="12563" max="12563" width="15.7109375" style="108" customWidth="1"/>
    <col min="12564" max="12564" width="12.5703125" style="108" customWidth="1"/>
    <col min="12565" max="12565" width="19.140625" style="108" customWidth="1"/>
    <col min="12566" max="12566" width="12.28515625" style="108" customWidth="1"/>
    <col min="12567" max="12567" width="17.140625" style="108" customWidth="1"/>
    <col min="12568" max="12568" width="12.5703125" style="108" customWidth="1"/>
    <col min="12569" max="12569" width="17.7109375" style="108" customWidth="1"/>
    <col min="12570" max="12570" width="12.140625" style="108" customWidth="1"/>
    <col min="12571" max="12571" width="30.5703125" style="108" customWidth="1"/>
    <col min="12572" max="12575" width="8.140625" style="108" customWidth="1"/>
    <col min="12576" max="12576" width="9.42578125" style="108" customWidth="1"/>
    <col min="12577" max="12577" width="8.140625" style="108" customWidth="1"/>
    <col min="12578" max="12582" width="7.85546875" style="108" customWidth="1"/>
    <col min="12583" max="12583" width="11.28515625" style="108" customWidth="1"/>
    <col min="12584" max="12584" width="2.28515625" style="108" customWidth="1"/>
    <col min="12585" max="12585" width="19.42578125" style="108"/>
    <col min="12586" max="12611" width="11.28515625" style="108" customWidth="1"/>
    <col min="12612" max="12623" width="8.85546875" style="108" customWidth="1"/>
    <col min="12624" max="12801" width="19.42578125" style="108"/>
    <col min="12802" max="12804" width="11" style="108" customWidth="1"/>
    <col min="12805" max="12805" width="16.140625" style="108" customWidth="1"/>
    <col min="12806" max="12806" width="12.42578125" style="108" customWidth="1"/>
    <col min="12807" max="12807" width="14.28515625" style="108" customWidth="1"/>
    <col min="12808" max="12808" width="12" style="108" customWidth="1"/>
    <col min="12809" max="12809" width="16.7109375" style="108" customWidth="1"/>
    <col min="12810" max="12810" width="12" style="108" customWidth="1"/>
    <col min="12811" max="12811" width="16.28515625" style="108" customWidth="1"/>
    <col min="12812" max="12812" width="12.28515625" style="108" customWidth="1"/>
    <col min="12813" max="12813" width="17.42578125" style="108" customWidth="1"/>
    <col min="12814" max="12814" width="12" style="108" customWidth="1"/>
    <col min="12815" max="12815" width="16.5703125" style="108" customWidth="1"/>
    <col min="12816" max="12816" width="13.28515625" style="108" customWidth="1"/>
    <col min="12817" max="12817" width="16.5703125" style="108" customWidth="1"/>
    <col min="12818" max="12818" width="13.7109375" style="108" customWidth="1"/>
    <col min="12819" max="12819" width="15.7109375" style="108" customWidth="1"/>
    <col min="12820" max="12820" width="12.5703125" style="108" customWidth="1"/>
    <col min="12821" max="12821" width="19.140625" style="108" customWidth="1"/>
    <col min="12822" max="12822" width="12.28515625" style="108" customWidth="1"/>
    <col min="12823" max="12823" width="17.140625" style="108" customWidth="1"/>
    <col min="12824" max="12824" width="12.5703125" style="108" customWidth="1"/>
    <col min="12825" max="12825" width="17.7109375" style="108" customWidth="1"/>
    <col min="12826" max="12826" width="12.140625" style="108" customWidth="1"/>
    <col min="12827" max="12827" width="30.5703125" style="108" customWidth="1"/>
    <col min="12828" max="12831" width="8.140625" style="108" customWidth="1"/>
    <col min="12832" max="12832" width="9.42578125" style="108" customWidth="1"/>
    <col min="12833" max="12833" width="8.140625" style="108" customWidth="1"/>
    <col min="12834" max="12838" width="7.85546875" style="108" customWidth="1"/>
    <col min="12839" max="12839" width="11.28515625" style="108" customWidth="1"/>
    <col min="12840" max="12840" width="2.28515625" style="108" customWidth="1"/>
    <col min="12841" max="12841" width="19.42578125" style="108"/>
    <col min="12842" max="12867" width="11.28515625" style="108" customWidth="1"/>
    <col min="12868" max="12879" width="8.85546875" style="108" customWidth="1"/>
    <col min="12880" max="13057" width="19.42578125" style="108"/>
    <col min="13058" max="13060" width="11" style="108" customWidth="1"/>
    <col min="13061" max="13061" width="16.140625" style="108" customWidth="1"/>
    <col min="13062" max="13062" width="12.42578125" style="108" customWidth="1"/>
    <col min="13063" max="13063" width="14.28515625" style="108" customWidth="1"/>
    <col min="13064" max="13064" width="12" style="108" customWidth="1"/>
    <col min="13065" max="13065" width="16.7109375" style="108" customWidth="1"/>
    <col min="13066" max="13066" width="12" style="108" customWidth="1"/>
    <col min="13067" max="13067" width="16.28515625" style="108" customWidth="1"/>
    <col min="13068" max="13068" width="12.28515625" style="108" customWidth="1"/>
    <col min="13069" max="13069" width="17.42578125" style="108" customWidth="1"/>
    <col min="13070" max="13070" width="12" style="108" customWidth="1"/>
    <col min="13071" max="13071" width="16.5703125" style="108" customWidth="1"/>
    <col min="13072" max="13072" width="13.28515625" style="108" customWidth="1"/>
    <col min="13073" max="13073" width="16.5703125" style="108" customWidth="1"/>
    <col min="13074" max="13074" width="13.7109375" style="108" customWidth="1"/>
    <col min="13075" max="13075" width="15.7109375" style="108" customWidth="1"/>
    <col min="13076" max="13076" width="12.5703125" style="108" customWidth="1"/>
    <col min="13077" max="13077" width="19.140625" style="108" customWidth="1"/>
    <col min="13078" max="13078" width="12.28515625" style="108" customWidth="1"/>
    <col min="13079" max="13079" width="17.140625" style="108" customWidth="1"/>
    <col min="13080" max="13080" width="12.5703125" style="108" customWidth="1"/>
    <col min="13081" max="13081" width="17.7109375" style="108" customWidth="1"/>
    <col min="13082" max="13082" width="12.140625" style="108" customWidth="1"/>
    <col min="13083" max="13083" width="30.5703125" style="108" customWidth="1"/>
    <col min="13084" max="13087" width="8.140625" style="108" customWidth="1"/>
    <col min="13088" max="13088" width="9.42578125" style="108" customWidth="1"/>
    <col min="13089" max="13089" width="8.140625" style="108" customWidth="1"/>
    <col min="13090" max="13094" width="7.85546875" style="108" customWidth="1"/>
    <col min="13095" max="13095" width="11.28515625" style="108" customWidth="1"/>
    <col min="13096" max="13096" width="2.28515625" style="108" customWidth="1"/>
    <col min="13097" max="13097" width="19.42578125" style="108"/>
    <col min="13098" max="13123" width="11.28515625" style="108" customWidth="1"/>
    <col min="13124" max="13135" width="8.85546875" style="108" customWidth="1"/>
    <col min="13136" max="13313" width="19.42578125" style="108"/>
    <col min="13314" max="13316" width="11" style="108" customWidth="1"/>
    <col min="13317" max="13317" width="16.140625" style="108" customWidth="1"/>
    <col min="13318" max="13318" width="12.42578125" style="108" customWidth="1"/>
    <col min="13319" max="13319" width="14.28515625" style="108" customWidth="1"/>
    <col min="13320" max="13320" width="12" style="108" customWidth="1"/>
    <col min="13321" max="13321" width="16.7109375" style="108" customWidth="1"/>
    <col min="13322" max="13322" width="12" style="108" customWidth="1"/>
    <col min="13323" max="13323" width="16.28515625" style="108" customWidth="1"/>
    <col min="13324" max="13324" width="12.28515625" style="108" customWidth="1"/>
    <col min="13325" max="13325" width="17.42578125" style="108" customWidth="1"/>
    <col min="13326" max="13326" width="12" style="108" customWidth="1"/>
    <col min="13327" max="13327" width="16.5703125" style="108" customWidth="1"/>
    <col min="13328" max="13328" width="13.28515625" style="108" customWidth="1"/>
    <col min="13329" max="13329" width="16.5703125" style="108" customWidth="1"/>
    <col min="13330" max="13330" width="13.7109375" style="108" customWidth="1"/>
    <col min="13331" max="13331" width="15.7109375" style="108" customWidth="1"/>
    <col min="13332" max="13332" width="12.5703125" style="108" customWidth="1"/>
    <col min="13333" max="13333" width="19.140625" style="108" customWidth="1"/>
    <col min="13334" max="13334" width="12.28515625" style="108" customWidth="1"/>
    <col min="13335" max="13335" width="17.140625" style="108" customWidth="1"/>
    <col min="13336" max="13336" width="12.5703125" style="108" customWidth="1"/>
    <col min="13337" max="13337" width="17.7109375" style="108" customWidth="1"/>
    <col min="13338" max="13338" width="12.140625" style="108" customWidth="1"/>
    <col min="13339" max="13339" width="30.5703125" style="108" customWidth="1"/>
    <col min="13340" max="13343" width="8.140625" style="108" customWidth="1"/>
    <col min="13344" max="13344" width="9.42578125" style="108" customWidth="1"/>
    <col min="13345" max="13345" width="8.140625" style="108" customWidth="1"/>
    <col min="13346" max="13350" width="7.85546875" style="108" customWidth="1"/>
    <col min="13351" max="13351" width="11.28515625" style="108" customWidth="1"/>
    <col min="13352" max="13352" width="2.28515625" style="108" customWidth="1"/>
    <col min="13353" max="13353" width="19.42578125" style="108"/>
    <col min="13354" max="13379" width="11.28515625" style="108" customWidth="1"/>
    <col min="13380" max="13391" width="8.85546875" style="108" customWidth="1"/>
    <col min="13392" max="13569" width="19.42578125" style="108"/>
    <col min="13570" max="13572" width="11" style="108" customWidth="1"/>
    <col min="13573" max="13573" width="16.140625" style="108" customWidth="1"/>
    <col min="13574" max="13574" width="12.42578125" style="108" customWidth="1"/>
    <col min="13575" max="13575" width="14.28515625" style="108" customWidth="1"/>
    <col min="13576" max="13576" width="12" style="108" customWidth="1"/>
    <col min="13577" max="13577" width="16.7109375" style="108" customWidth="1"/>
    <col min="13578" max="13578" width="12" style="108" customWidth="1"/>
    <col min="13579" max="13579" width="16.28515625" style="108" customWidth="1"/>
    <col min="13580" max="13580" width="12.28515625" style="108" customWidth="1"/>
    <col min="13581" max="13581" width="17.42578125" style="108" customWidth="1"/>
    <col min="13582" max="13582" width="12" style="108" customWidth="1"/>
    <col min="13583" max="13583" width="16.5703125" style="108" customWidth="1"/>
    <col min="13584" max="13584" width="13.28515625" style="108" customWidth="1"/>
    <col min="13585" max="13585" width="16.5703125" style="108" customWidth="1"/>
    <col min="13586" max="13586" width="13.7109375" style="108" customWidth="1"/>
    <col min="13587" max="13587" width="15.7109375" style="108" customWidth="1"/>
    <col min="13588" max="13588" width="12.5703125" style="108" customWidth="1"/>
    <col min="13589" max="13589" width="19.140625" style="108" customWidth="1"/>
    <col min="13590" max="13590" width="12.28515625" style="108" customWidth="1"/>
    <col min="13591" max="13591" width="17.140625" style="108" customWidth="1"/>
    <col min="13592" max="13592" width="12.5703125" style="108" customWidth="1"/>
    <col min="13593" max="13593" width="17.7109375" style="108" customWidth="1"/>
    <col min="13594" max="13594" width="12.140625" style="108" customWidth="1"/>
    <col min="13595" max="13595" width="30.5703125" style="108" customWidth="1"/>
    <col min="13596" max="13599" width="8.140625" style="108" customWidth="1"/>
    <col min="13600" max="13600" width="9.42578125" style="108" customWidth="1"/>
    <col min="13601" max="13601" width="8.140625" style="108" customWidth="1"/>
    <col min="13602" max="13606" width="7.85546875" style="108" customWidth="1"/>
    <col min="13607" max="13607" width="11.28515625" style="108" customWidth="1"/>
    <col min="13608" max="13608" width="2.28515625" style="108" customWidth="1"/>
    <col min="13609" max="13609" width="19.42578125" style="108"/>
    <col min="13610" max="13635" width="11.28515625" style="108" customWidth="1"/>
    <col min="13636" max="13647" width="8.85546875" style="108" customWidth="1"/>
    <col min="13648" max="13825" width="19.42578125" style="108"/>
    <col min="13826" max="13828" width="11" style="108" customWidth="1"/>
    <col min="13829" max="13829" width="16.140625" style="108" customWidth="1"/>
    <col min="13830" max="13830" width="12.42578125" style="108" customWidth="1"/>
    <col min="13831" max="13831" width="14.28515625" style="108" customWidth="1"/>
    <col min="13832" max="13832" width="12" style="108" customWidth="1"/>
    <col min="13833" max="13833" width="16.7109375" style="108" customWidth="1"/>
    <col min="13834" max="13834" width="12" style="108" customWidth="1"/>
    <col min="13835" max="13835" width="16.28515625" style="108" customWidth="1"/>
    <col min="13836" max="13836" width="12.28515625" style="108" customWidth="1"/>
    <col min="13837" max="13837" width="17.42578125" style="108" customWidth="1"/>
    <col min="13838" max="13838" width="12" style="108" customWidth="1"/>
    <col min="13839" max="13839" width="16.5703125" style="108" customWidth="1"/>
    <col min="13840" max="13840" width="13.28515625" style="108" customWidth="1"/>
    <col min="13841" max="13841" width="16.5703125" style="108" customWidth="1"/>
    <col min="13842" max="13842" width="13.7109375" style="108" customWidth="1"/>
    <col min="13843" max="13843" width="15.7109375" style="108" customWidth="1"/>
    <col min="13844" max="13844" width="12.5703125" style="108" customWidth="1"/>
    <col min="13845" max="13845" width="19.140625" style="108" customWidth="1"/>
    <col min="13846" max="13846" width="12.28515625" style="108" customWidth="1"/>
    <col min="13847" max="13847" width="17.140625" style="108" customWidth="1"/>
    <col min="13848" max="13848" width="12.5703125" style="108" customWidth="1"/>
    <col min="13849" max="13849" width="17.7109375" style="108" customWidth="1"/>
    <col min="13850" max="13850" width="12.140625" style="108" customWidth="1"/>
    <col min="13851" max="13851" width="30.5703125" style="108" customWidth="1"/>
    <col min="13852" max="13855" width="8.140625" style="108" customWidth="1"/>
    <col min="13856" max="13856" width="9.42578125" style="108" customWidth="1"/>
    <col min="13857" max="13857" width="8.140625" style="108" customWidth="1"/>
    <col min="13858" max="13862" width="7.85546875" style="108" customWidth="1"/>
    <col min="13863" max="13863" width="11.28515625" style="108" customWidth="1"/>
    <col min="13864" max="13864" width="2.28515625" style="108" customWidth="1"/>
    <col min="13865" max="13865" width="19.42578125" style="108"/>
    <col min="13866" max="13891" width="11.28515625" style="108" customWidth="1"/>
    <col min="13892" max="13903" width="8.85546875" style="108" customWidth="1"/>
    <col min="13904" max="14081" width="19.42578125" style="108"/>
    <col min="14082" max="14084" width="11" style="108" customWidth="1"/>
    <col min="14085" max="14085" width="16.140625" style="108" customWidth="1"/>
    <col min="14086" max="14086" width="12.42578125" style="108" customWidth="1"/>
    <col min="14087" max="14087" width="14.28515625" style="108" customWidth="1"/>
    <col min="14088" max="14088" width="12" style="108" customWidth="1"/>
    <col min="14089" max="14089" width="16.7109375" style="108" customWidth="1"/>
    <col min="14090" max="14090" width="12" style="108" customWidth="1"/>
    <col min="14091" max="14091" width="16.28515625" style="108" customWidth="1"/>
    <col min="14092" max="14092" width="12.28515625" style="108" customWidth="1"/>
    <col min="14093" max="14093" width="17.42578125" style="108" customWidth="1"/>
    <col min="14094" max="14094" width="12" style="108" customWidth="1"/>
    <col min="14095" max="14095" width="16.5703125" style="108" customWidth="1"/>
    <col min="14096" max="14096" width="13.28515625" style="108" customWidth="1"/>
    <col min="14097" max="14097" width="16.5703125" style="108" customWidth="1"/>
    <col min="14098" max="14098" width="13.7109375" style="108" customWidth="1"/>
    <col min="14099" max="14099" width="15.7109375" style="108" customWidth="1"/>
    <col min="14100" max="14100" width="12.5703125" style="108" customWidth="1"/>
    <col min="14101" max="14101" width="19.140625" style="108" customWidth="1"/>
    <col min="14102" max="14102" width="12.28515625" style="108" customWidth="1"/>
    <col min="14103" max="14103" width="17.140625" style="108" customWidth="1"/>
    <col min="14104" max="14104" width="12.5703125" style="108" customWidth="1"/>
    <col min="14105" max="14105" width="17.7109375" style="108" customWidth="1"/>
    <col min="14106" max="14106" width="12.140625" style="108" customWidth="1"/>
    <col min="14107" max="14107" width="30.5703125" style="108" customWidth="1"/>
    <col min="14108" max="14111" width="8.140625" style="108" customWidth="1"/>
    <col min="14112" max="14112" width="9.42578125" style="108" customWidth="1"/>
    <col min="14113" max="14113" width="8.140625" style="108" customWidth="1"/>
    <col min="14114" max="14118" width="7.85546875" style="108" customWidth="1"/>
    <col min="14119" max="14119" width="11.28515625" style="108" customWidth="1"/>
    <col min="14120" max="14120" width="2.28515625" style="108" customWidth="1"/>
    <col min="14121" max="14121" width="19.42578125" style="108"/>
    <col min="14122" max="14147" width="11.28515625" style="108" customWidth="1"/>
    <col min="14148" max="14159" width="8.85546875" style="108" customWidth="1"/>
    <col min="14160" max="14337" width="19.42578125" style="108"/>
    <col min="14338" max="14340" width="11" style="108" customWidth="1"/>
    <col min="14341" max="14341" width="16.140625" style="108" customWidth="1"/>
    <col min="14342" max="14342" width="12.42578125" style="108" customWidth="1"/>
    <col min="14343" max="14343" width="14.28515625" style="108" customWidth="1"/>
    <col min="14344" max="14344" width="12" style="108" customWidth="1"/>
    <col min="14345" max="14345" width="16.7109375" style="108" customWidth="1"/>
    <col min="14346" max="14346" width="12" style="108" customWidth="1"/>
    <col min="14347" max="14347" width="16.28515625" style="108" customWidth="1"/>
    <col min="14348" max="14348" width="12.28515625" style="108" customWidth="1"/>
    <col min="14349" max="14349" width="17.42578125" style="108" customWidth="1"/>
    <col min="14350" max="14350" width="12" style="108" customWidth="1"/>
    <col min="14351" max="14351" width="16.5703125" style="108" customWidth="1"/>
    <col min="14352" max="14352" width="13.28515625" style="108" customWidth="1"/>
    <col min="14353" max="14353" width="16.5703125" style="108" customWidth="1"/>
    <col min="14354" max="14354" width="13.7109375" style="108" customWidth="1"/>
    <col min="14355" max="14355" width="15.7109375" style="108" customWidth="1"/>
    <col min="14356" max="14356" width="12.5703125" style="108" customWidth="1"/>
    <col min="14357" max="14357" width="19.140625" style="108" customWidth="1"/>
    <col min="14358" max="14358" width="12.28515625" style="108" customWidth="1"/>
    <col min="14359" max="14359" width="17.140625" style="108" customWidth="1"/>
    <col min="14360" max="14360" width="12.5703125" style="108" customWidth="1"/>
    <col min="14361" max="14361" width="17.7109375" style="108" customWidth="1"/>
    <col min="14362" max="14362" width="12.140625" style="108" customWidth="1"/>
    <col min="14363" max="14363" width="30.5703125" style="108" customWidth="1"/>
    <col min="14364" max="14367" width="8.140625" style="108" customWidth="1"/>
    <col min="14368" max="14368" width="9.42578125" style="108" customWidth="1"/>
    <col min="14369" max="14369" width="8.140625" style="108" customWidth="1"/>
    <col min="14370" max="14374" width="7.85546875" style="108" customWidth="1"/>
    <col min="14375" max="14375" width="11.28515625" style="108" customWidth="1"/>
    <col min="14376" max="14376" width="2.28515625" style="108" customWidth="1"/>
    <col min="14377" max="14377" width="19.42578125" style="108"/>
    <col min="14378" max="14403" width="11.28515625" style="108" customWidth="1"/>
    <col min="14404" max="14415" width="8.85546875" style="108" customWidth="1"/>
    <col min="14416" max="14593" width="19.42578125" style="108"/>
    <col min="14594" max="14596" width="11" style="108" customWidth="1"/>
    <col min="14597" max="14597" width="16.140625" style="108" customWidth="1"/>
    <col min="14598" max="14598" width="12.42578125" style="108" customWidth="1"/>
    <col min="14599" max="14599" width="14.28515625" style="108" customWidth="1"/>
    <col min="14600" max="14600" width="12" style="108" customWidth="1"/>
    <col min="14601" max="14601" width="16.7109375" style="108" customWidth="1"/>
    <col min="14602" max="14602" width="12" style="108" customWidth="1"/>
    <col min="14603" max="14603" width="16.28515625" style="108" customWidth="1"/>
    <col min="14604" max="14604" width="12.28515625" style="108" customWidth="1"/>
    <col min="14605" max="14605" width="17.42578125" style="108" customWidth="1"/>
    <col min="14606" max="14606" width="12" style="108" customWidth="1"/>
    <col min="14607" max="14607" width="16.5703125" style="108" customWidth="1"/>
    <col min="14608" max="14608" width="13.28515625" style="108" customWidth="1"/>
    <col min="14609" max="14609" width="16.5703125" style="108" customWidth="1"/>
    <col min="14610" max="14610" width="13.7109375" style="108" customWidth="1"/>
    <col min="14611" max="14611" width="15.7109375" style="108" customWidth="1"/>
    <col min="14612" max="14612" width="12.5703125" style="108" customWidth="1"/>
    <col min="14613" max="14613" width="19.140625" style="108" customWidth="1"/>
    <col min="14614" max="14614" width="12.28515625" style="108" customWidth="1"/>
    <col min="14615" max="14615" width="17.140625" style="108" customWidth="1"/>
    <col min="14616" max="14616" width="12.5703125" style="108" customWidth="1"/>
    <col min="14617" max="14617" width="17.7109375" style="108" customWidth="1"/>
    <col min="14618" max="14618" width="12.140625" style="108" customWidth="1"/>
    <col min="14619" max="14619" width="30.5703125" style="108" customWidth="1"/>
    <col min="14620" max="14623" width="8.140625" style="108" customWidth="1"/>
    <col min="14624" max="14624" width="9.42578125" style="108" customWidth="1"/>
    <col min="14625" max="14625" width="8.140625" style="108" customWidth="1"/>
    <col min="14626" max="14630" width="7.85546875" style="108" customWidth="1"/>
    <col min="14631" max="14631" width="11.28515625" style="108" customWidth="1"/>
    <col min="14632" max="14632" width="2.28515625" style="108" customWidth="1"/>
    <col min="14633" max="14633" width="19.42578125" style="108"/>
    <col min="14634" max="14659" width="11.28515625" style="108" customWidth="1"/>
    <col min="14660" max="14671" width="8.85546875" style="108" customWidth="1"/>
    <col min="14672" max="14849" width="19.42578125" style="108"/>
    <col min="14850" max="14852" width="11" style="108" customWidth="1"/>
    <col min="14853" max="14853" width="16.140625" style="108" customWidth="1"/>
    <col min="14854" max="14854" width="12.42578125" style="108" customWidth="1"/>
    <col min="14855" max="14855" width="14.28515625" style="108" customWidth="1"/>
    <col min="14856" max="14856" width="12" style="108" customWidth="1"/>
    <col min="14857" max="14857" width="16.7109375" style="108" customWidth="1"/>
    <col min="14858" max="14858" width="12" style="108" customWidth="1"/>
    <col min="14859" max="14859" width="16.28515625" style="108" customWidth="1"/>
    <col min="14860" max="14860" width="12.28515625" style="108" customWidth="1"/>
    <col min="14861" max="14861" width="17.42578125" style="108" customWidth="1"/>
    <col min="14862" max="14862" width="12" style="108" customWidth="1"/>
    <col min="14863" max="14863" width="16.5703125" style="108" customWidth="1"/>
    <col min="14864" max="14864" width="13.28515625" style="108" customWidth="1"/>
    <col min="14865" max="14865" width="16.5703125" style="108" customWidth="1"/>
    <col min="14866" max="14866" width="13.7109375" style="108" customWidth="1"/>
    <col min="14867" max="14867" width="15.7109375" style="108" customWidth="1"/>
    <col min="14868" max="14868" width="12.5703125" style="108" customWidth="1"/>
    <col min="14869" max="14869" width="19.140625" style="108" customWidth="1"/>
    <col min="14870" max="14870" width="12.28515625" style="108" customWidth="1"/>
    <col min="14871" max="14871" width="17.140625" style="108" customWidth="1"/>
    <col min="14872" max="14872" width="12.5703125" style="108" customWidth="1"/>
    <col min="14873" max="14873" width="17.7109375" style="108" customWidth="1"/>
    <col min="14874" max="14874" width="12.140625" style="108" customWidth="1"/>
    <col min="14875" max="14875" width="30.5703125" style="108" customWidth="1"/>
    <col min="14876" max="14879" width="8.140625" style="108" customWidth="1"/>
    <col min="14880" max="14880" width="9.42578125" style="108" customWidth="1"/>
    <col min="14881" max="14881" width="8.140625" style="108" customWidth="1"/>
    <col min="14882" max="14886" width="7.85546875" style="108" customWidth="1"/>
    <col min="14887" max="14887" width="11.28515625" style="108" customWidth="1"/>
    <col min="14888" max="14888" width="2.28515625" style="108" customWidth="1"/>
    <col min="14889" max="14889" width="19.42578125" style="108"/>
    <col min="14890" max="14915" width="11.28515625" style="108" customWidth="1"/>
    <col min="14916" max="14927" width="8.85546875" style="108" customWidth="1"/>
    <col min="14928" max="15105" width="19.42578125" style="108"/>
    <col min="15106" max="15108" width="11" style="108" customWidth="1"/>
    <col min="15109" max="15109" width="16.140625" style="108" customWidth="1"/>
    <col min="15110" max="15110" width="12.42578125" style="108" customWidth="1"/>
    <col min="15111" max="15111" width="14.28515625" style="108" customWidth="1"/>
    <col min="15112" max="15112" width="12" style="108" customWidth="1"/>
    <col min="15113" max="15113" width="16.7109375" style="108" customWidth="1"/>
    <col min="15114" max="15114" width="12" style="108" customWidth="1"/>
    <col min="15115" max="15115" width="16.28515625" style="108" customWidth="1"/>
    <col min="15116" max="15116" width="12.28515625" style="108" customWidth="1"/>
    <col min="15117" max="15117" width="17.42578125" style="108" customWidth="1"/>
    <col min="15118" max="15118" width="12" style="108" customWidth="1"/>
    <col min="15119" max="15119" width="16.5703125" style="108" customWidth="1"/>
    <col min="15120" max="15120" width="13.28515625" style="108" customWidth="1"/>
    <col min="15121" max="15121" width="16.5703125" style="108" customWidth="1"/>
    <col min="15122" max="15122" width="13.7109375" style="108" customWidth="1"/>
    <col min="15123" max="15123" width="15.7109375" style="108" customWidth="1"/>
    <col min="15124" max="15124" width="12.5703125" style="108" customWidth="1"/>
    <col min="15125" max="15125" width="19.140625" style="108" customWidth="1"/>
    <col min="15126" max="15126" width="12.28515625" style="108" customWidth="1"/>
    <col min="15127" max="15127" width="17.140625" style="108" customWidth="1"/>
    <col min="15128" max="15128" width="12.5703125" style="108" customWidth="1"/>
    <col min="15129" max="15129" width="17.7109375" style="108" customWidth="1"/>
    <col min="15130" max="15130" width="12.140625" style="108" customWidth="1"/>
    <col min="15131" max="15131" width="30.5703125" style="108" customWidth="1"/>
    <col min="15132" max="15135" width="8.140625" style="108" customWidth="1"/>
    <col min="15136" max="15136" width="9.42578125" style="108" customWidth="1"/>
    <col min="15137" max="15137" width="8.140625" style="108" customWidth="1"/>
    <col min="15138" max="15142" width="7.85546875" style="108" customWidth="1"/>
    <col min="15143" max="15143" width="11.28515625" style="108" customWidth="1"/>
    <col min="15144" max="15144" width="2.28515625" style="108" customWidth="1"/>
    <col min="15145" max="15145" width="19.42578125" style="108"/>
    <col min="15146" max="15171" width="11.28515625" style="108" customWidth="1"/>
    <col min="15172" max="15183" width="8.85546875" style="108" customWidth="1"/>
    <col min="15184" max="15361" width="19.42578125" style="108"/>
    <col min="15362" max="15364" width="11" style="108" customWidth="1"/>
    <col min="15365" max="15365" width="16.140625" style="108" customWidth="1"/>
    <col min="15366" max="15366" width="12.42578125" style="108" customWidth="1"/>
    <col min="15367" max="15367" width="14.28515625" style="108" customWidth="1"/>
    <col min="15368" max="15368" width="12" style="108" customWidth="1"/>
    <col min="15369" max="15369" width="16.7109375" style="108" customWidth="1"/>
    <col min="15370" max="15370" width="12" style="108" customWidth="1"/>
    <col min="15371" max="15371" width="16.28515625" style="108" customWidth="1"/>
    <col min="15372" max="15372" width="12.28515625" style="108" customWidth="1"/>
    <col min="15373" max="15373" width="17.42578125" style="108" customWidth="1"/>
    <col min="15374" max="15374" width="12" style="108" customWidth="1"/>
    <col min="15375" max="15375" width="16.5703125" style="108" customWidth="1"/>
    <col min="15376" max="15376" width="13.28515625" style="108" customWidth="1"/>
    <col min="15377" max="15377" width="16.5703125" style="108" customWidth="1"/>
    <col min="15378" max="15378" width="13.7109375" style="108" customWidth="1"/>
    <col min="15379" max="15379" width="15.7109375" style="108" customWidth="1"/>
    <col min="15380" max="15380" width="12.5703125" style="108" customWidth="1"/>
    <col min="15381" max="15381" width="19.140625" style="108" customWidth="1"/>
    <col min="15382" max="15382" width="12.28515625" style="108" customWidth="1"/>
    <col min="15383" max="15383" width="17.140625" style="108" customWidth="1"/>
    <col min="15384" max="15384" width="12.5703125" style="108" customWidth="1"/>
    <col min="15385" max="15385" width="17.7109375" style="108" customWidth="1"/>
    <col min="15386" max="15386" width="12.140625" style="108" customWidth="1"/>
    <col min="15387" max="15387" width="30.5703125" style="108" customWidth="1"/>
    <col min="15388" max="15391" width="8.140625" style="108" customWidth="1"/>
    <col min="15392" max="15392" width="9.42578125" style="108" customWidth="1"/>
    <col min="15393" max="15393" width="8.140625" style="108" customWidth="1"/>
    <col min="15394" max="15398" width="7.85546875" style="108" customWidth="1"/>
    <col min="15399" max="15399" width="11.28515625" style="108" customWidth="1"/>
    <col min="15400" max="15400" width="2.28515625" style="108" customWidth="1"/>
    <col min="15401" max="15401" width="19.42578125" style="108"/>
    <col min="15402" max="15427" width="11.28515625" style="108" customWidth="1"/>
    <col min="15428" max="15439" width="8.85546875" style="108" customWidth="1"/>
    <col min="15440" max="15617" width="19.42578125" style="108"/>
    <col min="15618" max="15620" width="11" style="108" customWidth="1"/>
    <col min="15621" max="15621" width="16.140625" style="108" customWidth="1"/>
    <col min="15622" max="15622" width="12.42578125" style="108" customWidth="1"/>
    <col min="15623" max="15623" width="14.28515625" style="108" customWidth="1"/>
    <col min="15624" max="15624" width="12" style="108" customWidth="1"/>
    <col min="15625" max="15625" width="16.7109375" style="108" customWidth="1"/>
    <col min="15626" max="15626" width="12" style="108" customWidth="1"/>
    <col min="15627" max="15627" width="16.28515625" style="108" customWidth="1"/>
    <col min="15628" max="15628" width="12.28515625" style="108" customWidth="1"/>
    <col min="15629" max="15629" width="17.42578125" style="108" customWidth="1"/>
    <col min="15630" max="15630" width="12" style="108" customWidth="1"/>
    <col min="15631" max="15631" width="16.5703125" style="108" customWidth="1"/>
    <col min="15632" max="15632" width="13.28515625" style="108" customWidth="1"/>
    <col min="15633" max="15633" width="16.5703125" style="108" customWidth="1"/>
    <col min="15634" max="15634" width="13.7109375" style="108" customWidth="1"/>
    <col min="15635" max="15635" width="15.7109375" style="108" customWidth="1"/>
    <col min="15636" max="15636" width="12.5703125" style="108" customWidth="1"/>
    <col min="15637" max="15637" width="19.140625" style="108" customWidth="1"/>
    <col min="15638" max="15638" width="12.28515625" style="108" customWidth="1"/>
    <col min="15639" max="15639" width="17.140625" style="108" customWidth="1"/>
    <col min="15640" max="15640" width="12.5703125" style="108" customWidth="1"/>
    <col min="15641" max="15641" width="17.7109375" style="108" customWidth="1"/>
    <col min="15642" max="15642" width="12.140625" style="108" customWidth="1"/>
    <col min="15643" max="15643" width="30.5703125" style="108" customWidth="1"/>
    <col min="15644" max="15647" width="8.140625" style="108" customWidth="1"/>
    <col min="15648" max="15648" width="9.42578125" style="108" customWidth="1"/>
    <col min="15649" max="15649" width="8.140625" style="108" customWidth="1"/>
    <col min="15650" max="15654" width="7.85546875" style="108" customWidth="1"/>
    <col min="15655" max="15655" width="11.28515625" style="108" customWidth="1"/>
    <col min="15656" max="15656" width="2.28515625" style="108" customWidth="1"/>
    <col min="15657" max="15657" width="19.42578125" style="108"/>
    <col min="15658" max="15683" width="11.28515625" style="108" customWidth="1"/>
    <col min="15684" max="15695" width="8.85546875" style="108" customWidth="1"/>
    <col min="15696" max="15873" width="19.42578125" style="108"/>
    <col min="15874" max="15876" width="11" style="108" customWidth="1"/>
    <col min="15877" max="15877" width="16.140625" style="108" customWidth="1"/>
    <col min="15878" max="15878" width="12.42578125" style="108" customWidth="1"/>
    <col min="15879" max="15879" width="14.28515625" style="108" customWidth="1"/>
    <col min="15880" max="15880" width="12" style="108" customWidth="1"/>
    <col min="15881" max="15881" width="16.7109375" style="108" customWidth="1"/>
    <col min="15882" max="15882" width="12" style="108" customWidth="1"/>
    <col min="15883" max="15883" width="16.28515625" style="108" customWidth="1"/>
    <col min="15884" max="15884" width="12.28515625" style="108" customWidth="1"/>
    <col min="15885" max="15885" width="17.42578125" style="108" customWidth="1"/>
    <col min="15886" max="15886" width="12" style="108" customWidth="1"/>
    <col min="15887" max="15887" width="16.5703125" style="108" customWidth="1"/>
    <col min="15888" max="15888" width="13.28515625" style="108" customWidth="1"/>
    <col min="15889" max="15889" width="16.5703125" style="108" customWidth="1"/>
    <col min="15890" max="15890" width="13.7109375" style="108" customWidth="1"/>
    <col min="15891" max="15891" width="15.7109375" style="108" customWidth="1"/>
    <col min="15892" max="15892" width="12.5703125" style="108" customWidth="1"/>
    <col min="15893" max="15893" width="19.140625" style="108" customWidth="1"/>
    <col min="15894" max="15894" width="12.28515625" style="108" customWidth="1"/>
    <col min="15895" max="15895" width="17.140625" style="108" customWidth="1"/>
    <col min="15896" max="15896" width="12.5703125" style="108" customWidth="1"/>
    <col min="15897" max="15897" width="17.7109375" style="108" customWidth="1"/>
    <col min="15898" max="15898" width="12.140625" style="108" customWidth="1"/>
    <col min="15899" max="15899" width="30.5703125" style="108" customWidth="1"/>
    <col min="15900" max="15903" width="8.140625" style="108" customWidth="1"/>
    <col min="15904" max="15904" width="9.42578125" style="108" customWidth="1"/>
    <col min="15905" max="15905" width="8.140625" style="108" customWidth="1"/>
    <col min="15906" max="15910" width="7.85546875" style="108" customWidth="1"/>
    <col min="15911" max="15911" width="11.28515625" style="108" customWidth="1"/>
    <col min="15912" max="15912" width="2.28515625" style="108" customWidth="1"/>
    <col min="15913" max="15913" width="19.42578125" style="108"/>
    <col min="15914" max="15939" width="11.28515625" style="108" customWidth="1"/>
    <col min="15940" max="15951" width="8.85546875" style="108" customWidth="1"/>
    <col min="15952" max="16129" width="19.42578125" style="108"/>
    <col min="16130" max="16132" width="11" style="108" customWidth="1"/>
    <col min="16133" max="16133" width="16.140625" style="108" customWidth="1"/>
    <col min="16134" max="16134" width="12.42578125" style="108" customWidth="1"/>
    <col min="16135" max="16135" width="14.28515625" style="108" customWidth="1"/>
    <col min="16136" max="16136" width="12" style="108" customWidth="1"/>
    <col min="16137" max="16137" width="16.7109375" style="108" customWidth="1"/>
    <col min="16138" max="16138" width="12" style="108" customWidth="1"/>
    <col min="16139" max="16139" width="16.28515625" style="108" customWidth="1"/>
    <col min="16140" max="16140" width="12.28515625" style="108" customWidth="1"/>
    <col min="16141" max="16141" width="17.42578125" style="108" customWidth="1"/>
    <col min="16142" max="16142" width="12" style="108" customWidth="1"/>
    <col min="16143" max="16143" width="16.5703125" style="108" customWidth="1"/>
    <col min="16144" max="16144" width="13.28515625" style="108" customWidth="1"/>
    <col min="16145" max="16145" width="16.5703125" style="108" customWidth="1"/>
    <col min="16146" max="16146" width="13.7109375" style="108" customWidth="1"/>
    <col min="16147" max="16147" width="15.7109375" style="108" customWidth="1"/>
    <col min="16148" max="16148" width="12.5703125" style="108" customWidth="1"/>
    <col min="16149" max="16149" width="19.140625" style="108" customWidth="1"/>
    <col min="16150" max="16150" width="12.28515625" style="108" customWidth="1"/>
    <col min="16151" max="16151" width="17.140625" style="108" customWidth="1"/>
    <col min="16152" max="16152" width="12.5703125" style="108" customWidth="1"/>
    <col min="16153" max="16153" width="17.7109375" style="108" customWidth="1"/>
    <col min="16154" max="16154" width="12.140625" style="108" customWidth="1"/>
    <col min="16155" max="16155" width="30.5703125" style="108" customWidth="1"/>
    <col min="16156" max="16159" width="8.140625" style="108" customWidth="1"/>
    <col min="16160" max="16160" width="9.42578125" style="108" customWidth="1"/>
    <col min="16161" max="16161" width="8.140625" style="108" customWidth="1"/>
    <col min="16162" max="16166" width="7.85546875" style="108" customWidth="1"/>
    <col min="16167" max="16167" width="11.28515625" style="108" customWidth="1"/>
    <col min="16168" max="16168" width="2.28515625" style="108" customWidth="1"/>
    <col min="16169" max="16169" width="19.42578125" style="108"/>
    <col min="16170" max="16195" width="11.28515625" style="108" customWidth="1"/>
    <col min="16196" max="16207" width="8.85546875" style="108" customWidth="1"/>
    <col min="16208" max="16384" width="19.42578125" style="108"/>
  </cols>
  <sheetData>
    <row r="1" spans="1:84" ht="15.95" customHeight="1">
      <c r="A1" s="1026" t="s">
        <v>0</v>
      </c>
      <c r="B1" s="1026"/>
      <c r="C1" s="1026"/>
      <c r="D1" s="1026"/>
      <c r="E1" s="1026"/>
      <c r="F1" s="1026"/>
      <c r="G1" s="1026"/>
      <c r="H1" s="1026"/>
      <c r="I1" s="1026"/>
      <c r="J1" s="1026"/>
      <c r="K1" s="1026"/>
      <c r="L1" s="1026"/>
      <c r="M1" s="1026"/>
      <c r="N1" s="1026"/>
      <c r="O1" s="1026"/>
      <c r="P1" s="1026"/>
      <c r="Q1" s="1026"/>
      <c r="R1" s="1026"/>
      <c r="S1" s="1026"/>
      <c r="T1" s="1026"/>
      <c r="U1" s="1026"/>
      <c r="V1" s="1026"/>
      <c r="W1" s="1026"/>
      <c r="X1" s="1026"/>
      <c r="Y1" s="1026"/>
      <c r="Z1" s="1026"/>
      <c r="AA1" s="1026"/>
      <c r="AB1" s="1026"/>
      <c r="AC1" s="1026"/>
      <c r="AD1" s="1026"/>
      <c r="AE1" s="1026"/>
      <c r="AF1" s="1026"/>
      <c r="AG1" s="1026"/>
      <c r="AH1" s="1026"/>
      <c r="AI1" s="1026"/>
      <c r="AJ1" s="1026"/>
      <c r="AK1" s="1026"/>
      <c r="AL1" s="1026"/>
      <c r="AM1" s="1026"/>
      <c r="AN1" s="1026"/>
      <c r="AO1" s="1026"/>
      <c r="AP1" s="1026"/>
      <c r="AQ1" s="1026"/>
      <c r="AR1" s="1026"/>
      <c r="AS1" s="1026"/>
      <c r="AT1" s="1026"/>
      <c r="AU1" s="1026"/>
      <c r="AV1" s="1026"/>
      <c r="AW1" s="1026"/>
      <c r="AX1" s="1026"/>
      <c r="AY1" s="1026"/>
      <c r="AZ1" s="1026"/>
      <c r="BA1" s="1026"/>
      <c r="BB1" s="1026"/>
      <c r="BC1" s="1026"/>
      <c r="BD1" s="1026"/>
      <c r="BE1" s="1026"/>
      <c r="BF1" s="1026"/>
      <c r="BG1" s="1026"/>
      <c r="BH1" s="1026"/>
      <c r="BI1" s="1026"/>
      <c r="BJ1" s="1026"/>
      <c r="BK1" s="1026"/>
      <c r="BL1" s="1026"/>
      <c r="BM1" s="1026"/>
      <c r="BN1" s="1026"/>
      <c r="BO1" s="1026"/>
      <c r="BP1" s="1026"/>
      <c r="BQ1" s="1026"/>
      <c r="BR1" s="1026"/>
      <c r="BS1" s="1026"/>
      <c r="BT1" s="1026"/>
      <c r="BU1" s="1026"/>
      <c r="BV1" s="1026"/>
      <c r="BW1" s="1026"/>
      <c r="BX1" s="1026"/>
      <c r="BY1" s="1027" t="s">
        <v>1</v>
      </c>
      <c r="BZ1" s="1027"/>
      <c r="CA1" s="1027"/>
    </row>
    <row r="2" spans="1:84" ht="15.95" customHeight="1">
      <c r="A2" s="1026" t="s">
        <v>2</v>
      </c>
      <c r="B2" s="1026"/>
      <c r="C2" s="1026"/>
      <c r="D2" s="1026"/>
      <c r="E2" s="1026"/>
      <c r="F2" s="1026"/>
      <c r="G2" s="1026"/>
      <c r="H2" s="1026"/>
      <c r="I2" s="1026"/>
      <c r="J2" s="1026"/>
      <c r="K2" s="1026"/>
      <c r="L2" s="1026"/>
      <c r="M2" s="1026"/>
      <c r="N2" s="1026"/>
      <c r="O2" s="1026"/>
      <c r="P2" s="1026"/>
      <c r="Q2" s="1026"/>
      <c r="R2" s="1026"/>
      <c r="S2" s="1026"/>
      <c r="T2" s="1026"/>
      <c r="U2" s="1026"/>
      <c r="V2" s="1026"/>
      <c r="W2" s="1026"/>
      <c r="X2" s="1026"/>
      <c r="Y2" s="1026"/>
      <c r="Z2" s="1026"/>
      <c r="AA2" s="1026"/>
      <c r="AB2" s="1026"/>
      <c r="AC2" s="1026"/>
      <c r="AD2" s="1026"/>
      <c r="AE2" s="1026"/>
      <c r="AF2" s="1026"/>
      <c r="AG2" s="1026"/>
      <c r="AH2" s="1026"/>
      <c r="AI2" s="1026"/>
      <c r="AJ2" s="1026"/>
      <c r="AK2" s="1026"/>
      <c r="AL2" s="1026"/>
      <c r="AM2" s="1026"/>
      <c r="AN2" s="1026"/>
      <c r="AO2" s="1026"/>
      <c r="AP2" s="1026"/>
      <c r="AQ2" s="1026"/>
      <c r="AR2" s="1026"/>
      <c r="AS2" s="1026"/>
      <c r="AT2" s="1026"/>
      <c r="AU2" s="1026"/>
      <c r="AV2" s="1026"/>
      <c r="AW2" s="1026"/>
      <c r="AX2" s="1026"/>
      <c r="AY2" s="1026"/>
      <c r="AZ2" s="1026"/>
      <c r="BA2" s="1026"/>
      <c r="BB2" s="1026"/>
      <c r="BC2" s="1026"/>
      <c r="BD2" s="1026"/>
      <c r="BE2" s="1026"/>
      <c r="BF2" s="1026"/>
      <c r="BG2" s="1026"/>
      <c r="BH2" s="1026"/>
      <c r="BI2" s="1026"/>
      <c r="BJ2" s="1026"/>
      <c r="BK2" s="1026"/>
      <c r="BL2" s="1026"/>
      <c r="BM2" s="1026"/>
      <c r="BN2" s="1026"/>
      <c r="BO2" s="1026"/>
      <c r="BP2" s="1026"/>
      <c r="BQ2" s="1026"/>
      <c r="BR2" s="1026"/>
      <c r="BS2" s="1026"/>
      <c r="BT2" s="1026"/>
      <c r="BU2" s="1026"/>
      <c r="BV2" s="1026"/>
      <c r="BW2" s="1026"/>
      <c r="BX2" s="1026"/>
      <c r="BY2" s="1027" t="s">
        <v>3</v>
      </c>
      <c r="BZ2" s="1027"/>
      <c r="CA2" s="1027"/>
    </row>
    <row r="3" spans="1:84" ht="26.1" customHeight="1">
      <c r="A3" s="1026" t="s">
        <v>184</v>
      </c>
      <c r="B3" s="1026"/>
      <c r="C3" s="1026"/>
      <c r="D3" s="1026"/>
      <c r="E3" s="1026"/>
      <c r="F3" s="1026"/>
      <c r="G3" s="1026"/>
      <c r="H3" s="1026"/>
      <c r="I3" s="1026"/>
      <c r="J3" s="1026"/>
      <c r="K3" s="1026"/>
      <c r="L3" s="1026"/>
      <c r="M3" s="1026"/>
      <c r="N3" s="1026"/>
      <c r="O3" s="1026"/>
      <c r="P3" s="1026"/>
      <c r="Q3" s="1026"/>
      <c r="R3" s="1026"/>
      <c r="S3" s="1026"/>
      <c r="T3" s="1026"/>
      <c r="U3" s="1026"/>
      <c r="V3" s="1026"/>
      <c r="W3" s="1026"/>
      <c r="X3" s="1026"/>
      <c r="Y3" s="1026"/>
      <c r="Z3" s="1026"/>
      <c r="AA3" s="1026"/>
      <c r="AB3" s="1026"/>
      <c r="AC3" s="1026"/>
      <c r="AD3" s="1026"/>
      <c r="AE3" s="1026"/>
      <c r="AF3" s="1026"/>
      <c r="AG3" s="1026"/>
      <c r="AH3" s="1026"/>
      <c r="AI3" s="1026"/>
      <c r="AJ3" s="1026"/>
      <c r="AK3" s="1026"/>
      <c r="AL3" s="1026"/>
      <c r="AM3" s="1026"/>
      <c r="AN3" s="1026"/>
      <c r="AO3" s="1026"/>
      <c r="AP3" s="1026"/>
      <c r="AQ3" s="1026"/>
      <c r="AR3" s="1026"/>
      <c r="AS3" s="1026"/>
      <c r="AT3" s="1026"/>
      <c r="AU3" s="1026"/>
      <c r="AV3" s="1026"/>
      <c r="AW3" s="1026"/>
      <c r="AX3" s="1026"/>
      <c r="AY3" s="1026"/>
      <c r="AZ3" s="1026"/>
      <c r="BA3" s="1026"/>
      <c r="BB3" s="1026"/>
      <c r="BC3" s="1026"/>
      <c r="BD3" s="1026"/>
      <c r="BE3" s="1026"/>
      <c r="BF3" s="1026"/>
      <c r="BG3" s="1026"/>
      <c r="BH3" s="1026"/>
      <c r="BI3" s="1026"/>
      <c r="BJ3" s="1026"/>
      <c r="BK3" s="1026"/>
      <c r="BL3" s="1026"/>
      <c r="BM3" s="1026"/>
      <c r="BN3" s="1026"/>
      <c r="BO3" s="1026"/>
      <c r="BP3" s="1026"/>
      <c r="BQ3" s="1026"/>
      <c r="BR3" s="1026"/>
      <c r="BS3" s="1026"/>
      <c r="BT3" s="1026"/>
      <c r="BU3" s="1026"/>
      <c r="BV3" s="1026"/>
      <c r="BW3" s="1026"/>
      <c r="BX3" s="1026"/>
      <c r="BY3" s="1027" t="s">
        <v>5</v>
      </c>
      <c r="BZ3" s="1027"/>
      <c r="CA3" s="1027"/>
    </row>
    <row r="4" spans="1:84" ht="15.75" customHeight="1">
      <c r="A4" s="1026" t="s">
        <v>185</v>
      </c>
      <c r="B4" s="1026"/>
      <c r="C4" s="1026"/>
      <c r="D4" s="1026"/>
      <c r="E4" s="1026"/>
      <c r="F4" s="1026"/>
      <c r="G4" s="1026"/>
      <c r="H4" s="1026"/>
      <c r="I4" s="1026"/>
      <c r="J4" s="1026"/>
      <c r="K4" s="1026"/>
      <c r="L4" s="1026"/>
      <c r="M4" s="1026"/>
      <c r="N4" s="1026"/>
      <c r="O4" s="1026"/>
      <c r="P4" s="1026"/>
      <c r="Q4" s="1026"/>
      <c r="R4" s="1026"/>
      <c r="S4" s="1026"/>
      <c r="T4" s="1026"/>
      <c r="U4" s="1026"/>
      <c r="V4" s="1026"/>
      <c r="W4" s="1026"/>
      <c r="X4" s="1026"/>
      <c r="Y4" s="1026"/>
      <c r="Z4" s="1026"/>
      <c r="AA4" s="1026"/>
      <c r="AB4" s="1026"/>
      <c r="AC4" s="1026"/>
      <c r="AD4" s="1026"/>
      <c r="AE4" s="1026"/>
      <c r="AF4" s="1026"/>
      <c r="AG4" s="1026"/>
      <c r="AH4" s="1026"/>
      <c r="AI4" s="1026"/>
      <c r="AJ4" s="1026"/>
      <c r="AK4" s="1026"/>
      <c r="AL4" s="1026"/>
      <c r="AM4" s="1026"/>
      <c r="AN4" s="1026"/>
      <c r="AO4" s="1026"/>
      <c r="AP4" s="1026"/>
      <c r="AQ4" s="1026"/>
      <c r="AR4" s="1026"/>
      <c r="AS4" s="1026"/>
      <c r="AT4" s="1026"/>
      <c r="AU4" s="1026"/>
      <c r="AV4" s="1026"/>
      <c r="AW4" s="1026"/>
      <c r="AX4" s="1026"/>
      <c r="AY4" s="1026"/>
      <c r="AZ4" s="1026"/>
      <c r="BA4" s="1026"/>
      <c r="BB4" s="1026"/>
      <c r="BC4" s="1026"/>
      <c r="BD4" s="1026"/>
      <c r="BE4" s="1026"/>
      <c r="BF4" s="1026"/>
      <c r="BG4" s="1026"/>
      <c r="BH4" s="1026"/>
      <c r="BI4" s="1026"/>
      <c r="BJ4" s="1026"/>
      <c r="BK4" s="1026"/>
      <c r="BL4" s="1026"/>
      <c r="BM4" s="1026"/>
      <c r="BN4" s="1026"/>
      <c r="BO4" s="1026"/>
      <c r="BP4" s="1026"/>
      <c r="BQ4" s="1026"/>
      <c r="BR4" s="1026"/>
      <c r="BS4" s="1026"/>
      <c r="BT4" s="1026"/>
      <c r="BU4" s="1026"/>
      <c r="BV4" s="1026"/>
      <c r="BW4" s="1026"/>
      <c r="BX4" s="1026"/>
      <c r="BY4" s="1028" t="s">
        <v>186</v>
      </c>
      <c r="BZ4" s="1029"/>
      <c r="CA4" s="1030"/>
    </row>
    <row r="5" spans="1:84" ht="26.1" customHeight="1">
      <c r="A5" s="1031" t="s">
        <v>187</v>
      </c>
      <c r="B5" s="1031"/>
      <c r="C5" s="1031"/>
      <c r="D5" s="1031"/>
      <c r="E5" s="1031"/>
      <c r="F5" s="1031"/>
      <c r="G5" s="1031"/>
      <c r="H5" s="1031"/>
      <c r="I5" s="1031"/>
      <c r="J5" s="1031"/>
      <c r="K5" s="1031"/>
      <c r="L5" s="1031"/>
      <c r="M5" s="1031"/>
      <c r="N5" s="1031"/>
      <c r="O5" s="1031"/>
      <c r="P5" s="1031"/>
      <c r="Q5" s="1031"/>
      <c r="R5" s="1031"/>
      <c r="S5" s="1031"/>
      <c r="T5" s="1031"/>
      <c r="U5" s="1031"/>
      <c r="V5" s="1031"/>
      <c r="W5" s="1031"/>
      <c r="X5" s="1031"/>
      <c r="Y5" s="1031"/>
      <c r="Z5" s="1031"/>
      <c r="AA5" s="1031"/>
      <c r="AB5" s="1031"/>
      <c r="AC5" s="1031"/>
      <c r="AD5" s="1031"/>
      <c r="AE5" s="1031"/>
      <c r="AF5" s="1031"/>
      <c r="AG5" s="1031"/>
      <c r="AH5" s="1031"/>
      <c r="AI5" s="1031"/>
      <c r="AJ5" s="1031"/>
      <c r="AK5" s="1031"/>
      <c r="AL5" s="1031"/>
      <c r="AM5" s="1031"/>
      <c r="AO5" s="1031" t="s">
        <v>188</v>
      </c>
      <c r="AP5" s="1031"/>
      <c r="AQ5" s="1031"/>
      <c r="AR5" s="1031"/>
      <c r="AS5" s="1031"/>
      <c r="AT5" s="1031"/>
      <c r="AU5" s="1031"/>
      <c r="AV5" s="1031"/>
      <c r="AW5" s="1031"/>
      <c r="AX5" s="1031"/>
      <c r="AY5" s="1031"/>
      <c r="AZ5" s="1031"/>
      <c r="BA5" s="1031"/>
      <c r="BB5" s="1031"/>
      <c r="BC5" s="1031"/>
      <c r="BD5" s="1031"/>
      <c r="BE5" s="1031"/>
      <c r="BF5" s="1031"/>
      <c r="BG5" s="1031"/>
      <c r="BH5" s="1031"/>
      <c r="BI5" s="1031"/>
      <c r="BJ5" s="1031"/>
      <c r="BK5" s="1031"/>
      <c r="BL5" s="1031"/>
      <c r="BM5" s="1031"/>
      <c r="BN5" s="1031"/>
      <c r="BO5" s="1031"/>
      <c r="BP5" s="1031"/>
      <c r="BQ5" s="1031"/>
      <c r="BR5" s="1031"/>
      <c r="BS5" s="1031"/>
      <c r="BT5" s="1031"/>
      <c r="BU5" s="1031"/>
      <c r="BV5" s="1031"/>
      <c r="BW5" s="1031"/>
      <c r="BX5" s="1031"/>
      <c r="BY5" s="1032"/>
      <c r="BZ5" s="1032"/>
      <c r="CA5" s="1032"/>
    </row>
    <row r="6" spans="1:84" ht="28.5">
      <c r="A6" s="149" t="s">
        <v>189</v>
      </c>
      <c r="B6" s="1033" t="s">
        <v>698</v>
      </c>
      <c r="C6" s="1033"/>
      <c r="D6" s="1033"/>
      <c r="E6" s="1033"/>
      <c r="F6" s="1033"/>
      <c r="G6" s="1033"/>
      <c r="H6" s="1033"/>
      <c r="I6" s="1033"/>
      <c r="J6" s="1033"/>
      <c r="K6" s="1033"/>
      <c r="L6" s="1033"/>
      <c r="M6" s="1033"/>
      <c r="N6" s="1033"/>
      <c r="O6" s="1033"/>
      <c r="P6" s="1033"/>
      <c r="Q6" s="1033"/>
      <c r="R6" s="1033"/>
      <c r="S6" s="1033"/>
      <c r="T6" s="1033"/>
      <c r="U6" s="1033"/>
      <c r="V6" s="1033"/>
      <c r="W6" s="1033"/>
      <c r="X6" s="1033"/>
      <c r="Y6" s="1033"/>
      <c r="Z6" s="1033"/>
      <c r="AA6" s="1033"/>
      <c r="AB6" s="1033"/>
      <c r="AC6" s="1033"/>
      <c r="AD6" s="1033"/>
      <c r="AE6" s="1033"/>
      <c r="AF6" s="1033"/>
      <c r="AG6" s="1033"/>
      <c r="AH6" s="1033"/>
      <c r="AI6" s="1033"/>
      <c r="AJ6" s="1033"/>
      <c r="AK6" s="1033"/>
      <c r="AL6" s="1033"/>
      <c r="AM6" s="1033"/>
      <c r="AN6" s="1033"/>
      <c r="AO6" s="1033"/>
      <c r="AP6" s="1033"/>
      <c r="AQ6" s="1033"/>
      <c r="AR6" s="1033"/>
      <c r="AS6" s="1033"/>
      <c r="AT6" s="1033"/>
      <c r="AU6" s="1033"/>
      <c r="AV6" s="1033"/>
      <c r="AW6" s="1033"/>
      <c r="AX6" s="1033"/>
      <c r="AY6" s="1033"/>
      <c r="AZ6" s="1033"/>
      <c r="BA6" s="1033"/>
      <c r="BB6" s="1033"/>
      <c r="BC6" s="1033"/>
      <c r="BD6" s="1033"/>
      <c r="BE6" s="1033"/>
      <c r="BF6" s="1033"/>
      <c r="BG6" s="1033"/>
      <c r="BH6" s="1033"/>
      <c r="BI6" s="1033"/>
      <c r="BJ6" s="1033"/>
      <c r="BK6" s="1033"/>
      <c r="BL6" s="1033"/>
      <c r="BM6" s="1033"/>
      <c r="BN6" s="1033"/>
      <c r="BO6" s="1033"/>
      <c r="BP6" s="1033"/>
      <c r="BQ6" s="1033"/>
      <c r="BR6" s="1033"/>
      <c r="BS6" s="1033"/>
      <c r="BT6" s="1033"/>
      <c r="BU6" s="1033"/>
      <c r="BV6" s="1033"/>
      <c r="BW6" s="1033"/>
      <c r="BX6" s="1033"/>
      <c r="BY6" s="1033"/>
      <c r="BZ6" s="1033"/>
      <c r="CA6" s="1033"/>
    </row>
    <row r="7" spans="1:84" ht="29.1" customHeight="1">
      <c r="A7" s="150" t="s">
        <v>191</v>
      </c>
      <c r="B7" s="1024" t="s">
        <v>24</v>
      </c>
      <c r="C7" s="1025"/>
      <c r="D7" s="1025"/>
      <c r="E7" s="1025"/>
      <c r="F7" s="1025"/>
      <c r="G7" s="1025"/>
      <c r="H7" s="1025"/>
      <c r="I7" s="1025"/>
      <c r="J7" s="1025"/>
      <c r="K7" s="1025"/>
      <c r="L7" s="1025"/>
      <c r="M7" s="1025"/>
      <c r="N7" s="1025"/>
      <c r="O7" s="1025"/>
      <c r="P7" s="1025"/>
      <c r="Q7" s="1025"/>
      <c r="R7" s="1025"/>
      <c r="S7" s="1025"/>
      <c r="T7" s="1025"/>
      <c r="U7" s="1025"/>
      <c r="V7" s="1025"/>
      <c r="W7" s="1025"/>
      <c r="X7" s="1025"/>
      <c r="Y7" s="1025"/>
      <c r="Z7" s="1025"/>
      <c r="AA7" s="1025"/>
      <c r="AB7" s="1025"/>
      <c r="AC7" s="1025"/>
      <c r="AD7" s="1025"/>
      <c r="AE7" s="1025"/>
      <c r="AF7" s="1025"/>
      <c r="AG7" s="1025"/>
      <c r="AH7" s="1025"/>
      <c r="AI7" s="1025"/>
      <c r="AJ7" s="1025"/>
      <c r="AK7" s="1025"/>
      <c r="AL7" s="1025"/>
      <c r="AM7" s="1025"/>
      <c r="AN7" s="1025"/>
      <c r="AO7" s="1025"/>
      <c r="AP7" s="1025"/>
      <c r="AQ7" s="1025"/>
      <c r="AR7" s="1025"/>
      <c r="AS7" s="1025"/>
      <c r="AT7" s="1025"/>
      <c r="AU7" s="1025"/>
      <c r="AV7" s="1025"/>
      <c r="AW7" s="1025"/>
      <c r="AX7" s="1025"/>
      <c r="AY7" s="1025"/>
      <c r="AZ7" s="1025"/>
      <c r="BA7" s="1025"/>
      <c r="BB7" s="1025"/>
      <c r="BC7" s="1025"/>
      <c r="BD7" s="1025"/>
      <c r="BE7" s="1025"/>
      <c r="BF7" s="1025"/>
      <c r="BG7" s="1025"/>
      <c r="BH7" s="1025"/>
      <c r="BI7" s="1025"/>
      <c r="BJ7" s="1025"/>
      <c r="BK7" s="1025"/>
      <c r="BL7" s="1025"/>
      <c r="BM7" s="1025"/>
      <c r="BN7" s="1025"/>
      <c r="BO7" s="1025"/>
      <c r="BP7" s="1025"/>
      <c r="BQ7" s="1025"/>
      <c r="BR7" s="1025"/>
      <c r="BS7" s="1025"/>
      <c r="BT7" s="1025"/>
      <c r="BU7" s="1025"/>
      <c r="BV7" s="1025"/>
      <c r="BW7" s="1025"/>
      <c r="BX7" s="1025"/>
      <c r="BY7" s="1025"/>
      <c r="BZ7" s="1025"/>
      <c r="CA7" s="714"/>
    </row>
    <row r="8" spans="1:84" ht="6" customHeight="1">
      <c r="A8" s="141"/>
      <c r="B8" s="141"/>
      <c r="C8" s="141"/>
      <c r="D8" s="141"/>
      <c r="E8" s="141"/>
      <c r="F8" s="141"/>
      <c r="G8" s="141"/>
      <c r="H8" s="141"/>
      <c r="I8" s="141"/>
      <c r="J8" s="141"/>
      <c r="K8" s="141"/>
      <c r="L8" s="141"/>
      <c r="M8" s="141"/>
      <c r="N8" s="141"/>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O8" s="141"/>
      <c r="AP8" s="142"/>
      <c r="AQ8" s="142"/>
      <c r="AR8" s="142"/>
      <c r="AS8" s="142"/>
      <c r="AT8" s="142"/>
      <c r="AU8" s="142"/>
      <c r="AV8" s="142"/>
      <c r="AW8" s="142"/>
      <c r="AX8" s="142"/>
      <c r="AY8" s="142"/>
      <c r="AZ8" s="142"/>
      <c r="BA8" s="142"/>
    </row>
    <row r="9" spans="1:84" ht="30" customHeight="1">
      <c r="A9" s="1036" t="s">
        <v>192</v>
      </c>
      <c r="B9" s="1034" t="s">
        <v>30</v>
      </c>
      <c r="C9" s="1035"/>
      <c r="D9" s="1034" t="s">
        <v>31</v>
      </c>
      <c r="E9" s="1035"/>
      <c r="F9" s="1034" t="s">
        <v>32</v>
      </c>
      <c r="G9" s="1038"/>
      <c r="H9" s="1035"/>
      <c r="I9" s="1034" t="s">
        <v>8</v>
      </c>
      <c r="J9" s="1035"/>
      <c r="K9" s="1034" t="s">
        <v>33</v>
      </c>
      <c r="L9" s="1035"/>
      <c r="M9" s="1034" t="s">
        <v>34</v>
      </c>
      <c r="N9" s="1038"/>
      <c r="O9" s="1035"/>
      <c r="P9" s="1034" t="s">
        <v>35</v>
      </c>
      <c r="Q9" s="1035"/>
      <c r="R9" s="1034" t="s">
        <v>36</v>
      </c>
      <c r="S9" s="1035"/>
      <c r="T9" s="1034" t="s">
        <v>37</v>
      </c>
      <c r="U9" s="1038"/>
      <c r="V9" s="1035"/>
      <c r="W9" s="1034" t="s">
        <v>38</v>
      </c>
      <c r="X9" s="1035"/>
      <c r="Y9" s="1034" t="s">
        <v>39</v>
      </c>
      <c r="Z9" s="1035"/>
      <c r="AA9" s="1034" t="s">
        <v>40</v>
      </c>
      <c r="AB9" s="1038"/>
      <c r="AC9" s="1035"/>
      <c r="AD9" s="1034" t="s">
        <v>193</v>
      </c>
      <c r="AE9" s="1035"/>
      <c r="AF9" s="1034" t="s">
        <v>194</v>
      </c>
      <c r="AG9" s="1038"/>
      <c r="AH9" s="1038"/>
      <c r="AI9" s="1038"/>
      <c r="AJ9" s="1038"/>
      <c r="AK9" s="1035"/>
      <c r="AL9" s="1034" t="s">
        <v>195</v>
      </c>
      <c r="AM9" s="1038"/>
      <c r="AN9" s="1038"/>
      <c r="AO9" s="1038"/>
      <c r="AP9" s="1038"/>
      <c r="AQ9" s="1035"/>
      <c r="AS9" s="1036" t="s">
        <v>192</v>
      </c>
      <c r="AT9" s="1034" t="s">
        <v>30</v>
      </c>
      <c r="AU9" s="1035"/>
      <c r="AV9" s="1034" t="s">
        <v>31</v>
      </c>
      <c r="AW9" s="1035"/>
      <c r="AX9" s="1034" t="s">
        <v>32</v>
      </c>
      <c r="AY9" s="1038"/>
      <c r="AZ9" s="1035"/>
      <c r="BA9" s="1034" t="s">
        <v>8</v>
      </c>
      <c r="BB9" s="1035"/>
      <c r="BC9" s="1034" t="s">
        <v>33</v>
      </c>
      <c r="BD9" s="1035"/>
      <c r="BE9" s="1034" t="s">
        <v>34</v>
      </c>
      <c r="BF9" s="1035"/>
      <c r="BG9" s="1034" t="s">
        <v>35</v>
      </c>
      <c r="BH9" s="1035"/>
      <c r="BI9" s="1034" t="s">
        <v>36</v>
      </c>
      <c r="BJ9" s="1035"/>
      <c r="BK9" s="1034" t="s">
        <v>37</v>
      </c>
      <c r="BL9" s="1035"/>
      <c r="BM9" s="1034" t="s">
        <v>38</v>
      </c>
      <c r="BN9" s="1035"/>
      <c r="BO9" s="1034" t="s">
        <v>39</v>
      </c>
      <c r="BP9" s="1035"/>
      <c r="BQ9" s="1034" t="s">
        <v>40</v>
      </c>
      <c r="BR9" s="1035"/>
      <c r="BS9" s="1034" t="s">
        <v>193</v>
      </c>
      <c r="BT9" s="1035"/>
      <c r="BU9" s="1034" t="s">
        <v>194</v>
      </c>
      <c r="BV9" s="1038"/>
      <c r="BW9" s="1038"/>
      <c r="BX9" s="1038"/>
      <c r="BY9" s="1038"/>
      <c r="BZ9" s="1035"/>
      <c r="CA9" s="1034" t="s">
        <v>195</v>
      </c>
      <c r="CB9" s="1038"/>
      <c r="CC9" s="1038"/>
      <c r="CD9" s="1038"/>
      <c r="CE9" s="1038"/>
      <c r="CF9" s="1035"/>
    </row>
    <row r="10" spans="1:84" ht="36" customHeight="1">
      <c r="A10" s="1037"/>
      <c r="B10" s="579" t="s">
        <v>196</v>
      </c>
      <c r="C10" s="579" t="s">
        <v>197</v>
      </c>
      <c r="D10" s="579" t="s">
        <v>196</v>
      </c>
      <c r="E10" s="579" t="s">
        <v>197</v>
      </c>
      <c r="F10" s="579" t="s">
        <v>196</v>
      </c>
      <c r="G10" s="545" t="s">
        <v>198</v>
      </c>
      <c r="H10" s="579" t="s">
        <v>197</v>
      </c>
      <c r="I10" s="579" t="s">
        <v>196</v>
      </c>
      <c r="J10" s="579" t="s">
        <v>197</v>
      </c>
      <c r="K10" s="579" t="s">
        <v>196</v>
      </c>
      <c r="L10" s="579" t="s">
        <v>197</v>
      </c>
      <c r="M10" s="579" t="s">
        <v>196</v>
      </c>
      <c r="N10" s="545" t="s">
        <v>199</v>
      </c>
      <c r="O10" s="579" t="s">
        <v>197</v>
      </c>
      <c r="P10" s="579" t="s">
        <v>196</v>
      </c>
      <c r="Q10" s="579" t="s">
        <v>197</v>
      </c>
      <c r="R10" s="579" t="s">
        <v>196</v>
      </c>
      <c r="S10" s="579" t="s">
        <v>197</v>
      </c>
      <c r="T10" s="579" t="s">
        <v>196</v>
      </c>
      <c r="U10" s="545" t="s">
        <v>200</v>
      </c>
      <c r="V10" s="579" t="s">
        <v>197</v>
      </c>
      <c r="W10" s="579" t="s">
        <v>196</v>
      </c>
      <c r="X10" s="579" t="s">
        <v>197</v>
      </c>
      <c r="Y10" s="579" t="s">
        <v>196</v>
      </c>
      <c r="Z10" s="579" t="s">
        <v>197</v>
      </c>
      <c r="AA10" s="579" t="s">
        <v>196</v>
      </c>
      <c r="AB10" s="545" t="s">
        <v>200</v>
      </c>
      <c r="AC10" s="579" t="s">
        <v>197</v>
      </c>
      <c r="AD10" s="579" t="s">
        <v>196</v>
      </c>
      <c r="AE10" s="579" t="s">
        <v>197</v>
      </c>
      <c r="AF10" s="170" t="s">
        <v>1185</v>
      </c>
      <c r="AG10" s="170" t="s">
        <v>202</v>
      </c>
      <c r="AH10" s="170" t="s">
        <v>203</v>
      </c>
      <c r="AI10" s="170" t="s">
        <v>204</v>
      </c>
      <c r="AJ10" s="171" t="s">
        <v>205</v>
      </c>
      <c r="AK10" s="170" t="s">
        <v>206</v>
      </c>
      <c r="AL10" s="579" t="s">
        <v>207</v>
      </c>
      <c r="AM10" s="143" t="s">
        <v>208</v>
      </c>
      <c r="AN10" s="579" t="s">
        <v>209</v>
      </c>
      <c r="AO10" s="579" t="s">
        <v>210</v>
      </c>
      <c r="AP10" s="579" t="s">
        <v>211</v>
      </c>
      <c r="AQ10" s="579" t="s">
        <v>212</v>
      </c>
      <c r="AS10" s="1037"/>
      <c r="AT10" s="579" t="s">
        <v>196</v>
      </c>
      <c r="AU10" s="579" t="s">
        <v>197</v>
      </c>
      <c r="AV10" s="579" t="s">
        <v>196</v>
      </c>
      <c r="AW10" s="579" t="s">
        <v>197</v>
      </c>
      <c r="AX10" s="579" t="s">
        <v>196</v>
      </c>
      <c r="AY10" s="545" t="s">
        <v>198</v>
      </c>
      <c r="AZ10" s="579" t="s">
        <v>197</v>
      </c>
      <c r="BA10" s="579" t="s">
        <v>196</v>
      </c>
      <c r="BB10" s="579" t="s">
        <v>197</v>
      </c>
      <c r="BC10" s="579" t="s">
        <v>196</v>
      </c>
      <c r="BD10" s="579" t="s">
        <v>197</v>
      </c>
      <c r="BE10" s="579" t="s">
        <v>196</v>
      </c>
      <c r="BF10" s="579" t="s">
        <v>197</v>
      </c>
      <c r="BG10" s="579" t="s">
        <v>196</v>
      </c>
      <c r="BH10" s="579" t="s">
        <v>197</v>
      </c>
      <c r="BI10" s="579" t="s">
        <v>196</v>
      </c>
      <c r="BJ10" s="579" t="s">
        <v>197</v>
      </c>
      <c r="BK10" s="579" t="s">
        <v>196</v>
      </c>
      <c r="BL10" s="579" t="s">
        <v>197</v>
      </c>
      <c r="BM10" s="579" t="s">
        <v>196</v>
      </c>
      <c r="BN10" s="579" t="s">
        <v>197</v>
      </c>
      <c r="BO10" s="579" t="s">
        <v>196</v>
      </c>
      <c r="BP10" s="579" t="s">
        <v>197</v>
      </c>
      <c r="BQ10" s="579" t="s">
        <v>196</v>
      </c>
      <c r="BR10" s="579" t="s">
        <v>197</v>
      </c>
      <c r="BS10" s="579" t="s">
        <v>196</v>
      </c>
      <c r="BT10" s="579" t="s">
        <v>197</v>
      </c>
      <c r="BU10" s="170" t="s">
        <v>1185</v>
      </c>
      <c r="BV10" s="170" t="s">
        <v>202</v>
      </c>
      <c r="BW10" s="170" t="s">
        <v>203</v>
      </c>
      <c r="BX10" s="170" t="s">
        <v>204</v>
      </c>
      <c r="BY10" s="171" t="s">
        <v>205</v>
      </c>
      <c r="BZ10" s="170" t="s">
        <v>206</v>
      </c>
      <c r="CA10" s="168" t="s">
        <v>207</v>
      </c>
      <c r="CB10" s="169" t="s">
        <v>208</v>
      </c>
      <c r="CC10" s="168" t="s">
        <v>209</v>
      </c>
      <c r="CD10" s="168" t="s">
        <v>210</v>
      </c>
      <c r="CE10" s="168" t="s">
        <v>211</v>
      </c>
      <c r="CF10" s="168" t="s">
        <v>212</v>
      </c>
    </row>
    <row r="11" spans="1:84">
      <c r="A11" s="144" t="s">
        <v>213</v>
      </c>
      <c r="B11" s="144">
        <v>0</v>
      </c>
      <c r="C11" s="546"/>
      <c r="D11" s="144">
        <v>0</v>
      </c>
      <c r="E11" s="546"/>
      <c r="F11" s="144">
        <v>0</v>
      </c>
      <c r="G11" s="547">
        <f>+B11+D11+F11</f>
        <v>0</v>
      </c>
      <c r="H11" s="548">
        <f>SUM('[2]Meta 1'!Q22:S22)-(SUM(H12:H31))</f>
        <v>984621720</v>
      </c>
      <c r="I11" s="144">
        <v>0</v>
      </c>
      <c r="J11" s="546"/>
      <c r="K11" s="144">
        <v>0</v>
      </c>
      <c r="L11" s="546"/>
      <c r="M11" s="144">
        <v>0</v>
      </c>
      <c r="N11" s="547">
        <f>+G11+I11+K11+M11</f>
        <v>0</v>
      </c>
      <c r="O11" s="548">
        <f>SUM('[2]Meta 1'!Q22:V22)-(SUM(O12:O31))</f>
        <v>916033015.15999961</v>
      </c>
      <c r="P11" s="144">
        <v>0</v>
      </c>
      <c r="Q11" s="546"/>
      <c r="R11" s="145">
        <v>0</v>
      </c>
      <c r="S11" s="546"/>
      <c r="T11" s="145">
        <v>0</v>
      </c>
      <c r="U11" s="547">
        <f>+N11+P11+R11+T11</f>
        <v>0</v>
      </c>
      <c r="V11" s="549">
        <f>SUM('[2]Meta 1'!Q22:Y22)-SUM(V12:V31)</f>
        <v>548999027.15999985</v>
      </c>
      <c r="W11" s="145">
        <v>0</v>
      </c>
      <c r="X11" s="546"/>
      <c r="Y11" s="145">
        <v>0</v>
      </c>
      <c r="Z11" s="546"/>
      <c r="AA11" s="145">
        <v>0</v>
      </c>
      <c r="AB11" s="547">
        <f>+U11+W11+Y11+AA11</f>
        <v>0</v>
      </c>
      <c r="AC11" s="388">
        <f>SUM('[2]Meta 1'!Q22:AB22)-SUM(AC12:AC31)</f>
        <v>91.159999370574951</v>
      </c>
      <c r="AD11" s="173">
        <f t="shared" ref="AD11:AD31" si="0">B11+D11+F11+I11+K11+M11+P11+R11+T11+W11+Y11+AA11</f>
        <v>0</v>
      </c>
      <c r="AE11" s="683">
        <f>+AC11</f>
        <v>91.159999370574951</v>
      </c>
      <c r="AF11" s="172"/>
      <c r="AG11" s="172"/>
      <c r="AH11" s="172"/>
      <c r="AI11" s="172"/>
      <c r="AJ11" s="172"/>
      <c r="AK11" s="147"/>
      <c r="AL11" s="147"/>
      <c r="AM11" s="147"/>
      <c r="AN11" s="147"/>
      <c r="AO11" s="147"/>
      <c r="AP11" s="147"/>
      <c r="AQ11" s="148"/>
      <c r="AS11" s="144" t="s">
        <v>213</v>
      </c>
      <c r="AT11" s="144">
        <v>0</v>
      </c>
      <c r="AU11" s="550"/>
      <c r="AV11" s="144">
        <v>0</v>
      </c>
      <c r="AW11" s="546"/>
      <c r="AX11" s="144">
        <v>0</v>
      </c>
      <c r="AY11" s="547">
        <f>+AT11+AV11+AX11</f>
        <v>0</v>
      </c>
      <c r="AZ11" s="500">
        <f>SUM('[2]Meta 1'!Q23:S23)-SUM(AZ12:AZ31)</f>
        <v>834168930.5999999</v>
      </c>
      <c r="BA11" s="144">
        <v>0</v>
      </c>
      <c r="BB11" s="550"/>
      <c r="BC11" s="144">
        <v>0</v>
      </c>
      <c r="BD11" s="550"/>
      <c r="BE11" s="144"/>
      <c r="BF11" s="144"/>
      <c r="BG11" s="144"/>
      <c r="BH11" s="145"/>
      <c r="BI11" s="145"/>
      <c r="BJ11" s="145"/>
      <c r="BK11" s="145"/>
      <c r="BL11" s="145"/>
      <c r="BM11" s="145"/>
      <c r="BN11" s="145"/>
      <c r="BO11" s="145"/>
      <c r="BP11" s="145"/>
      <c r="BQ11" s="145"/>
      <c r="BR11" s="145"/>
      <c r="BS11" s="173">
        <f t="shared" ref="BS11:BS31" si="1">AT11+AV11+AX11+BA11+BC11+BE11+BG11+BI11+BK11+BM11+BO11+BQ11</f>
        <v>0</v>
      </c>
      <c r="BT11" s="684">
        <f t="shared" ref="BT11:BT31" si="2">AU11+AW11+AZ11+BB11+BD11+BF11+BH11+BJ11+BL11+BN11+BP11+BR11</f>
        <v>834168930.5999999</v>
      </c>
      <c r="BU11" s="147"/>
      <c r="BV11" s="147"/>
      <c r="BW11" s="147"/>
      <c r="BX11" s="147"/>
      <c r="BY11" s="147"/>
      <c r="BZ11" s="147"/>
      <c r="CA11" s="147"/>
      <c r="CB11" s="147"/>
      <c r="CC11" s="147"/>
      <c r="CD11" s="147"/>
      <c r="CE11" s="147"/>
      <c r="CF11" s="148"/>
    </row>
    <row r="12" spans="1:84">
      <c r="A12" s="144" t="s">
        <v>1186</v>
      </c>
      <c r="B12" s="144">
        <v>0</v>
      </c>
      <c r="C12" s="546"/>
      <c r="D12" s="144">
        <v>25</v>
      </c>
      <c r="E12" s="546"/>
      <c r="F12" s="144">
        <v>25</v>
      </c>
      <c r="G12" s="547">
        <f t="shared" ref="G12:G31" si="3">+B12+D12+F12</f>
        <v>50</v>
      </c>
      <c r="H12" s="389">
        <f>343124.4*(F12+D12+B12)</f>
        <v>17156220</v>
      </c>
      <c r="I12" s="144">
        <v>25</v>
      </c>
      <c r="J12" s="546"/>
      <c r="K12" s="144">
        <v>25</v>
      </c>
      <c r="L12" s="546"/>
      <c r="M12" s="144">
        <v>25</v>
      </c>
      <c r="N12" s="547">
        <f t="shared" ref="N12:N31" si="4">+G12+I12+K12+M12</f>
        <v>125</v>
      </c>
      <c r="O12" s="389">
        <f>343124.4*(B12+D12+F12+M12+K12+I12)</f>
        <v>42890550</v>
      </c>
      <c r="P12" s="144">
        <v>25</v>
      </c>
      <c r="Q12" s="546"/>
      <c r="R12" s="145">
        <v>25</v>
      </c>
      <c r="S12" s="546"/>
      <c r="T12" s="145">
        <v>25</v>
      </c>
      <c r="U12" s="547">
        <f t="shared" ref="U12:U31" si="5">+N12+P12+R12+T12</f>
        <v>200</v>
      </c>
      <c r="V12" s="389">
        <f>343124.4*(B12+D12+F12+I12+K12+M12+P12+R12+T12)</f>
        <v>68624880</v>
      </c>
      <c r="W12" s="145">
        <v>25</v>
      </c>
      <c r="X12" s="546"/>
      <c r="Y12" s="145">
        <v>25</v>
      </c>
      <c r="Z12" s="546"/>
      <c r="AA12" s="145">
        <v>10</v>
      </c>
      <c r="AB12" s="547">
        <f t="shared" ref="AB12:AB31" si="6">+U12+W12+Y12+AA12</f>
        <v>260</v>
      </c>
      <c r="AC12" s="389">
        <f>343124*(B12+D12+F12+I12+K12+M12+P12+R12+T12+W12+Y12+AA12)</f>
        <v>89212240</v>
      </c>
      <c r="AD12" s="173">
        <f t="shared" si="0"/>
        <v>260</v>
      </c>
      <c r="AE12" s="683">
        <f t="shared" ref="AE12:AE31" si="7">+AC12</f>
        <v>89212240</v>
      </c>
      <c r="AF12" s="172"/>
      <c r="AG12" s="172"/>
      <c r="AH12" s="172"/>
      <c r="AI12" s="172"/>
      <c r="AJ12" s="172"/>
      <c r="AK12" s="147"/>
      <c r="AL12" s="147"/>
      <c r="AM12" s="147"/>
      <c r="AN12" s="147"/>
      <c r="AO12" s="147"/>
      <c r="AP12" s="147"/>
      <c r="AQ12" s="147"/>
      <c r="AS12" s="144" t="s">
        <v>1186</v>
      </c>
      <c r="AT12" s="144">
        <v>0</v>
      </c>
      <c r="AU12" s="550"/>
      <c r="AV12" s="144">
        <v>7</v>
      </c>
      <c r="AW12" s="546"/>
      <c r="AX12" s="144">
        <v>38</v>
      </c>
      <c r="AY12" s="547">
        <f t="shared" ref="AY12:AY31" si="8">+AT12+AV12+AX12</f>
        <v>45</v>
      </c>
      <c r="AZ12" s="500">
        <f>343124.4*(AV12+AX12)</f>
        <v>15440598.000000002</v>
      </c>
      <c r="BA12" s="144">
        <v>9</v>
      </c>
      <c r="BB12" s="550"/>
      <c r="BC12" s="144">
        <v>20</v>
      </c>
      <c r="BD12" s="550"/>
      <c r="BE12" s="144"/>
      <c r="BF12" s="144"/>
      <c r="BG12" s="144"/>
      <c r="BH12" s="145"/>
      <c r="BI12" s="145"/>
      <c r="BJ12" s="145"/>
      <c r="BK12" s="145"/>
      <c r="BL12" s="145"/>
      <c r="BM12" s="145"/>
      <c r="BN12" s="145"/>
      <c r="BO12" s="145"/>
      <c r="BP12" s="145"/>
      <c r="BQ12" s="145"/>
      <c r="BR12" s="145"/>
      <c r="BS12" s="173">
        <f t="shared" si="1"/>
        <v>74</v>
      </c>
      <c r="BT12" s="684">
        <f t="shared" si="2"/>
        <v>15440598.000000002</v>
      </c>
      <c r="BU12" s="147"/>
      <c r="BV12" s="147"/>
      <c r="BW12" s="147"/>
      <c r="BX12" s="147"/>
      <c r="BY12" s="147"/>
      <c r="BZ12" s="147"/>
      <c r="CA12" s="147"/>
      <c r="CB12" s="147"/>
      <c r="CC12" s="147"/>
      <c r="CD12" s="147"/>
      <c r="CE12" s="147"/>
      <c r="CF12" s="147"/>
    </row>
    <row r="13" spans="1:84">
      <c r="A13" s="144" t="s">
        <v>214</v>
      </c>
      <c r="B13" s="144">
        <v>0</v>
      </c>
      <c r="C13" s="546"/>
      <c r="D13" s="144">
        <v>20</v>
      </c>
      <c r="E13" s="546"/>
      <c r="F13" s="144">
        <v>20</v>
      </c>
      <c r="G13" s="547">
        <f t="shared" si="3"/>
        <v>40</v>
      </c>
      <c r="H13" s="389">
        <f t="shared" ref="H13:H31" si="9">343124.4*(F13+D13+B13)</f>
        <v>13724976</v>
      </c>
      <c r="I13" s="144">
        <v>20</v>
      </c>
      <c r="J13" s="546"/>
      <c r="K13" s="144">
        <v>20</v>
      </c>
      <c r="L13" s="546"/>
      <c r="M13" s="144">
        <v>20</v>
      </c>
      <c r="N13" s="547">
        <f t="shared" si="4"/>
        <v>100</v>
      </c>
      <c r="O13" s="389">
        <f t="shared" ref="O13:O31" si="10">343124.4*(B13+D13+F13+M13+K13+I13)</f>
        <v>34312440</v>
      </c>
      <c r="P13" s="144">
        <v>20</v>
      </c>
      <c r="Q13" s="546"/>
      <c r="R13" s="145">
        <v>20</v>
      </c>
      <c r="S13" s="546"/>
      <c r="T13" s="145">
        <v>20</v>
      </c>
      <c r="U13" s="547">
        <f t="shared" si="5"/>
        <v>160</v>
      </c>
      <c r="V13" s="389">
        <f t="shared" ref="V13:V31" si="11">343124.4*(B13+D13+F13+I13+K13+M13+P13+R13+T13)</f>
        <v>54899904</v>
      </c>
      <c r="W13" s="145">
        <v>20</v>
      </c>
      <c r="X13" s="546"/>
      <c r="Y13" s="145">
        <v>20</v>
      </c>
      <c r="Z13" s="546"/>
      <c r="AA13" s="145">
        <v>10</v>
      </c>
      <c r="AB13" s="547">
        <f t="shared" si="6"/>
        <v>210</v>
      </c>
      <c r="AC13" s="389">
        <f t="shared" ref="AC13:AC31" si="12">343124.4*(B13+D13+F13+I13+K13+M13+P13+R13+T13+W13+Y13+AA13)</f>
        <v>72056124</v>
      </c>
      <c r="AD13" s="173">
        <f t="shared" si="0"/>
        <v>210</v>
      </c>
      <c r="AE13" s="683">
        <f t="shared" si="7"/>
        <v>72056124</v>
      </c>
      <c r="AF13" s="172"/>
      <c r="AG13" s="172"/>
      <c r="AH13" s="172"/>
      <c r="AI13" s="172"/>
      <c r="AJ13" s="172"/>
      <c r="AK13" s="147"/>
      <c r="AL13" s="147"/>
      <c r="AM13" s="147"/>
      <c r="AN13" s="147"/>
      <c r="AO13" s="147"/>
      <c r="AP13" s="147"/>
      <c r="AQ13" s="147"/>
      <c r="AS13" s="144" t="s">
        <v>214</v>
      </c>
      <c r="AT13" s="144">
        <v>0</v>
      </c>
      <c r="AU13" s="550"/>
      <c r="AV13" s="144">
        <v>9</v>
      </c>
      <c r="AW13" s="546"/>
      <c r="AX13" s="144">
        <v>10</v>
      </c>
      <c r="AY13" s="547">
        <f t="shared" si="8"/>
        <v>19</v>
      </c>
      <c r="AZ13" s="500">
        <f t="shared" ref="AZ13:AZ31" si="13">343124.4*(AV13+AX13)</f>
        <v>6519363.6000000006</v>
      </c>
      <c r="BA13" s="144">
        <v>4</v>
      </c>
      <c r="BB13" s="550"/>
      <c r="BC13" s="144">
        <v>10</v>
      </c>
      <c r="BD13" s="550"/>
      <c r="BE13" s="144"/>
      <c r="BF13" s="144"/>
      <c r="BG13" s="144"/>
      <c r="BH13" s="145"/>
      <c r="BI13" s="145"/>
      <c r="BJ13" s="145"/>
      <c r="BK13" s="145"/>
      <c r="BL13" s="145"/>
      <c r="BM13" s="145"/>
      <c r="BN13" s="145"/>
      <c r="BO13" s="145"/>
      <c r="BP13" s="145"/>
      <c r="BQ13" s="145"/>
      <c r="BR13" s="145"/>
      <c r="BS13" s="173">
        <f t="shared" si="1"/>
        <v>33</v>
      </c>
      <c r="BT13" s="684">
        <f t="shared" si="2"/>
        <v>6519363.6000000006</v>
      </c>
      <c r="BU13" s="147"/>
      <c r="BV13" s="147"/>
      <c r="BW13" s="147"/>
      <c r="BX13" s="147"/>
      <c r="BY13" s="147"/>
      <c r="BZ13" s="147"/>
      <c r="CA13" s="147"/>
      <c r="CB13" s="147"/>
      <c r="CC13" s="147"/>
      <c r="CD13" s="147"/>
      <c r="CE13" s="147"/>
      <c r="CF13" s="147"/>
    </row>
    <row r="14" spans="1:84">
      <c r="A14" s="144" t="s">
        <v>1187</v>
      </c>
      <c r="B14" s="144">
        <v>0</v>
      </c>
      <c r="C14" s="546"/>
      <c r="D14" s="144">
        <v>10</v>
      </c>
      <c r="E14" s="546"/>
      <c r="F14" s="144">
        <v>10</v>
      </c>
      <c r="G14" s="547">
        <f t="shared" si="3"/>
        <v>20</v>
      </c>
      <c r="H14" s="389">
        <f t="shared" si="9"/>
        <v>6862488</v>
      </c>
      <c r="I14" s="144">
        <v>10</v>
      </c>
      <c r="J14" s="546"/>
      <c r="K14" s="144">
        <v>10</v>
      </c>
      <c r="L14" s="546"/>
      <c r="M14" s="144">
        <v>10</v>
      </c>
      <c r="N14" s="547">
        <f t="shared" si="4"/>
        <v>50</v>
      </c>
      <c r="O14" s="389">
        <f t="shared" si="10"/>
        <v>17156220</v>
      </c>
      <c r="P14" s="144">
        <v>10</v>
      </c>
      <c r="Q14" s="546"/>
      <c r="R14" s="145">
        <v>10</v>
      </c>
      <c r="S14" s="546"/>
      <c r="T14" s="145">
        <v>10</v>
      </c>
      <c r="U14" s="547">
        <f t="shared" si="5"/>
        <v>80</v>
      </c>
      <c r="V14" s="389">
        <f t="shared" si="11"/>
        <v>27449952</v>
      </c>
      <c r="W14" s="145">
        <v>10</v>
      </c>
      <c r="X14" s="546"/>
      <c r="Y14" s="145">
        <v>10</v>
      </c>
      <c r="Z14" s="546"/>
      <c r="AA14" s="145">
        <v>10</v>
      </c>
      <c r="AB14" s="547">
        <f t="shared" si="6"/>
        <v>110</v>
      </c>
      <c r="AC14" s="389">
        <f t="shared" si="12"/>
        <v>37743684</v>
      </c>
      <c r="AD14" s="173">
        <f t="shared" si="0"/>
        <v>110</v>
      </c>
      <c r="AE14" s="683">
        <f t="shared" si="7"/>
        <v>37743684</v>
      </c>
      <c r="AF14" s="172"/>
      <c r="AG14" s="172"/>
      <c r="AH14" s="172"/>
      <c r="AI14" s="172"/>
      <c r="AJ14" s="172"/>
      <c r="AK14" s="147"/>
      <c r="AL14" s="147"/>
      <c r="AM14" s="147"/>
      <c r="AN14" s="147"/>
      <c r="AO14" s="147"/>
      <c r="AP14" s="147"/>
      <c r="AQ14" s="147"/>
      <c r="AS14" s="144" t="s">
        <v>1187</v>
      </c>
      <c r="AT14" s="144">
        <v>0</v>
      </c>
      <c r="AU14" s="550"/>
      <c r="AV14" s="144">
        <v>7</v>
      </c>
      <c r="AW14" s="546"/>
      <c r="AX14" s="144">
        <v>20</v>
      </c>
      <c r="AY14" s="547">
        <f t="shared" si="8"/>
        <v>27</v>
      </c>
      <c r="AZ14" s="500">
        <f t="shared" si="13"/>
        <v>9264358.8000000007</v>
      </c>
      <c r="BA14" s="144">
        <v>4</v>
      </c>
      <c r="BB14" s="550"/>
      <c r="BC14" s="144">
        <v>14</v>
      </c>
      <c r="BD14" s="550"/>
      <c r="BE14" s="144"/>
      <c r="BF14" s="144"/>
      <c r="BG14" s="144"/>
      <c r="BH14" s="145"/>
      <c r="BI14" s="145"/>
      <c r="BJ14" s="145"/>
      <c r="BK14" s="145"/>
      <c r="BL14" s="145"/>
      <c r="BM14" s="145"/>
      <c r="BN14" s="145"/>
      <c r="BO14" s="145"/>
      <c r="BP14" s="145"/>
      <c r="BQ14" s="145"/>
      <c r="BR14" s="145"/>
      <c r="BS14" s="173">
        <f t="shared" si="1"/>
        <v>45</v>
      </c>
      <c r="BT14" s="684">
        <f t="shared" si="2"/>
        <v>9264358.8000000007</v>
      </c>
      <c r="BU14" s="147"/>
      <c r="BV14" s="147"/>
      <c r="BW14" s="147"/>
      <c r="BX14" s="147"/>
      <c r="BY14" s="147"/>
      <c r="BZ14" s="147"/>
      <c r="CA14" s="147"/>
      <c r="CB14" s="147"/>
      <c r="CC14" s="147"/>
      <c r="CD14" s="147"/>
      <c r="CE14" s="147"/>
      <c r="CF14" s="147"/>
    </row>
    <row r="15" spans="1:84">
      <c r="A15" s="144" t="s">
        <v>1188</v>
      </c>
      <c r="B15" s="144">
        <v>0</v>
      </c>
      <c r="C15" s="546"/>
      <c r="D15" s="144">
        <v>40</v>
      </c>
      <c r="E15" s="546"/>
      <c r="F15" s="144">
        <v>60</v>
      </c>
      <c r="G15" s="547">
        <f t="shared" si="3"/>
        <v>100</v>
      </c>
      <c r="H15" s="389">
        <f t="shared" si="9"/>
        <v>34312440</v>
      </c>
      <c r="I15" s="144">
        <v>60</v>
      </c>
      <c r="J15" s="546"/>
      <c r="K15" s="144">
        <v>60</v>
      </c>
      <c r="L15" s="546"/>
      <c r="M15" s="144">
        <v>60</v>
      </c>
      <c r="N15" s="547">
        <f t="shared" si="4"/>
        <v>280</v>
      </c>
      <c r="O15" s="389">
        <f t="shared" si="10"/>
        <v>96074832</v>
      </c>
      <c r="P15" s="144">
        <v>60</v>
      </c>
      <c r="Q15" s="546"/>
      <c r="R15" s="145">
        <v>60</v>
      </c>
      <c r="S15" s="546"/>
      <c r="T15" s="145">
        <v>60</v>
      </c>
      <c r="U15" s="547">
        <f t="shared" si="5"/>
        <v>460</v>
      </c>
      <c r="V15" s="389">
        <f t="shared" si="11"/>
        <v>157837224</v>
      </c>
      <c r="W15" s="145">
        <v>60</v>
      </c>
      <c r="X15" s="546"/>
      <c r="Y15" s="145">
        <v>60</v>
      </c>
      <c r="Z15" s="546"/>
      <c r="AA15" s="145">
        <v>11</v>
      </c>
      <c r="AB15" s="547">
        <f t="shared" si="6"/>
        <v>591</v>
      </c>
      <c r="AC15" s="389">
        <f t="shared" si="12"/>
        <v>202786520.40000001</v>
      </c>
      <c r="AD15" s="173">
        <f t="shared" si="0"/>
        <v>591</v>
      </c>
      <c r="AE15" s="683">
        <f t="shared" si="7"/>
        <v>202786520.40000001</v>
      </c>
      <c r="AF15" s="172"/>
      <c r="AG15" s="172"/>
      <c r="AH15" s="172"/>
      <c r="AI15" s="172"/>
      <c r="AJ15" s="172"/>
      <c r="AK15" s="147"/>
      <c r="AL15" s="147"/>
      <c r="AM15" s="147"/>
      <c r="AN15" s="147"/>
      <c r="AO15" s="147"/>
      <c r="AP15" s="147"/>
      <c r="AQ15" s="147"/>
      <c r="AS15" s="144" t="s">
        <v>1188</v>
      </c>
      <c r="AT15" s="144">
        <v>0</v>
      </c>
      <c r="AU15" s="550"/>
      <c r="AV15" s="144">
        <v>28</v>
      </c>
      <c r="AW15" s="546"/>
      <c r="AX15" s="144">
        <v>110</v>
      </c>
      <c r="AY15" s="547">
        <f t="shared" si="8"/>
        <v>138</v>
      </c>
      <c r="AZ15" s="500">
        <f t="shared" si="13"/>
        <v>47351167.200000003</v>
      </c>
      <c r="BA15" s="144">
        <v>17</v>
      </c>
      <c r="BB15" s="550"/>
      <c r="BC15" s="144">
        <v>24</v>
      </c>
      <c r="BD15" s="550"/>
      <c r="BE15" s="144"/>
      <c r="BF15" s="144"/>
      <c r="BG15" s="144"/>
      <c r="BH15" s="145"/>
      <c r="BI15" s="145"/>
      <c r="BJ15" s="145"/>
      <c r="BK15" s="145"/>
      <c r="BL15" s="145"/>
      <c r="BM15" s="145"/>
      <c r="BN15" s="145"/>
      <c r="BO15" s="145"/>
      <c r="BP15" s="145"/>
      <c r="BQ15" s="145"/>
      <c r="BR15" s="145"/>
      <c r="BS15" s="173">
        <f t="shared" si="1"/>
        <v>179</v>
      </c>
      <c r="BT15" s="684">
        <f t="shared" si="2"/>
        <v>47351167.200000003</v>
      </c>
      <c r="BU15" s="147"/>
      <c r="BV15" s="147"/>
      <c r="BW15" s="147"/>
      <c r="BX15" s="147"/>
      <c r="BY15" s="147"/>
      <c r="BZ15" s="147"/>
      <c r="CA15" s="147"/>
      <c r="CB15" s="147"/>
      <c r="CC15" s="147"/>
      <c r="CD15" s="147"/>
      <c r="CE15" s="147"/>
      <c r="CF15" s="147"/>
    </row>
    <row r="16" spans="1:84">
      <c r="A16" s="144" t="s">
        <v>215</v>
      </c>
      <c r="B16" s="144">
        <v>0</v>
      </c>
      <c r="C16" s="546"/>
      <c r="D16" s="144">
        <v>40</v>
      </c>
      <c r="E16" s="546"/>
      <c r="F16" s="144">
        <v>103</v>
      </c>
      <c r="G16" s="547">
        <f t="shared" si="3"/>
        <v>143</v>
      </c>
      <c r="H16" s="389">
        <f t="shared" si="9"/>
        <v>49066789.200000003</v>
      </c>
      <c r="I16" s="144">
        <v>103</v>
      </c>
      <c r="J16" s="546"/>
      <c r="K16" s="144">
        <v>103</v>
      </c>
      <c r="L16" s="546"/>
      <c r="M16" s="144">
        <v>103</v>
      </c>
      <c r="N16" s="547">
        <f t="shared" si="4"/>
        <v>452</v>
      </c>
      <c r="O16" s="389">
        <f t="shared" si="10"/>
        <v>155092228.80000001</v>
      </c>
      <c r="P16" s="144">
        <v>103</v>
      </c>
      <c r="Q16" s="546"/>
      <c r="R16" s="145">
        <v>103</v>
      </c>
      <c r="S16" s="546"/>
      <c r="T16" s="145">
        <v>103</v>
      </c>
      <c r="U16" s="547">
        <f t="shared" si="5"/>
        <v>761</v>
      </c>
      <c r="V16" s="389">
        <f t="shared" si="11"/>
        <v>261117668.40000001</v>
      </c>
      <c r="W16" s="145">
        <v>103</v>
      </c>
      <c r="X16" s="546"/>
      <c r="Y16" s="145">
        <v>103</v>
      </c>
      <c r="Z16" s="546"/>
      <c r="AA16" s="145">
        <v>11</v>
      </c>
      <c r="AB16" s="547">
        <f t="shared" si="6"/>
        <v>978</v>
      </c>
      <c r="AC16" s="389">
        <f t="shared" si="12"/>
        <v>335575663.20000005</v>
      </c>
      <c r="AD16" s="173">
        <f t="shared" si="0"/>
        <v>978</v>
      </c>
      <c r="AE16" s="683">
        <f t="shared" si="7"/>
        <v>335575663.20000005</v>
      </c>
      <c r="AF16" s="172"/>
      <c r="AG16" s="172"/>
      <c r="AH16" s="172"/>
      <c r="AI16" s="172"/>
      <c r="AJ16" s="172"/>
      <c r="AK16" s="147"/>
      <c r="AL16" s="147"/>
      <c r="AM16" s="147"/>
      <c r="AN16" s="147"/>
      <c r="AO16" s="147"/>
      <c r="AP16" s="147"/>
      <c r="AQ16" s="147"/>
      <c r="AS16" s="144" t="s">
        <v>215</v>
      </c>
      <c r="AT16" s="144">
        <v>0</v>
      </c>
      <c r="AU16" s="550"/>
      <c r="AV16" s="144">
        <v>57</v>
      </c>
      <c r="AW16" s="546"/>
      <c r="AX16" s="144">
        <v>77</v>
      </c>
      <c r="AY16" s="547">
        <f t="shared" si="8"/>
        <v>134</v>
      </c>
      <c r="AZ16" s="500">
        <f t="shared" si="13"/>
        <v>45978669.600000001</v>
      </c>
      <c r="BA16" s="144">
        <v>16</v>
      </c>
      <c r="BB16" s="550"/>
      <c r="BC16" s="144">
        <v>24</v>
      </c>
      <c r="BD16" s="550"/>
      <c r="BE16" s="144"/>
      <c r="BF16" s="144"/>
      <c r="BG16" s="144"/>
      <c r="BH16" s="145"/>
      <c r="BI16" s="145"/>
      <c r="BJ16" s="145"/>
      <c r="BK16" s="145"/>
      <c r="BL16" s="145"/>
      <c r="BM16" s="145"/>
      <c r="BN16" s="145"/>
      <c r="BO16" s="145"/>
      <c r="BP16" s="145"/>
      <c r="BQ16" s="145"/>
      <c r="BR16" s="145"/>
      <c r="BS16" s="173">
        <f t="shared" si="1"/>
        <v>174</v>
      </c>
      <c r="BT16" s="684">
        <f t="shared" si="2"/>
        <v>45978669.600000001</v>
      </c>
      <c r="BU16" s="147"/>
      <c r="BV16" s="147"/>
      <c r="BW16" s="147"/>
      <c r="BX16" s="147"/>
      <c r="BY16" s="147"/>
      <c r="BZ16" s="147"/>
      <c r="CA16" s="147"/>
      <c r="CB16" s="147"/>
      <c r="CC16" s="147"/>
      <c r="CD16" s="147"/>
      <c r="CE16" s="147"/>
      <c r="CF16" s="147"/>
    </row>
    <row r="17" spans="1:84">
      <c r="A17" s="144" t="s">
        <v>216</v>
      </c>
      <c r="B17" s="144">
        <v>0</v>
      </c>
      <c r="C17" s="546"/>
      <c r="D17" s="144">
        <v>25</v>
      </c>
      <c r="E17" s="546"/>
      <c r="F17" s="144">
        <v>25</v>
      </c>
      <c r="G17" s="547">
        <f t="shared" si="3"/>
        <v>50</v>
      </c>
      <c r="H17" s="389">
        <f t="shared" si="9"/>
        <v>17156220</v>
      </c>
      <c r="I17" s="144">
        <v>25</v>
      </c>
      <c r="J17" s="546"/>
      <c r="K17" s="144">
        <v>25</v>
      </c>
      <c r="L17" s="546"/>
      <c r="M17" s="144">
        <v>25</v>
      </c>
      <c r="N17" s="547">
        <f t="shared" si="4"/>
        <v>125</v>
      </c>
      <c r="O17" s="389">
        <f t="shared" si="10"/>
        <v>42890550</v>
      </c>
      <c r="P17" s="144">
        <v>25</v>
      </c>
      <c r="Q17" s="546"/>
      <c r="R17" s="145">
        <v>25</v>
      </c>
      <c r="S17" s="546"/>
      <c r="T17" s="145">
        <v>25</v>
      </c>
      <c r="U17" s="547">
        <f t="shared" si="5"/>
        <v>200</v>
      </c>
      <c r="V17" s="389">
        <f t="shared" si="11"/>
        <v>68624880</v>
      </c>
      <c r="W17" s="145">
        <v>25</v>
      </c>
      <c r="X17" s="546"/>
      <c r="Y17" s="145">
        <v>25</v>
      </c>
      <c r="Z17" s="546"/>
      <c r="AA17" s="145">
        <v>10</v>
      </c>
      <c r="AB17" s="547">
        <f t="shared" si="6"/>
        <v>260</v>
      </c>
      <c r="AC17" s="389">
        <f t="shared" si="12"/>
        <v>89212344</v>
      </c>
      <c r="AD17" s="173">
        <f t="shared" si="0"/>
        <v>260</v>
      </c>
      <c r="AE17" s="683">
        <f t="shared" si="7"/>
        <v>89212344</v>
      </c>
      <c r="AF17" s="172"/>
      <c r="AG17" s="172"/>
      <c r="AH17" s="172"/>
      <c r="AI17" s="172"/>
      <c r="AJ17" s="172"/>
      <c r="AK17" s="147"/>
      <c r="AL17" s="147"/>
      <c r="AM17" s="147"/>
      <c r="AN17" s="147"/>
      <c r="AO17" s="147"/>
      <c r="AP17" s="147"/>
      <c r="AQ17" s="147"/>
      <c r="AS17" s="144" t="s">
        <v>216</v>
      </c>
      <c r="AT17" s="144">
        <v>0</v>
      </c>
      <c r="AU17" s="550"/>
      <c r="AV17" s="144">
        <v>11</v>
      </c>
      <c r="AW17" s="546"/>
      <c r="AX17" s="144">
        <v>15</v>
      </c>
      <c r="AY17" s="547">
        <f t="shared" si="8"/>
        <v>26</v>
      </c>
      <c r="AZ17" s="500">
        <f t="shared" si="13"/>
        <v>8921234.4000000004</v>
      </c>
      <c r="BA17" s="144">
        <v>18</v>
      </c>
      <c r="BB17" s="550"/>
      <c r="BC17" s="144">
        <v>20</v>
      </c>
      <c r="BD17" s="550"/>
      <c r="BE17" s="144"/>
      <c r="BF17" s="144"/>
      <c r="BG17" s="144"/>
      <c r="BH17" s="145"/>
      <c r="BI17" s="145"/>
      <c r="BJ17" s="145"/>
      <c r="BK17" s="145"/>
      <c r="BL17" s="145"/>
      <c r="BM17" s="145"/>
      <c r="BN17" s="145"/>
      <c r="BO17" s="145"/>
      <c r="BP17" s="145"/>
      <c r="BQ17" s="145"/>
      <c r="BR17" s="145"/>
      <c r="BS17" s="173">
        <f t="shared" si="1"/>
        <v>64</v>
      </c>
      <c r="BT17" s="684">
        <f t="shared" si="2"/>
        <v>8921234.4000000004</v>
      </c>
      <c r="BU17" s="147"/>
      <c r="BV17" s="147"/>
      <c r="BW17" s="147"/>
      <c r="BX17" s="147"/>
      <c r="BY17" s="147"/>
      <c r="BZ17" s="147"/>
      <c r="CA17" s="147"/>
      <c r="CB17" s="147"/>
      <c r="CC17" s="147"/>
      <c r="CD17" s="147"/>
      <c r="CE17" s="147"/>
      <c r="CF17" s="147"/>
    </row>
    <row r="18" spans="1:84">
      <c r="A18" s="144" t="s">
        <v>217</v>
      </c>
      <c r="B18" s="144">
        <v>0</v>
      </c>
      <c r="C18" s="546"/>
      <c r="D18" s="144">
        <v>50</v>
      </c>
      <c r="E18" s="546"/>
      <c r="F18" s="144">
        <v>65</v>
      </c>
      <c r="G18" s="547">
        <f t="shared" si="3"/>
        <v>115</v>
      </c>
      <c r="H18" s="389">
        <f t="shared" si="9"/>
        <v>39459306</v>
      </c>
      <c r="I18" s="144">
        <v>65</v>
      </c>
      <c r="J18" s="546"/>
      <c r="K18" s="144">
        <v>65</v>
      </c>
      <c r="L18" s="546"/>
      <c r="M18" s="144">
        <v>65</v>
      </c>
      <c r="N18" s="547">
        <f t="shared" si="4"/>
        <v>310</v>
      </c>
      <c r="O18" s="389">
        <f t="shared" si="10"/>
        <v>106368564</v>
      </c>
      <c r="P18" s="144">
        <v>65</v>
      </c>
      <c r="Q18" s="546"/>
      <c r="R18" s="145">
        <v>65</v>
      </c>
      <c r="S18" s="546"/>
      <c r="T18" s="145">
        <v>65</v>
      </c>
      <c r="U18" s="547">
        <f t="shared" si="5"/>
        <v>505</v>
      </c>
      <c r="V18" s="389">
        <f t="shared" si="11"/>
        <v>173277822</v>
      </c>
      <c r="W18" s="145">
        <v>65</v>
      </c>
      <c r="X18" s="546"/>
      <c r="Y18" s="145">
        <v>65</v>
      </c>
      <c r="Z18" s="546"/>
      <c r="AA18" s="145">
        <v>11</v>
      </c>
      <c r="AB18" s="547">
        <f t="shared" si="6"/>
        <v>646</v>
      </c>
      <c r="AC18" s="389">
        <f t="shared" si="12"/>
        <v>221658362.40000001</v>
      </c>
      <c r="AD18" s="173">
        <f t="shared" si="0"/>
        <v>646</v>
      </c>
      <c r="AE18" s="683">
        <f t="shared" si="7"/>
        <v>221658362.40000001</v>
      </c>
      <c r="AF18" s="172"/>
      <c r="AG18" s="172"/>
      <c r="AH18" s="172"/>
      <c r="AI18" s="172"/>
      <c r="AJ18" s="172"/>
      <c r="AK18" s="147"/>
      <c r="AL18" s="147"/>
      <c r="AM18" s="147"/>
      <c r="AN18" s="147"/>
      <c r="AO18" s="147"/>
      <c r="AP18" s="147"/>
      <c r="AQ18" s="147"/>
      <c r="AS18" s="144" t="s">
        <v>217</v>
      </c>
      <c r="AT18" s="144">
        <v>0</v>
      </c>
      <c r="AU18" s="550"/>
      <c r="AV18" s="144">
        <v>111</v>
      </c>
      <c r="AW18" s="546"/>
      <c r="AX18" s="144">
        <v>118</v>
      </c>
      <c r="AY18" s="547">
        <f t="shared" si="8"/>
        <v>229</v>
      </c>
      <c r="AZ18" s="500">
        <f t="shared" si="13"/>
        <v>78575487.600000009</v>
      </c>
      <c r="BA18" s="144">
        <v>19</v>
      </c>
      <c r="BB18" s="550"/>
      <c r="BC18" s="144">
        <v>87</v>
      </c>
      <c r="BD18" s="550"/>
      <c r="BE18" s="144"/>
      <c r="BF18" s="144"/>
      <c r="BG18" s="144"/>
      <c r="BH18" s="145"/>
      <c r="BI18" s="145"/>
      <c r="BJ18" s="145"/>
      <c r="BK18" s="145"/>
      <c r="BL18" s="145"/>
      <c r="BM18" s="145"/>
      <c r="BN18" s="145"/>
      <c r="BO18" s="145"/>
      <c r="BP18" s="145"/>
      <c r="BQ18" s="145"/>
      <c r="BR18" s="145"/>
      <c r="BS18" s="173">
        <f t="shared" si="1"/>
        <v>335</v>
      </c>
      <c r="BT18" s="684">
        <f t="shared" si="2"/>
        <v>78575487.600000009</v>
      </c>
      <c r="BU18" s="147"/>
      <c r="BV18" s="147"/>
      <c r="BW18" s="147"/>
      <c r="BX18" s="147"/>
      <c r="BY18" s="147"/>
      <c r="BZ18" s="147"/>
      <c r="CA18" s="147"/>
      <c r="CB18" s="147"/>
      <c r="CC18" s="147"/>
      <c r="CD18" s="147"/>
      <c r="CE18" s="147"/>
      <c r="CF18" s="147"/>
    </row>
    <row r="19" spans="1:84">
      <c r="A19" s="144" t="s">
        <v>218</v>
      </c>
      <c r="B19" s="144">
        <v>0</v>
      </c>
      <c r="C19" s="546"/>
      <c r="D19" s="144">
        <v>50</v>
      </c>
      <c r="E19" s="546"/>
      <c r="F19" s="144">
        <v>70</v>
      </c>
      <c r="G19" s="547">
        <f t="shared" si="3"/>
        <v>120</v>
      </c>
      <c r="H19" s="389">
        <f t="shared" si="9"/>
        <v>41174928</v>
      </c>
      <c r="I19" s="144">
        <v>70</v>
      </c>
      <c r="J19" s="546"/>
      <c r="K19" s="144">
        <v>70</v>
      </c>
      <c r="L19" s="546"/>
      <c r="M19" s="144">
        <v>70</v>
      </c>
      <c r="N19" s="547">
        <f t="shared" si="4"/>
        <v>330</v>
      </c>
      <c r="O19" s="389">
        <f t="shared" si="10"/>
        <v>113231052.00000001</v>
      </c>
      <c r="P19" s="144">
        <v>70</v>
      </c>
      <c r="Q19" s="546"/>
      <c r="R19" s="145">
        <v>70</v>
      </c>
      <c r="S19" s="546"/>
      <c r="T19" s="145">
        <v>70</v>
      </c>
      <c r="U19" s="547">
        <f t="shared" si="5"/>
        <v>540</v>
      </c>
      <c r="V19" s="389">
        <f t="shared" si="11"/>
        <v>185287176</v>
      </c>
      <c r="W19" s="145">
        <v>70</v>
      </c>
      <c r="X19" s="546"/>
      <c r="Y19" s="145">
        <v>70</v>
      </c>
      <c r="Z19" s="546"/>
      <c r="AA19" s="145">
        <v>11</v>
      </c>
      <c r="AB19" s="547">
        <f t="shared" si="6"/>
        <v>691</v>
      </c>
      <c r="AC19" s="389">
        <f t="shared" si="12"/>
        <v>237098960.40000001</v>
      </c>
      <c r="AD19" s="173">
        <f t="shared" si="0"/>
        <v>691</v>
      </c>
      <c r="AE19" s="683">
        <f t="shared" si="7"/>
        <v>237098960.40000001</v>
      </c>
      <c r="AF19" s="172"/>
      <c r="AG19" s="172"/>
      <c r="AH19" s="172"/>
      <c r="AI19" s="172"/>
      <c r="AJ19" s="172"/>
      <c r="AK19" s="147"/>
      <c r="AL19" s="147"/>
      <c r="AM19" s="147"/>
      <c r="AN19" s="147"/>
      <c r="AO19" s="147"/>
      <c r="AP19" s="147"/>
      <c r="AQ19" s="147"/>
      <c r="AS19" s="144" t="s">
        <v>218</v>
      </c>
      <c r="AT19" s="144">
        <v>0</v>
      </c>
      <c r="AU19" s="550"/>
      <c r="AV19" s="144">
        <v>44</v>
      </c>
      <c r="AW19" s="546"/>
      <c r="AX19" s="144">
        <v>73</v>
      </c>
      <c r="AY19" s="547">
        <f t="shared" si="8"/>
        <v>117</v>
      </c>
      <c r="AZ19" s="500">
        <f t="shared" si="13"/>
        <v>40145554.800000004</v>
      </c>
      <c r="BA19" s="144">
        <v>144</v>
      </c>
      <c r="BB19" s="550"/>
      <c r="BC19" s="144">
        <v>149</v>
      </c>
      <c r="BD19" s="550"/>
      <c r="BE19" s="144"/>
      <c r="BF19" s="144"/>
      <c r="BG19" s="144"/>
      <c r="BH19" s="145"/>
      <c r="BI19" s="145"/>
      <c r="BJ19" s="145"/>
      <c r="BK19" s="145"/>
      <c r="BL19" s="145"/>
      <c r="BM19" s="145"/>
      <c r="BN19" s="145"/>
      <c r="BO19" s="145"/>
      <c r="BP19" s="145"/>
      <c r="BQ19" s="145"/>
      <c r="BR19" s="145"/>
      <c r="BS19" s="173">
        <f t="shared" si="1"/>
        <v>410</v>
      </c>
      <c r="BT19" s="684">
        <f t="shared" si="2"/>
        <v>40145554.800000004</v>
      </c>
      <c r="BU19" s="147"/>
      <c r="BV19" s="147"/>
      <c r="BW19" s="147"/>
      <c r="BX19" s="147"/>
      <c r="BY19" s="147"/>
      <c r="BZ19" s="147"/>
      <c r="CA19" s="147"/>
      <c r="CB19" s="147"/>
      <c r="CC19" s="147"/>
      <c r="CD19" s="147"/>
      <c r="CE19" s="147"/>
      <c r="CF19" s="147"/>
    </row>
    <row r="20" spans="1:84">
      <c r="A20" s="144" t="s">
        <v>1189</v>
      </c>
      <c r="B20" s="144">
        <v>0</v>
      </c>
      <c r="C20" s="546"/>
      <c r="D20" s="144">
        <v>25</v>
      </c>
      <c r="E20" s="546"/>
      <c r="F20" s="144">
        <v>25</v>
      </c>
      <c r="G20" s="547">
        <f t="shared" si="3"/>
        <v>50</v>
      </c>
      <c r="H20" s="389">
        <f t="shared" si="9"/>
        <v>17156220</v>
      </c>
      <c r="I20" s="144">
        <v>25</v>
      </c>
      <c r="J20" s="546"/>
      <c r="K20" s="144">
        <v>25</v>
      </c>
      <c r="L20" s="546"/>
      <c r="M20" s="144">
        <v>25</v>
      </c>
      <c r="N20" s="547">
        <f t="shared" si="4"/>
        <v>125</v>
      </c>
      <c r="O20" s="389">
        <f t="shared" si="10"/>
        <v>42890550</v>
      </c>
      <c r="P20" s="144">
        <v>25</v>
      </c>
      <c r="Q20" s="546"/>
      <c r="R20" s="145">
        <v>25</v>
      </c>
      <c r="S20" s="546"/>
      <c r="T20" s="145">
        <v>25</v>
      </c>
      <c r="U20" s="547">
        <f t="shared" si="5"/>
        <v>200</v>
      </c>
      <c r="V20" s="389">
        <f t="shared" si="11"/>
        <v>68624880</v>
      </c>
      <c r="W20" s="145">
        <v>25</v>
      </c>
      <c r="X20" s="546"/>
      <c r="Y20" s="145">
        <v>25</v>
      </c>
      <c r="Z20" s="546"/>
      <c r="AA20" s="145">
        <v>10</v>
      </c>
      <c r="AB20" s="547">
        <f t="shared" si="6"/>
        <v>260</v>
      </c>
      <c r="AC20" s="389">
        <f t="shared" si="12"/>
        <v>89212344</v>
      </c>
      <c r="AD20" s="173">
        <f t="shared" si="0"/>
        <v>260</v>
      </c>
      <c r="AE20" s="683">
        <f t="shared" si="7"/>
        <v>89212344</v>
      </c>
      <c r="AF20" s="172"/>
      <c r="AG20" s="172"/>
      <c r="AH20" s="172"/>
      <c r="AI20" s="172"/>
      <c r="AJ20" s="172"/>
      <c r="AK20" s="147"/>
      <c r="AL20" s="147"/>
      <c r="AM20" s="147"/>
      <c r="AN20" s="147"/>
      <c r="AO20" s="147"/>
      <c r="AP20" s="147"/>
      <c r="AQ20" s="147"/>
      <c r="AS20" s="144" t="s">
        <v>1189</v>
      </c>
      <c r="AT20" s="144">
        <v>0</v>
      </c>
      <c r="AU20" s="550"/>
      <c r="AV20" s="144">
        <v>11</v>
      </c>
      <c r="AW20" s="546"/>
      <c r="AX20" s="144">
        <v>65</v>
      </c>
      <c r="AY20" s="547">
        <f t="shared" si="8"/>
        <v>76</v>
      </c>
      <c r="AZ20" s="500">
        <f t="shared" si="13"/>
        <v>26077454.400000002</v>
      </c>
      <c r="BA20" s="144">
        <v>46</v>
      </c>
      <c r="BB20" s="550"/>
      <c r="BC20" s="144">
        <v>20</v>
      </c>
      <c r="BD20" s="550"/>
      <c r="BE20" s="144"/>
      <c r="BF20" s="144"/>
      <c r="BG20" s="144"/>
      <c r="BH20" s="145"/>
      <c r="BI20" s="145"/>
      <c r="BJ20" s="145"/>
      <c r="BK20" s="145"/>
      <c r="BL20" s="145"/>
      <c r="BM20" s="145"/>
      <c r="BN20" s="145"/>
      <c r="BO20" s="145"/>
      <c r="BP20" s="145"/>
      <c r="BQ20" s="145"/>
      <c r="BR20" s="145"/>
      <c r="BS20" s="173">
        <f t="shared" si="1"/>
        <v>142</v>
      </c>
      <c r="BT20" s="684">
        <f t="shared" si="2"/>
        <v>26077454.400000002</v>
      </c>
      <c r="BU20" s="147"/>
      <c r="BV20" s="147"/>
      <c r="BW20" s="147"/>
      <c r="BX20" s="147"/>
      <c r="BY20" s="147"/>
      <c r="BZ20" s="147"/>
      <c r="CA20" s="147"/>
      <c r="CB20" s="147"/>
      <c r="CC20" s="147"/>
      <c r="CD20" s="147"/>
      <c r="CE20" s="147"/>
      <c r="CF20" s="147"/>
    </row>
    <row r="21" spans="1:84">
      <c r="A21" s="144" t="s">
        <v>1190</v>
      </c>
      <c r="B21" s="144">
        <v>0</v>
      </c>
      <c r="C21" s="546"/>
      <c r="D21" s="144">
        <v>50</v>
      </c>
      <c r="E21" s="546"/>
      <c r="F21" s="144">
        <v>60</v>
      </c>
      <c r="G21" s="547">
        <f t="shared" si="3"/>
        <v>110</v>
      </c>
      <c r="H21" s="389">
        <f t="shared" si="9"/>
        <v>37743684</v>
      </c>
      <c r="I21" s="144">
        <v>60</v>
      </c>
      <c r="J21" s="546"/>
      <c r="K21" s="144">
        <v>60</v>
      </c>
      <c r="L21" s="546"/>
      <c r="M21" s="144">
        <v>60</v>
      </c>
      <c r="N21" s="547">
        <f t="shared" si="4"/>
        <v>290</v>
      </c>
      <c r="O21" s="389">
        <f t="shared" si="10"/>
        <v>99506076</v>
      </c>
      <c r="P21" s="144">
        <v>60</v>
      </c>
      <c r="Q21" s="546"/>
      <c r="R21" s="145">
        <v>60</v>
      </c>
      <c r="S21" s="546"/>
      <c r="T21" s="145">
        <v>60</v>
      </c>
      <c r="U21" s="547">
        <f t="shared" si="5"/>
        <v>470</v>
      </c>
      <c r="V21" s="389">
        <f t="shared" si="11"/>
        <v>161268468</v>
      </c>
      <c r="W21" s="145">
        <v>60</v>
      </c>
      <c r="X21" s="546"/>
      <c r="Y21" s="145">
        <v>60</v>
      </c>
      <c r="Z21" s="546"/>
      <c r="AA21" s="145">
        <v>11</v>
      </c>
      <c r="AB21" s="547">
        <f t="shared" si="6"/>
        <v>601</v>
      </c>
      <c r="AC21" s="389">
        <f t="shared" si="12"/>
        <v>206217764.40000001</v>
      </c>
      <c r="AD21" s="173">
        <f t="shared" si="0"/>
        <v>601</v>
      </c>
      <c r="AE21" s="683">
        <f t="shared" si="7"/>
        <v>206217764.40000001</v>
      </c>
      <c r="AF21" s="172"/>
      <c r="AG21" s="172"/>
      <c r="AH21" s="172"/>
      <c r="AI21" s="172"/>
      <c r="AJ21" s="172"/>
      <c r="AK21" s="147"/>
      <c r="AL21" s="147"/>
      <c r="AM21" s="147"/>
      <c r="AN21" s="147"/>
      <c r="AO21" s="147"/>
      <c r="AP21" s="147"/>
      <c r="AQ21" s="147"/>
      <c r="AS21" s="144" t="s">
        <v>1190</v>
      </c>
      <c r="AT21" s="144">
        <v>0</v>
      </c>
      <c r="AU21" s="550"/>
      <c r="AV21" s="144">
        <v>24</v>
      </c>
      <c r="AW21" s="546"/>
      <c r="AX21" s="144">
        <v>47</v>
      </c>
      <c r="AY21" s="547">
        <f t="shared" si="8"/>
        <v>71</v>
      </c>
      <c r="AZ21" s="500">
        <f t="shared" si="13"/>
        <v>24361832.400000002</v>
      </c>
      <c r="BA21" s="144">
        <v>82</v>
      </c>
      <c r="BB21" s="550"/>
      <c r="BC21" s="144">
        <v>105</v>
      </c>
      <c r="BD21" s="550"/>
      <c r="BE21" s="144"/>
      <c r="BF21" s="144"/>
      <c r="BG21" s="144"/>
      <c r="BH21" s="145"/>
      <c r="BI21" s="145"/>
      <c r="BJ21" s="145"/>
      <c r="BK21" s="145"/>
      <c r="BL21" s="145"/>
      <c r="BM21" s="145"/>
      <c r="BN21" s="145"/>
      <c r="BO21" s="145"/>
      <c r="BP21" s="145"/>
      <c r="BQ21" s="145"/>
      <c r="BR21" s="145"/>
      <c r="BS21" s="173">
        <f t="shared" si="1"/>
        <v>258</v>
      </c>
      <c r="BT21" s="684">
        <f t="shared" si="2"/>
        <v>24361832.400000002</v>
      </c>
      <c r="BU21" s="147"/>
      <c r="BV21" s="147"/>
      <c r="BW21" s="147"/>
      <c r="BX21" s="147"/>
      <c r="BY21" s="147"/>
      <c r="BZ21" s="147"/>
      <c r="CA21" s="147"/>
      <c r="CB21" s="147"/>
      <c r="CC21" s="147"/>
      <c r="CD21" s="147"/>
      <c r="CE21" s="147"/>
      <c r="CF21" s="147"/>
    </row>
    <row r="22" spans="1:84">
      <c r="A22" s="144" t="s">
        <v>219</v>
      </c>
      <c r="B22" s="144">
        <v>0</v>
      </c>
      <c r="C22" s="546"/>
      <c r="D22" s="144">
        <v>50</v>
      </c>
      <c r="E22" s="546"/>
      <c r="F22" s="144">
        <v>70</v>
      </c>
      <c r="G22" s="547">
        <f t="shared" si="3"/>
        <v>120</v>
      </c>
      <c r="H22" s="389">
        <f t="shared" si="9"/>
        <v>41174928</v>
      </c>
      <c r="I22" s="144">
        <v>70</v>
      </c>
      <c r="J22" s="546"/>
      <c r="K22" s="144">
        <v>70</v>
      </c>
      <c r="L22" s="546"/>
      <c r="M22" s="144">
        <v>70</v>
      </c>
      <c r="N22" s="547">
        <f t="shared" si="4"/>
        <v>330</v>
      </c>
      <c r="O22" s="389">
        <f t="shared" si="10"/>
        <v>113231052.00000001</v>
      </c>
      <c r="P22" s="144">
        <v>70</v>
      </c>
      <c r="Q22" s="546"/>
      <c r="R22" s="145">
        <v>70</v>
      </c>
      <c r="S22" s="546"/>
      <c r="T22" s="145">
        <v>70</v>
      </c>
      <c r="U22" s="547">
        <f t="shared" si="5"/>
        <v>540</v>
      </c>
      <c r="V22" s="389">
        <f t="shared" si="11"/>
        <v>185287176</v>
      </c>
      <c r="W22" s="145">
        <v>70</v>
      </c>
      <c r="X22" s="546"/>
      <c r="Y22" s="145">
        <v>70</v>
      </c>
      <c r="Z22" s="546"/>
      <c r="AA22" s="145">
        <v>11</v>
      </c>
      <c r="AB22" s="547">
        <f t="shared" si="6"/>
        <v>691</v>
      </c>
      <c r="AC22" s="389">
        <f t="shared" si="12"/>
        <v>237098960.40000001</v>
      </c>
      <c r="AD22" s="173">
        <f t="shared" si="0"/>
        <v>691</v>
      </c>
      <c r="AE22" s="683">
        <f t="shared" si="7"/>
        <v>237098960.40000001</v>
      </c>
      <c r="AF22" s="172"/>
      <c r="AG22" s="172"/>
      <c r="AH22" s="172"/>
      <c r="AI22" s="172"/>
      <c r="AJ22" s="172"/>
      <c r="AK22" s="147"/>
      <c r="AL22" s="147"/>
      <c r="AM22" s="147"/>
      <c r="AN22" s="147"/>
      <c r="AO22" s="147"/>
      <c r="AP22" s="147"/>
      <c r="AQ22" s="147"/>
      <c r="AS22" s="144" t="s">
        <v>219</v>
      </c>
      <c r="AT22" s="144">
        <v>0</v>
      </c>
      <c r="AU22" s="550"/>
      <c r="AV22" s="144">
        <v>94</v>
      </c>
      <c r="AW22" s="546"/>
      <c r="AX22" s="144">
        <v>103</v>
      </c>
      <c r="AY22" s="547">
        <f t="shared" si="8"/>
        <v>197</v>
      </c>
      <c r="AZ22" s="500">
        <f t="shared" si="13"/>
        <v>67595506.800000012</v>
      </c>
      <c r="BA22" s="144">
        <v>158</v>
      </c>
      <c r="BB22" s="550"/>
      <c r="BC22" s="144">
        <v>136</v>
      </c>
      <c r="BD22" s="550"/>
      <c r="BE22" s="144"/>
      <c r="BF22" s="144"/>
      <c r="BG22" s="144"/>
      <c r="BH22" s="145"/>
      <c r="BI22" s="145"/>
      <c r="BJ22" s="145"/>
      <c r="BK22" s="145"/>
      <c r="BL22" s="145"/>
      <c r="BM22" s="145"/>
      <c r="BN22" s="145"/>
      <c r="BO22" s="145"/>
      <c r="BP22" s="145"/>
      <c r="BQ22" s="145"/>
      <c r="BR22" s="145"/>
      <c r="BS22" s="173">
        <f t="shared" si="1"/>
        <v>491</v>
      </c>
      <c r="BT22" s="684">
        <f t="shared" si="2"/>
        <v>67595506.800000012</v>
      </c>
      <c r="BU22" s="147"/>
      <c r="BV22" s="147"/>
      <c r="BW22" s="147"/>
      <c r="BX22" s="147"/>
      <c r="BY22" s="147"/>
      <c r="BZ22" s="147"/>
      <c r="CA22" s="147"/>
      <c r="CB22" s="147"/>
      <c r="CC22" s="147"/>
      <c r="CD22" s="147"/>
      <c r="CE22" s="147"/>
      <c r="CF22" s="147"/>
    </row>
    <row r="23" spans="1:84">
      <c r="A23" s="144" t="s">
        <v>220</v>
      </c>
      <c r="B23" s="144">
        <v>0</v>
      </c>
      <c r="C23" s="546"/>
      <c r="D23" s="144">
        <v>10</v>
      </c>
      <c r="E23" s="546"/>
      <c r="F23" s="144">
        <v>10</v>
      </c>
      <c r="G23" s="547">
        <f t="shared" si="3"/>
        <v>20</v>
      </c>
      <c r="H23" s="389">
        <f t="shared" si="9"/>
        <v>6862488</v>
      </c>
      <c r="I23" s="144">
        <v>10</v>
      </c>
      <c r="J23" s="546"/>
      <c r="K23" s="144">
        <v>10</v>
      </c>
      <c r="L23" s="546"/>
      <c r="M23" s="144">
        <v>10</v>
      </c>
      <c r="N23" s="547">
        <f t="shared" si="4"/>
        <v>50</v>
      </c>
      <c r="O23" s="389">
        <f t="shared" si="10"/>
        <v>17156220</v>
      </c>
      <c r="P23" s="144">
        <v>10</v>
      </c>
      <c r="Q23" s="546"/>
      <c r="R23" s="145">
        <v>10</v>
      </c>
      <c r="S23" s="546"/>
      <c r="T23" s="145">
        <v>10</v>
      </c>
      <c r="U23" s="547">
        <f t="shared" si="5"/>
        <v>80</v>
      </c>
      <c r="V23" s="389">
        <f t="shared" si="11"/>
        <v>27449952</v>
      </c>
      <c r="W23" s="145">
        <v>10</v>
      </c>
      <c r="X23" s="546"/>
      <c r="Y23" s="145">
        <v>10</v>
      </c>
      <c r="Z23" s="546"/>
      <c r="AA23" s="145">
        <v>10</v>
      </c>
      <c r="AB23" s="547">
        <f t="shared" si="6"/>
        <v>110</v>
      </c>
      <c r="AC23" s="389">
        <f t="shared" si="12"/>
        <v>37743684</v>
      </c>
      <c r="AD23" s="173">
        <f t="shared" si="0"/>
        <v>110</v>
      </c>
      <c r="AE23" s="683">
        <f t="shared" si="7"/>
        <v>37743684</v>
      </c>
      <c r="AF23" s="172"/>
      <c r="AG23" s="172"/>
      <c r="AH23" s="172"/>
      <c r="AI23" s="172"/>
      <c r="AJ23" s="172"/>
      <c r="AK23" s="147"/>
      <c r="AL23" s="147"/>
      <c r="AM23" s="147"/>
      <c r="AN23" s="147"/>
      <c r="AO23" s="147"/>
      <c r="AP23" s="147"/>
      <c r="AQ23" s="147"/>
      <c r="AS23" s="144" t="s">
        <v>220</v>
      </c>
      <c r="AT23" s="144">
        <v>0</v>
      </c>
      <c r="AU23" s="550"/>
      <c r="AV23" s="144">
        <v>8</v>
      </c>
      <c r="AW23" s="546"/>
      <c r="AX23" s="144">
        <v>16</v>
      </c>
      <c r="AY23" s="547">
        <f t="shared" si="8"/>
        <v>24</v>
      </c>
      <c r="AZ23" s="500">
        <f t="shared" si="13"/>
        <v>8234985.6000000006</v>
      </c>
      <c r="BA23" s="144">
        <v>4</v>
      </c>
      <c r="BB23" s="550"/>
      <c r="BC23" s="144">
        <v>8</v>
      </c>
      <c r="BD23" s="550"/>
      <c r="BE23" s="144"/>
      <c r="BF23" s="144"/>
      <c r="BG23" s="144"/>
      <c r="BH23" s="145"/>
      <c r="BI23" s="145"/>
      <c r="BJ23" s="145"/>
      <c r="BK23" s="145"/>
      <c r="BL23" s="145"/>
      <c r="BM23" s="145"/>
      <c r="BN23" s="145"/>
      <c r="BO23" s="145"/>
      <c r="BP23" s="145"/>
      <c r="BQ23" s="145"/>
      <c r="BR23" s="145"/>
      <c r="BS23" s="173">
        <f t="shared" si="1"/>
        <v>36</v>
      </c>
      <c r="BT23" s="684">
        <f t="shared" si="2"/>
        <v>8234985.6000000006</v>
      </c>
      <c r="BU23" s="147"/>
      <c r="BV23" s="147"/>
      <c r="BW23" s="147"/>
      <c r="BX23" s="147"/>
      <c r="BY23" s="147"/>
      <c r="BZ23" s="147"/>
      <c r="CA23" s="147"/>
      <c r="CB23" s="147"/>
      <c r="CC23" s="147"/>
      <c r="CD23" s="147"/>
      <c r="CE23" s="147"/>
      <c r="CF23" s="147"/>
    </row>
    <row r="24" spans="1:84">
      <c r="A24" s="144" t="s">
        <v>221</v>
      </c>
      <c r="B24" s="144">
        <v>0</v>
      </c>
      <c r="C24" s="546"/>
      <c r="D24" s="144">
        <v>10</v>
      </c>
      <c r="E24" s="546"/>
      <c r="F24" s="144">
        <v>10</v>
      </c>
      <c r="G24" s="547">
        <f t="shared" si="3"/>
        <v>20</v>
      </c>
      <c r="H24" s="389">
        <f t="shared" si="9"/>
        <v>6862488</v>
      </c>
      <c r="I24" s="144">
        <v>10</v>
      </c>
      <c r="J24" s="546"/>
      <c r="K24" s="144">
        <v>10</v>
      </c>
      <c r="L24" s="546"/>
      <c r="M24" s="144">
        <v>10</v>
      </c>
      <c r="N24" s="547">
        <f t="shared" si="4"/>
        <v>50</v>
      </c>
      <c r="O24" s="389">
        <f t="shared" si="10"/>
        <v>17156220</v>
      </c>
      <c r="P24" s="144">
        <v>10</v>
      </c>
      <c r="Q24" s="546"/>
      <c r="R24" s="145">
        <v>10</v>
      </c>
      <c r="S24" s="546"/>
      <c r="T24" s="145">
        <v>10</v>
      </c>
      <c r="U24" s="547">
        <f t="shared" si="5"/>
        <v>80</v>
      </c>
      <c r="V24" s="389">
        <f t="shared" si="11"/>
        <v>27449952</v>
      </c>
      <c r="W24" s="145">
        <v>10</v>
      </c>
      <c r="X24" s="546"/>
      <c r="Y24" s="145">
        <v>10</v>
      </c>
      <c r="Z24" s="546"/>
      <c r="AA24" s="145">
        <v>10</v>
      </c>
      <c r="AB24" s="547">
        <f t="shared" si="6"/>
        <v>110</v>
      </c>
      <c r="AC24" s="389">
        <f t="shared" si="12"/>
        <v>37743684</v>
      </c>
      <c r="AD24" s="173">
        <f t="shared" si="0"/>
        <v>110</v>
      </c>
      <c r="AE24" s="683">
        <f t="shared" si="7"/>
        <v>37743684</v>
      </c>
      <c r="AF24" s="172"/>
      <c r="AG24" s="172"/>
      <c r="AH24" s="172"/>
      <c r="AI24" s="172"/>
      <c r="AJ24" s="172"/>
      <c r="AK24" s="147"/>
      <c r="AL24" s="147"/>
      <c r="AM24" s="147"/>
      <c r="AN24" s="147"/>
      <c r="AO24" s="147"/>
      <c r="AP24" s="147"/>
      <c r="AQ24" s="147"/>
      <c r="AS24" s="144" t="s">
        <v>221</v>
      </c>
      <c r="AT24" s="144">
        <v>0</v>
      </c>
      <c r="AU24" s="550"/>
      <c r="AV24" s="144">
        <v>15</v>
      </c>
      <c r="AW24" s="546"/>
      <c r="AX24" s="144">
        <v>10</v>
      </c>
      <c r="AY24" s="547">
        <f t="shared" si="8"/>
        <v>25</v>
      </c>
      <c r="AZ24" s="500">
        <f t="shared" si="13"/>
        <v>8578110</v>
      </c>
      <c r="BA24" s="144">
        <v>7</v>
      </c>
      <c r="BB24" s="550"/>
      <c r="BC24" s="144">
        <v>12</v>
      </c>
      <c r="BD24" s="550"/>
      <c r="BE24" s="144"/>
      <c r="BF24" s="144"/>
      <c r="BG24" s="144"/>
      <c r="BH24" s="145"/>
      <c r="BI24" s="145"/>
      <c r="BJ24" s="145"/>
      <c r="BK24" s="145"/>
      <c r="BL24" s="145"/>
      <c r="BM24" s="145"/>
      <c r="BN24" s="145"/>
      <c r="BO24" s="145"/>
      <c r="BP24" s="145"/>
      <c r="BQ24" s="145"/>
      <c r="BR24" s="145"/>
      <c r="BS24" s="173">
        <f t="shared" si="1"/>
        <v>44</v>
      </c>
      <c r="BT24" s="684">
        <f t="shared" si="2"/>
        <v>8578110</v>
      </c>
      <c r="BU24" s="147"/>
      <c r="BV24" s="147"/>
      <c r="BW24" s="147"/>
      <c r="BX24" s="147"/>
      <c r="BY24" s="147"/>
      <c r="BZ24" s="147"/>
      <c r="CA24" s="147"/>
      <c r="CB24" s="147"/>
      <c r="CC24" s="147"/>
      <c r="CD24" s="147"/>
      <c r="CE24" s="147"/>
      <c r="CF24" s="147"/>
    </row>
    <row r="25" spans="1:84">
      <c r="A25" s="144" t="s">
        <v>1191</v>
      </c>
      <c r="B25" s="144">
        <v>0</v>
      </c>
      <c r="C25" s="546"/>
      <c r="D25" s="144">
        <v>10</v>
      </c>
      <c r="E25" s="546"/>
      <c r="F25" s="144">
        <v>10</v>
      </c>
      <c r="G25" s="547">
        <f t="shared" si="3"/>
        <v>20</v>
      </c>
      <c r="H25" s="389">
        <f t="shared" si="9"/>
        <v>6862488</v>
      </c>
      <c r="I25" s="144">
        <v>10</v>
      </c>
      <c r="J25" s="546"/>
      <c r="K25" s="144">
        <v>10</v>
      </c>
      <c r="L25" s="546"/>
      <c r="M25" s="144">
        <v>10</v>
      </c>
      <c r="N25" s="547">
        <f t="shared" si="4"/>
        <v>50</v>
      </c>
      <c r="O25" s="389">
        <f t="shared" si="10"/>
        <v>17156220</v>
      </c>
      <c r="P25" s="144">
        <v>10</v>
      </c>
      <c r="Q25" s="546"/>
      <c r="R25" s="145">
        <v>10</v>
      </c>
      <c r="S25" s="546"/>
      <c r="T25" s="145">
        <v>10</v>
      </c>
      <c r="U25" s="547">
        <f t="shared" si="5"/>
        <v>80</v>
      </c>
      <c r="V25" s="389">
        <f t="shared" si="11"/>
        <v>27449952</v>
      </c>
      <c r="W25" s="145">
        <v>10</v>
      </c>
      <c r="X25" s="546"/>
      <c r="Y25" s="145">
        <v>10</v>
      </c>
      <c r="Z25" s="546"/>
      <c r="AA25" s="145">
        <v>10</v>
      </c>
      <c r="AB25" s="547">
        <f t="shared" si="6"/>
        <v>110</v>
      </c>
      <c r="AC25" s="389">
        <f t="shared" si="12"/>
        <v>37743684</v>
      </c>
      <c r="AD25" s="173">
        <f t="shared" si="0"/>
        <v>110</v>
      </c>
      <c r="AE25" s="683">
        <f t="shared" si="7"/>
        <v>37743684</v>
      </c>
      <c r="AF25" s="172"/>
      <c r="AG25" s="172"/>
      <c r="AH25" s="172"/>
      <c r="AI25" s="172"/>
      <c r="AJ25" s="172"/>
      <c r="AK25" s="147"/>
      <c r="AL25" s="147"/>
      <c r="AM25" s="147"/>
      <c r="AN25" s="147"/>
      <c r="AO25" s="147"/>
      <c r="AP25" s="147"/>
      <c r="AQ25" s="147"/>
      <c r="AS25" s="144" t="s">
        <v>1191</v>
      </c>
      <c r="AT25" s="144">
        <v>0</v>
      </c>
      <c r="AU25" s="550"/>
      <c r="AV25" s="144">
        <v>9</v>
      </c>
      <c r="AW25" s="546"/>
      <c r="AX25" s="144">
        <v>6</v>
      </c>
      <c r="AY25" s="547">
        <f t="shared" si="8"/>
        <v>15</v>
      </c>
      <c r="AZ25" s="500">
        <f t="shared" si="13"/>
        <v>5146866</v>
      </c>
      <c r="BA25" s="144">
        <v>16</v>
      </c>
      <c r="BB25" s="550"/>
      <c r="BC25" s="144">
        <v>11</v>
      </c>
      <c r="BD25" s="550"/>
      <c r="BE25" s="144"/>
      <c r="BF25" s="144"/>
      <c r="BG25" s="144"/>
      <c r="BH25" s="145"/>
      <c r="BI25" s="145"/>
      <c r="BJ25" s="145"/>
      <c r="BK25" s="145"/>
      <c r="BL25" s="145"/>
      <c r="BM25" s="145"/>
      <c r="BN25" s="145"/>
      <c r="BO25" s="145"/>
      <c r="BP25" s="145"/>
      <c r="BQ25" s="145"/>
      <c r="BR25" s="145"/>
      <c r="BS25" s="173">
        <f t="shared" si="1"/>
        <v>42</v>
      </c>
      <c r="BT25" s="684">
        <f t="shared" si="2"/>
        <v>5146866</v>
      </c>
      <c r="BU25" s="147"/>
      <c r="BV25" s="147"/>
      <c r="BW25" s="147"/>
      <c r="BX25" s="147"/>
      <c r="BY25" s="147"/>
      <c r="BZ25" s="147"/>
      <c r="CA25" s="147"/>
      <c r="CB25" s="147"/>
      <c r="CC25" s="147"/>
      <c r="CD25" s="147"/>
      <c r="CE25" s="147"/>
      <c r="CF25" s="147"/>
    </row>
    <row r="26" spans="1:84">
      <c r="A26" s="144" t="s">
        <v>222</v>
      </c>
      <c r="B26" s="144">
        <v>0</v>
      </c>
      <c r="C26" s="546"/>
      <c r="D26" s="144">
        <v>5</v>
      </c>
      <c r="E26" s="546"/>
      <c r="F26" s="144">
        <v>5</v>
      </c>
      <c r="G26" s="547">
        <f t="shared" si="3"/>
        <v>10</v>
      </c>
      <c r="H26" s="389">
        <f t="shared" si="9"/>
        <v>3431244</v>
      </c>
      <c r="I26" s="144">
        <v>5</v>
      </c>
      <c r="J26" s="546"/>
      <c r="K26" s="144">
        <v>5</v>
      </c>
      <c r="L26" s="546"/>
      <c r="M26" s="144">
        <v>5</v>
      </c>
      <c r="N26" s="547">
        <f t="shared" si="4"/>
        <v>25</v>
      </c>
      <c r="O26" s="389">
        <f t="shared" si="10"/>
        <v>8578110</v>
      </c>
      <c r="P26" s="144">
        <v>5</v>
      </c>
      <c r="Q26" s="546"/>
      <c r="R26" s="145">
        <v>5</v>
      </c>
      <c r="S26" s="546"/>
      <c r="T26" s="145">
        <v>5</v>
      </c>
      <c r="U26" s="547">
        <f t="shared" si="5"/>
        <v>40</v>
      </c>
      <c r="V26" s="389">
        <f t="shared" si="11"/>
        <v>13724976</v>
      </c>
      <c r="W26" s="145">
        <v>5</v>
      </c>
      <c r="X26" s="546"/>
      <c r="Y26" s="145">
        <v>5</v>
      </c>
      <c r="Z26" s="546"/>
      <c r="AA26" s="145">
        <v>10</v>
      </c>
      <c r="AB26" s="547">
        <f t="shared" si="6"/>
        <v>60</v>
      </c>
      <c r="AC26" s="389">
        <f t="shared" si="12"/>
        <v>20587464</v>
      </c>
      <c r="AD26" s="173">
        <f t="shared" si="0"/>
        <v>60</v>
      </c>
      <c r="AE26" s="683">
        <f t="shared" si="7"/>
        <v>20587464</v>
      </c>
      <c r="AF26" s="172"/>
      <c r="AG26" s="172"/>
      <c r="AH26" s="172"/>
      <c r="AI26" s="172"/>
      <c r="AJ26" s="172"/>
      <c r="AK26" s="147"/>
      <c r="AL26" s="147"/>
      <c r="AM26" s="147"/>
      <c r="AN26" s="147"/>
      <c r="AO26" s="147"/>
      <c r="AP26" s="147"/>
      <c r="AQ26" s="147"/>
      <c r="AS26" s="144" t="s">
        <v>222</v>
      </c>
      <c r="AT26" s="144">
        <v>0</v>
      </c>
      <c r="AU26" s="550"/>
      <c r="AV26" s="144">
        <v>9</v>
      </c>
      <c r="AW26" s="546"/>
      <c r="AX26" s="144">
        <v>4</v>
      </c>
      <c r="AY26" s="547">
        <f t="shared" si="8"/>
        <v>13</v>
      </c>
      <c r="AZ26" s="500">
        <f t="shared" si="13"/>
        <v>4460617.2</v>
      </c>
      <c r="BA26" s="144">
        <v>5</v>
      </c>
      <c r="BB26" s="550"/>
      <c r="BC26" s="144">
        <v>22</v>
      </c>
      <c r="BD26" s="550"/>
      <c r="BE26" s="144"/>
      <c r="BF26" s="144"/>
      <c r="BG26" s="144"/>
      <c r="BH26" s="145"/>
      <c r="BI26" s="145"/>
      <c r="BJ26" s="145"/>
      <c r="BK26" s="145"/>
      <c r="BL26" s="145"/>
      <c r="BM26" s="145"/>
      <c r="BN26" s="145"/>
      <c r="BO26" s="145"/>
      <c r="BP26" s="145"/>
      <c r="BQ26" s="145"/>
      <c r="BR26" s="145"/>
      <c r="BS26" s="173">
        <f t="shared" si="1"/>
        <v>40</v>
      </c>
      <c r="BT26" s="684">
        <f t="shared" si="2"/>
        <v>4460617.2</v>
      </c>
      <c r="BU26" s="147"/>
      <c r="BV26" s="147"/>
      <c r="BW26" s="147"/>
      <c r="BX26" s="147"/>
      <c r="BY26" s="147"/>
      <c r="BZ26" s="147"/>
      <c r="CA26" s="147"/>
      <c r="CB26" s="147"/>
      <c r="CC26" s="147"/>
      <c r="CD26" s="147"/>
      <c r="CE26" s="147"/>
      <c r="CF26" s="147"/>
    </row>
    <row r="27" spans="1:84">
      <c r="A27" s="144" t="s">
        <v>223</v>
      </c>
      <c r="B27" s="144">
        <v>0</v>
      </c>
      <c r="C27" s="546"/>
      <c r="D27" s="144">
        <v>15</v>
      </c>
      <c r="E27" s="546"/>
      <c r="F27" s="144">
        <v>15</v>
      </c>
      <c r="G27" s="547">
        <f t="shared" si="3"/>
        <v>30</v>
      </c>
      <c r="H27" s="389">
        <f t="shared" si="9"/>
        <v>10293732</v>
      </c>
      <c r="I27" s="144">
        <v>15</v>
      </c>
      <c r="J27" s="546"/>
      <c r="K27" s="144">
        <v>15</v>
      </c>
      <c r="L27" s="546"/>
      <c r="M27" s="144">
        <v>15</v>
      </c>
      <c r="N27" s="547">
        <f t="shared" si="4"/>
        <v>75</v>
      </c>
      <c r="O27" s="389">
        <f t="shared" si="10"/>
        <v>25734330</v>
      </c>
      <c r="P27" s="144">
        <v>15</v>
      </c>
      <c r="Q27" s="546"/>
      <c r="R27" s="145">
        <v>15</v>
      </c>
      <c r="S27" s="546"/>
      <c r="T27" s="145">
        <v>15</v>
      </c>
      <c r="U27" s="547">
        <f t="shared" si="5"/>
        <v>120</v>
      </c>
      <c r="V27" s="389">
        <f t="shared" si="11"/>
        <v>41174928</v>
      </c>
      <c r="W27" s="145">
        <v>15</v>
      </c>
      <c r="X27" s="546"/>
      <c r="Y27" s="145">
        <v>15</v>
      </c>
      <c r="Z27" s="546"/>
      <c r="AA27" s="145">
        <v>10</v>
      </c>
      <c r="AB27" s="547">
        <f t="shared" si="6"/>
        <v>160</v>
      </c>
      <c r="AC27" s="389">
        <f t="shared" si="12"/>
        <v>54899904</v>
      </c>
      <c r="AD27" s="173">
        <f t="shared" si="0"/>
        <v>160</v>
      </c>
      <c r="AE27" s="683">
        <f t="shared" si="7"/>
        <v>54899904</v>
      </c>
      <c r="AF27" s="172"/>
      <c r="AG27" s="172"/>
      <c r="AH27" s="172"/>
      <c r="AI27" s="172"/>
      <c r="AJ27" s="172"/>
      <c r="AK27" s="147"/>
      <c r="AL27" s="147"/>
      <c r="AM27" s="147"/>
      <c r="AN27" s="147"/>
      <c r="AO27" s="147"/>
      <c r="AP27" s="147"/>
      <c r="AQ27" s="147"/>
      <c r="AS27" s="144" t="s">
        <v>223</v>
      </c>
      <c r="AT27" s="144">
        <v>0</v>
      </c>
      <c r="AU27" s="550"/>
      <c r="AV27" s="144">
        <v>5</v>
      </c>
      <c r="AW27" s="546"/>
      <c r="AX27" s="144">
        <v>34</v>
      </c>
      <c r="AY27" s="547">
        <f t="shared" si="8"/>
        <v>39</v>
      </c>
      <c r="AZ27" s="500">
        <f t="shared" si="13"/>
        <v>13381851.600000001</v>
      </c>
      <c r="BA27" s="144">
        <v>25</v>
      </c>
      <c r="BB27" s="550"/>
      <c r="BC27" s="144">
        <v>13</v>
      </c>
      <c r="BD27" s="550"/>
      <c r="BE27" s="144"/>
      <c r="BF27" s="144"/>
      <c r="BG27" s="144"/>
      <c r="BH27" s="145"/>
      <c r="BI27" s="145"/>
      <c r="BJ27" s="145"/>
      <c r="BK27" s="145"/>
      <c r="BL27" s="145"/>
      <c r="BM27" s="145"/>
      <c r="BN27" s="145"/>
      <c r="BO27" s="145"/>
      <c r="BP27" s="145"/>
      <c r="BQ27" s="145"/>
      <c r="BR27" s="145"/>
      <c r="BS27" s="173">
        <f t="shared" si="1"/>
        <v>77</v>
      </c>
      <c r="BT27" s="684">
        <f t="shared" si="2"/>
        <v>13381851.600000001</v>
      </c>
      <c r="BU27" s="147"/>
      <c r="BV27" s="147"/>
      <c r="BW27" s="147"/>
      <c r="BX27" s="147"/>
      <c r="BY27" s="147"/>
      <c r="BZ27" s="147"/>
      <c r="CA27" s="147"/>
      <c r="CB27" s="147"/>
      <c r="CC27" s="147"/>
      <c r="CD27" s="147"/>
      <c r="CE27" s="147"/>
      <c r="CF27" s="147"/>
    </row>
    <row r="28" spans="1:84">
      <c r="A28" s="144" t="s">
        <v>224</v>
      </c>
      <c r="B28" s="144">
        <v>0</v>
      </c>
      <c r="C28" s="546"/>
      <c r="D28" s="144">
        <v>5</v>
      </c>
      <c r="E28" s="546"/>
      <c r="F28" s="144">
        <v>5</v>
      </c>
      <c r="G28" s="547">
        <f t="shared" si="3"/>
        <v>10</v>
      </c>
      <c r="H28" s="389">
        <f t="shared" si="9"/>
        <v>3431244</v>
      </c>
      <c r="I28" s="144">
        <v>5</v>
      </c>
      <c r="J28" s="546"/>
      <c r="K28" s="144">
        <v>5</v>
      </c>
      <c r="L28" s="546"/>
      <c r="M28" s="144">
        <v>5</v>
      </c>
      <c r="N28" s="547">
        <f t="shared" si="4"/>
        <v>25</v>
      </c>
      <c r="O28" s="389">
        <f t="shared" si="10"/>
        <v>8578110</v>
      </c>
      <c r="P28" s="144">
        <v>5</v>
      </c>
      <c r="Q28" s="546"/>
      <c r="R28" s="145">
        <v>5</v>
      </c>
      <c r="S28" s="546"/>
      <c r="T28" s="145">
        <v>5</v>
      </c>
      <c r="U28" s="547">
        <f t="shared" si="5"/>
        <v>40</v>
      </c>
      <c r="V28" s="389">
        <f t="shared" si="11"/>
        <v>13724976</v>
      </c>
      <c r="W28" s="145">
        <v>5</v>
      </c>
      <c r="X28" s="546"/>
      <c r="Y28" s="145">
        <v>5</v>
      </c>
      <c r="Z28" s="546"/>
      <c r="AA28" s="145">
        <v>10</v>
      </c>
      <c r="AB28" s="547">
        <f t="shared" si="6"/>
        <v>60</v>
      </c>
      <c r="AC28" s="389">
        <f t="shared" si="12"/>
        <v>20587464</v>
      </c>
      <c r="AD28" s="173">
        <f t="shared" si="0"/>
        <v>60</v>
      </c>
      <c r="AE28" s="683">
        <f t="shared" si="7"/>
        <v>20587464</v>
      </c>
      <c r="AF28" s="172"/>
      <c r="AG28" s="172"/>
      <c r="AH28" s="172"/>
      <c r="AI28" s="172"/>
      <c r="AJ28" s="172"/>
      <c r="AK28" s="147"/>
      <c r="AL28" s="147"/>
      <c r="AM28" s="147"/>
      <c r="AN28" s="147"/>
      <c r="AO28" s="147"/>
      <c r="AP28" s="147"/>
      <c r="AQ28" s="147"/>
      <c r="AS28" s="144" t="s">
        <v>224</v>
      </c>
      <c r="AT28" s="144">
        <v>0</v>
      </c>
      <c r="AU28" s="550"/>
      <c r="AV28" s="144">
        <v>1</v>
      </c>
      <c r="AW28" s="546"/>
      <c r="AX28" s="144">
        <v>17</v>
      </c>
      <c r="AY28" s="547">
        <f t="shared" si="8"/>
        <v>18</v>
      </c>
      <c r="AZ28" s="500">
        <f t="shared" si="13"/>
        <v>6176239.2000000002</v>
      </c>
      <c r="BA28" s="144">
        <v>1</v>
      </c>
      <c r="BB28" s="550"/>
      <c r="BC28" s="144">
        <v>12</v>
      </c>
      <c r="BD28" s="550"/>
      <c r="BE28" s="144"/>
      <c r="BF28" s="144"/>
      <c r="BG28" s="144"/>
      <c r="BH28" s="145"/>
      <c r="BI28" s="145"/>
      <c r="BJ28" s="145"/>
      <c r="BK28" s="145"/>
      <c r="BL28" s="145"/>
      <c r="BM28" s="145"/>
      <c r="BN28" s="145"/>
      <c r="BO28" s="145"/>
      <c r="BP28" s="145"/>
      <c r="BQ28" s="145"/>
      <c r="BR28" s="145"/>
      <c r="BS28" s="173">
        <f t="shared" si="1"/>
        <v>31</v>
      </c>
      <c r="BT28" s="684">
        <f t="shared" si="2"/>
        <v>6176239.2000000002</v>
      </c>
      <c r="BU28" s="147"/>
      <c r="BV28" s="147"/>
      <c r="BW28" s="147"/>
      <c r="BX28" s="147"/>
      <c r="BY28" s="147"/>
      <c r="BZ28" s="147"/>
      <c r="CA28" s="147"/>
      <c r="CB28" s="147"/>
      <c r="CC28" s="147"/>
      <c r="CD28" s="147"/>
      <c r="CE28" s="147"/>
      <c r="CF28" s="147"/>
    </row>
    <row r="29" spans="1:84">
      <c r="A29" s="144" t="s">
        <v>225</v>
      </c>
      <c r="B29" s="144">
        <v>0</v>
      </c>
      <c r="C29" s="546"/>
      <c r="D29" s="144">
        <v>30</v>
      </c>
      <c r="E29" s="546"/>
      <c r="F29" s="144">
        <v>55</v>
      </c>
      <c r="G29" s="547">
        <f t="shared" si="3"/>
        <v>85</v>
      </c>
      <c r="H29" s="389">
        <f t="shared" si="9"/>
        <v>29165574.000000004</v>
      </c>
      <c r="I29" s="144">
        <v>55</v>
      </c>
      <c r="J29" s="546"/>
      <c r="K29" s="144">
        <v>55</v>
      </c>
      <c r="L29" s="546"/>
      <c r="M29" s="144">
        <v>55</v>
      </c>
      <c r="N29" s="547">
        <f t="shared" si="4"/>
        <v>250</v>
      </c>
      <c r="O29" s="389">
        <f t="shared" si="10"/>
        <v>85781100</v>
      </c>
      <c r="P29" s="144">
        <v>55</v>
      </c>
      <c r="Q29" s="546"/>
      <c r="R29" s="145">
        <v>55</v>
      </c>
      <c r="S29" s="546"/>
      <c r="T29" s="145">
        <v>55</v>
      </c>
      <c r="U29" s="547">
        <f t="shared" si="5"/>
        <v>415</v>
      </c>
      <c r="V29" s="389">
        <f t="shared" si="11"/>
        <v>142396626</v>
      </c>
      <c r="W29" s="145">
        <v>55</v>
      </c>
      <c r="X29" s="546"/>
      <c r="Y29" s="145">
        <v>55</v>
      </c>
      <c r="Z29" s="546"/>
      <c r="AA29" s="145">
        <v>11</v>
      </c>
      <c r="AB29" s="547">
        <f t="shared" si="6"/>
        <v>536</v>
      </c>
      <c r="AC29" s="389">
        <f t="shared" si="12"/>
        <v>183914678.40000001</v>
      </c>
      <c r="AD29" s="173">
        <f t="shared" si="0"/>
        <v>536</v>
      </c>
      <c r="AE29" s="683">
        <f t="shared" si="7"/>
        <v>183914678.40000001</v>
      </c>
      <c r="AF29" s="172"/>
      <c r="AG29" s="172"/>
      <c r="AH29" s="172"/>
      <c r="AI29" s="172"/>
      <c r="AJ29" s="172"/>
      <c r="AK29" s="147"/>
      <c r="AL29" s="147"/>
      <c r="AM29" s="147"/>
      <c r="AN29" s="147"/>
      <c r="AO29" s="147"/>
      <c r="AP29" s="147"/>
      <c r="AQ29" s="147"/>
      <c r="AS29" s="144" t="s">
        <v>225</v>
      </c>
      <c r="AT29" s="144">
        <v>0</v>
      </c>
      <c r="AU29" s="550"/>
      <c r="AV29" s="144">
        <v>11</v>
      </c>
      <c r="AW29" s="546"/>
      <c r="AX29" s="144">
        <v>89</v>
      </c>
      <c r="AY29" s="547">
        <f t="shared" si="8"/>
        <v>100</v>
      </c>
      <c r="AZ29" s="500">
        <f t="shared" si="13"/>
        <v>34312440</v>
      </c>
      <c r="BA29" s="144">
        <v>26</v>
      </c>
      <c r="BB29" s="550"/>
      <c r="BC29" s="144">
        <v>35</v>
      </c>
      <c r="BD29" s="550"/>
      <c r="BE29" s="144"/>
      <c r="BF29" s="144"/>
      <c r="BG29" s="144"/>
      <c r="BH29" s="145"/>
      <c r="BI29" s="145"/>
      <c r="BJ29" s="145"/>
      <c r="BK29" s="145"/>
      <c r="BL29" s="145"/>
      <c r="BM29" s="145"/>
      <c r="BN29" s="145"/>
      <c r="BO29" s="145"/>
      <c r="BP29" s="145"/>
      <c r="BQ29" s="145"/>
      <c r="BR29" s="145"/>
      <c r="BS29" s="173">
        <f t="shared" si="1"/>
        <v>161</v>
      </c>
      <c r="BT29" s="684">
        <f t="shared" si="2"/>
        <v>34312440</v>
      </c>
      <c r="BU29" s="147"/>
      <c r="BV29" s="147"/>
      <c r="BW29" s="147"/>
      <c r="BX29" s="147"/>
      <c r="BY29" s="147"/>
      <c r="BZ29" s="147"/>
      <c r="CA29" s="147"/>
      <c r="CB29" s="147"/>
      <c r="CC29" s="147"/>
      <c r="CD29" s="147"/>
      <c r="CE29" s="147"/>
      <c r="CF29" s="147"/>
    </row>
    <row r="30" spans="1:84">
      <c r="A30" s="144" t="s">
        <v>1192</v>
      </c>
      <c r="B30" s="144">
        <v>0</v>
      </c>
      <c r="C30" s="546"/>
      <c r="D30" s="144">
        <v>30</v>
      </c>
      <c r="E30" s="546"/>
      <c r="F30" s="144">
        <v>55</v>
      </c>
      <c r="G30" s="547">
        <f t="shared" si="3"/>
        <v>85</v>
      </c>
      <c r="H30" s="389">
        <f t="shared" si="9"/>
        <v>29165574.000000004</v>
      </c>
      <c r="I30" s="144">
        <v>55</v>
      </c>
      <c r="J30" s="546"/>
      <c r="K30" s="144">
        <v>55</v>
      </c>
      <c r="L30" s="546"/>
      <c r="M30" s="144">
        <v>55</v>
      </c>
      <c r="N30" s="547">
        <f t="shared" si="4"/>
        <v>250</v>
      </c>
      <c r="O30" s="389">
        <f t="shared" si="10"/>
        <v>85781100</v>
      </c>
      <c r="P30" s="144">
        <v>55</v>
      </c>
      <c r="Q30" s="546"/>
      <c r="R30" s="145">
        <v>55</v>
      </c>
      <c r="S30" s="546"/>
      <c r="T30" s="145">
        <v>55</v>
      </c>
      <c r="U30" s="547">
        <f t="shared" si="5"/>
        <v>415</v>
      </c>
      <c r="V30" s="389">
        <f t="shared" si="11"/>
        <v>142396626</v>
      </c>
      <c r="W30" s="145">
        <v>55</v>
      </c>
      <c r="X30" s="546"/>
      <c r="Y30" s="145">
        <v>55</v>
      </c>
      <c r="Z30" s="546"/>
      <c r="AA30" s="145">
        <v>11</v>
      </c>
      <c r="AB30" s="547">
        <f t="shared" si="6"/>
        <v>536</v>
      </c>
      <c r="AC30" s="389">
        <f t="shared" si="12"/>
        <v>183914678.40000001</v>
      </c>
      <c r="AD30" s="173">
        <f t="shared" si="0"/>
        <v>536</v>
      </c>
      <c r="AE30" s="683">
        <f t="shared" si="7"/>
        <v>183914678.40000001</v>
      </c>
      <c r="AF30" s="172"/>
      <c r="AG30" s="172"/>
      <c r="AH30" s="172"/>
      <c r="AI30" s="172"/>
      <c r="AJ30" s="172"/>
      <c r="AK30" s="147"/>
      <c r="AL30" s="147"/>
      <c r="AM30" s="147"/>
      <c r="AN30" s="147"/>
      <c r="AO30" s="147"/>
      <c r="AP30" s="147"/>
      <c r="AQ30" s="147"/>
      <c r="AS30" s="144" t="s">
        <v>1192</v>
      </c>
      <c r="AT30" s="144">
        <v>0</v>
      </c>
      <c r="AU30" s="550"/>
      <c r="AV30" s="144">
        <v>69</v>
      </c>
      <c r="AW30" s="546"/>
      <c r="AX30" s="144">
        <v>96</v>
      </c>
      <c r="AY30" s="547">
        <f t="shared" si="8"/>
        <v>165</v>
      </c>
      <c r="AZ30" s="500">
        <f t="shared" si="13"/>
        <v>56615526.000000007</v>
      </c>
      <c r="BA30" s="144">
        <v>136</v>
      </c>
      <c r="BB30" s="550"/>
      <c r="BC30" s="144">
        <v>200</v>
      </c>
      <c r="BD30" s="550"/>
      <c r="BE30" s="144"/>
      <c r="BF30" s="144"/>
      <c r="BG30" s="144"/>
      <c r="BH30" s="145"/>
      <c r="BI30" s="145"/>
      <c r="BJ30" s="145"/>
      <c r="BK30" s="145"/>
      <c r="BL30" s="145"/>
      <c r="BM30" s="145"/>
      <c r="BN30" s="145"/>
      <c r="BO30" s="145"/>
      <c r="BP30" s="145"/>
      <c r="BQ30" s="145"/>
      <c r="BR30" s="145"/>
      <c r="BS30" s="173">
        <f t="shared" si="1"/>
        <v>501</v>
      </c>
      <c r="BT30" s="684">
        <f t="shared" si="2"/>
        <v>56615526.000000007</v>
      </c>
      <c r="BU30" s="147"/>
      <c r="BV30" s="147"/>
      <c r="BW30" s="147"/>
      <c r="BX30" s="147"/>
      <c r="BY30" s="147"/>
      <c r="BZ30" s="147"/>
      <c r="CA30" s="147"/>
      <c r="CB30" s="147"/>
      <c r="CC30" s="147"/>
      <c r="CD30" s="147"/>
      <c r="CE30" s="147"/>
      <c r="CF30" s="147"/>
    </row>
    <row r="31" spans="1:84">
      <c r="A31" s="144" t="s">
        <v>226</v>
      </c>
      <c r="B31" s="144">
        <v>0</v>
      </c>
      <c r="C31" s="546"/>
      <c r="D31" s="144">
        <v>0</v>
      </c>
      <c r="E31" s="546"/>
      <c r="F31" s="144">
        <v>2</v>
      </c>
      <c r="G31" s="547">
        <f t="shared" si="3"/>
        <v>2</v>
      </c>
      <c r="H31" s="389">
        <f t="shared" si="9"/>
        <v>686248.8</v>
      </c>
      <c r="I31" s="144">
        <v>2</v>
      </c>
      <c r="J31" s="546"/>
      <c r="K31" s="144">
        <v>2</v>
      </c>
      <c r="L31" s="546"/>
      <c r="M31" s="144">
        <v>2</v>
      </c>
      <c r="N31" s="547">
        <f t="shared" si="4"/>
        <v>8</v>
      </c>
      <c r="O31" s="389">
        <f t="shared" si="10"/>
        <v>2744995.2</v>
      </c>
      <c r="P31" s="144">
        <v>2</v>
      </c>
      <c r="Q31" s="546"/>
      <c r="R31" s="145">
        <v>2</v>
      </c>
      <c r="S31" s="546"/>
      <c r="T31" s="145">
        <v>2</v>
      </c>
      <c r="U31" s="547">
        <f t="shared" si="5"/>
        <v>14</v>
      </c>
      <c r="V31" s="389">
        <f t="shared" si="11"/>
        <v>4803741.6000000006</v>
      </c>
      <c r="W31" s="145">
        <v>2</v>
      </c>
      <c r="X31" s="546"/>
      <c r="Y31" s="145">
        <v>2</v>
      </c>
      <c r="Z31" s="546"/>
      <c r="AA31" s="145">
        <v>2</v>
      </c>
      <c r="AB31" s="547">
        <f t="shared" si="6"/>
        <v>20</v>
      </c>
      <c r="AC31" s="389">
        <f t="shared" si="12"/>
        <v>6862488</v>
      </c>
      <c r="AD31" s="173">
        <f t="shared" si="0"/>
        <v>20</v>
      </c>
      <c r="AE31" s="683">
        <f t="shared" si="7"/>
        <v>6862488</v>
      </c>
      <c r="AF31" s="172"/>
      <c r="AG31" s="172"/>
      <c r="AH31" s="172"/>
      <c r="AI31" s="172"/>
      <c r="AJ31" s="172"/>
      <c r="AK31" s="147"/>
      <c r="AL31" s="147"/>
      <c r="AM31" s="147"/>
      <c r="AN31" s="147"/>
      <c r="AO31" s="147"/>
      <c r="AP31" s="147"/>
      <c r="AQ31" s="147"/>
      <c r="AS31" s="144" t="s">
        <v>226</v>
      </c>
      <c r="AT31" s="144">
        <v>0</v>
      </c>
      <c r="AU31" s="550"/>
      <c r="AV31" s="144">
        <v>1</v>
      </c>
      <c r="AW31" s="546"/>
      <c r="AX31" s="144">
        <v>2</v>
      </c>
      <c r="AY31" s="547">
        <f t="shared" si="8"/>
        <v>3</v>
      </c>
      <c r="AZ31" s="500">
        <f t="shared" si="13"/>
        <v>1029373.2000000001</v>
      </c>
      <c r="BA31" s="144">
        <v>3</v>
      </c>
      <c r="BB31" s="550"/>
      <c r="BC31" s="144">
        <v>0</v>
      </c>
      <c r="BD31" s="550"/>
      <c r="BE31" s="144"/>
      <c r="BF31" s="144"/>
      <c r="BG31" s="144"/>
      <c r="BH31" s="145"/>
      <c r="BI31" s="145"/>
      <c r="BJ31" s="145"/>
      <c r="BK31" s="145"/>
      <c r="BL31" s="145"/>
      <c r="BM31" s="145"/>
      <c r="BN31" s="145"/>
      <c r="BO31" s="145"/>
      <c r="BP31" s="145"/>
      <c r="BQ31" s="145"/>
      <c r="BR31" s="145"/>
      <c r="BS31" s="173">
        <f t="shared" si="1"/>
        <v>6</v>
      </c>
      <c r="BT31" s="684">
        <f t="shared" si="2"/>
        <v>1029373.2000000001</v>
      </c>
      <c r="BU31" s="147"/>
      <c r="BV31" s="147"/>
      <c r="BW31" s="147"/>
      <c r="BX31" s="147"/>
      <c r="BY31" s="147"/>
      <c r="BZ31" s="147"/>
      <c r="CA31" s="147"/>
      <c r="CB31" s="147"/>
      <c r="CC31" s="147"/>
      <c r="CD31" s="147"/>
      <c r="CE31" s="147"/>
      <c r="CF31" s="147"/>
    </row>
    <row r="32" spans="1:84">
      <c r="A32" s="685" t="s">
        <v>227</v>
      </c>
      <c r="B32" s="146">
        <f>SUM(B11:B31)</f>
        <v>0</v>
      </c>
      <c r="C32" s="146">
        <f t="shared" ref="C32:AQ32" si="14">SUM(C11:C31)</f>
        <v>0</v>
      </c>
      <c r="D32" s="146">
        <f t="shared" si="14"/>
        <v>500</v>
      </c>
      <c r="E32" s="686">
        <f t="shared" si="14"/>
        <v>0</v>
      </c>
      <c r="F32" s="146">
        <f t="shared" si="14"/>
        <v>700</v>
      </c>
      <c r="G32" s="687">
        <f t="shared" si="14"/>
        <v>1200</v>
      </c>
      <c r="H32" s="686">
        <f t="shared" si="14"/>
        <v>1396371000</v>
      </c>
      <c r="I32" s="146">
        <f t="shared" si="14"/>
        <v>700</v>
      </c>
      <c r="J32" s="686">
        <f t="shared" si="14"/>
        <v>0</v>
      </c>
      <c r="K32" s="146">
        <f t="shared" si="14"/>
        <v>700</v>
      </c>
      <c r="L32" s="686">
        <f t="shared" si="14"/>
        <v>0</v>
      </c>
      <c r="M32" s="146">
        <f t="shared" si="14"/>
        <v>700</v>
      </c>
      <c r="N32" s="687">
        <f t="shared" si="14"/>
        <v>3300</v>
      </c>
      <c r="O32" s="686">
        <f t="shared" si="14"/>
        <v>2048343535.1599996</v>
      </c>
      <c r="P32" s="146">
        <f t="shared" si="14"/>
        <v>700</v>
      </c>
      <c r="Q32" s="686">
        <f t="shared" si="14"/>
        <v>0</v>
      </c>
      <c r="R32" s="146">
        <f t="shared" si="14"/>
        <v>700</v>
      </c>
      <c r="S32" s="686">
        <f t="shared" si="14"/>
        <v>0</v>
      </c>
      <c r="T32" s="146">
        <f t="shared" si="14"/>
        <v>700</v>
      </c>
      <c r="U32" s="687">
        <f t="shared" si="14"/>
        <v>5400</v>
      </c>
      <c r="V32" s="686">
        <f t="shared" si="14"/>
        <v>2401870787.1599998</v>
      </c>
      <c r="W32" s="146">
        <f t="shared" si="14"/>
        <v>700</v>
      </c>
      <c r="X32" s="686">
        <f t="shared" si="14"/>
        <v>0</v>
      </c>
      <c r="Y32" s="146">
        <f t="shared" si="14"/>
        <v>700</v>
      </c>
      <c r="Z32" s="686">
        <f t="shared" si="14"/>
        <v>0</v>
      </c>
      <c r="AA32" s="146">
        <f t="shared" si="14"/>
        <v>200</v>
      </c>
      <c r="AB32" s="687">
        <f t="shared" si="14"/>
        <v>7000</v>
      </c>
      <c r="AC32" s="686">
        <f t="shared" si="14"/>
        <v>2401870787.1599998</v>
      </c>
      <c r="AD32" s="146">
        <f t="shared" si="14"/>
        <v>7000</v>
      </c>
      <c r="AE32" s="683">
        <f t="shared" si="14"/>
        <v>2401870787.1599998</v>
      </c>
      <c r="AF32" s="146">
        <f t="shared" si="14"/>
        <v>0</v>
      </c>
      <c r="AG32" s="146">
        <f t="shared" si="14"/>
        <v>0</v>
      </c>
      <c r="AH32" s="146">
        <f t="shared" si="14"/>
        <v>0</v>
      </c>
      <c r="AI32" s="146">
        <f t="shared" si="14"/>
        <v>0</v>
      </c>
      <c r="AJ32" s="146">
        <f t="shared" si="14"/>
        <v>0</v>
      </c>
      <c r="AK32" s="146">
        <f t="shared" si="14"/>
        <v>0</v>
      </c>
      <c r="AL32" s="146">
        <f t="shared" si="14"/>
        <v>0</v>
      </c>
      <c r="AM32" s="146">
        <f t="shared" si="14"/>
        <v>0</v>
      </c>
      <c r="AN32" s="146">
        <f t="shared" si="14"/>
        <v>0</v>
      </c>
      <c r="AO32" s="146">
        <f t="shared" si="14"/>
        <v>0</v>
      </c>
      <c r="AP32" s="146">
        <f t="shared" si="14"/>
        <v>0</v>
      </c>
      <c r="AQ32" s="146">
        <f t="shared" si="14"/>
        <v>0</v>
      </c>
      <c r="AS32" s="685" t="s">
        <v>227</v>
      </c>
      <c r="AT32" s="146">
        <f t="shared" ref="AT32:BG32" si="15">SUM(AT11:AT31)</f>
        <v>0</v>
      </c>
      <c r="AU32" s="146">
        <f t="shared" si="15"/>
        <v>0</v>
      </c>
      <c r="AV32" s="146">
        <f t="shared" si="15"/>
        <v>531</v>
      </c>
      <c r="AW32" s="688"/>
      <c r="AX32" s="146">
        <f t="shared" si="15"/>
        <v>950</v>
      </c>
      <c r="AY32" s="687">
        <f t="shared" si="15"/>
        <v>1481</v>
      </c>
      <c r="AZ32" s="686">
        <f t="shared" si="15"/>
        <v>1342336167</v>
      </c>
      <c r="BA32" s="146">
        <f t="shared" si="15"/>
        <v>740</v>
      </c>
      <c r="BB32" s="146">
        <f t="shared" si="15"/>
        <v>0</v>
      </c>
      <c r="BC32" s="146">
        <f t="shared" si="15"/>
        <v>922</v>
      </c>
      <c r="BD32" s="146">
        <f t="shared" si="15"/>
        <v>0</v>
      </c>
      <c r="BE32" s="146">
        <f t="shared" si="15"/>
        <v>0</v>
      </c>
      <c r="BF32" s="146">
        <f t="shared" si="15"/>
        <v>0</v>
      </c>
      <c r="BG32" s="146">
        <f t="shared" si="15"/>
        <v>0</v>
      </c>
      <c r="BH32" s="146">
        <f>SUM(BH11:BH31)</f>
        <v>0</v>
      </c>
      <c r="BI32" s="146">
        <f t="shared" ref="BI32:CF32" si="16">SUM(BI11:BI31)</f>
        <v>0</v>
      </c>
      <c r="BJ32" s="146">
        <f t="shared" si="16"/>
        <v>0</v>
      </c>
      <c r="BK32" s="146">
        <f t="shared" si="16"/>
        <v>0</v>
      </c>
      <c r="BL32" s="146">
        <f t="shared" si="16"/>
        <v>0</v>
      </c>
      <c r="BM32" s="146">
        <f t="shared" si="16"/>
        <v>0</v>
      </c>
      <c r="BN32" s="146">
        <f t="shared" si="16"/>
        <v>0</v>
      </c>
      <c r="BO32" s="146">
        <f t="shared" si="16"/>
        <v>0</v>
      </c>
      <c r="BP32" s="146">
        <f t="shared" si="16"/>
        <v>0</v>
      </c>
      <c r="BQ32" s="146">
        <f t="shared" si="16"/>
        <v>0</v>
      </c>
      <c r="BR32" s="146">
        <f t="shared" si="16"/>
        <v>0</v>
      </c>
      <c r="BS32" s="689">
        <f t="shared" si="16"/>
        <v>3143</v>
      </c>
      <c r="BT32" s="690">
        <f t="shared" si="16"/>
        <v>1342336167</v>
      </c>
      <c r="BU32" s="146">
        <f t="shared" si="16"/>
        <v>0</v>
      </c>
      <c r="BV32" s="146">
        <f t="shared" si="16"/>
        <v>0</v>
      </c>
      <c r="BW32" s="146">
        <f t="shared" si="16"/>
        <v>0</v>
      </c>
      <c r="BX32" s="146">
        <f t="shared" si="16"/>
        <v>0</v>
      </c>
      <c r="BY32" s="146">
        <f t="shared" si="16"/>
        <v>0</v>
      </c>
      <c r="BZ32" s="146">
        <f t="shared" si="16"/>
        <v>0</v>
      </c>
      <c r="CA32" s="146">
        <f t="shared" si="16"/>
        <v>0</v>
      </c>
      <c r="CB32" s="146">
        <f t="shared" si="16"/>
        <v>0</v>
      </c>
      <c r="CC32" s="146">
        <f t="shared" si="16"/>
        <v>0</v>
      </c>
      <c r="CD32" s="146">
        <f t="shared" si="16"/>
        <v>0</v>
      </c>
      <c r="CE32" s="146">
        <f t="shared" si="16"/>
        <v>0</v>
      </c>
      <c r="CF32" s="146">
        <f t="shared" si="16"/>
        <v>0</v>
      </c>
    </row>
    <row r="33" spans="1:84" ht="89.25" hidden="1" customHeight="1">
      <c r="A33" s="460"/>
      <c r="B33" s="461"/>
      <c r="C33" s="461"/>
      <c r="D33" s="461"/>
      <c r="E33" s="551"/>
      <c r="F33" s="461"/>
      <c r="G33" s="461"/>
      <c r="H33" s="462"/>
      <c r="I33" s="461"/>
      <c r="J33" s="551"/>
      <c r="K33" s="461"/>
      <c r="L33" s="462"/>
      <c r="M33" s="461"/>
      <c r="N33" s="461"/>
      <c r="O33" s="462"/>
      <c r="P33" s="461"/>
      <c r="Q33" s="462"/>
      <c r="R33" s="461"/>
      <c r="S33" s="462"/>
      <c r="T33" s="461"/>
      <c r="U33" s="461"/>
      <c r="V33" s="462"/>
      <c r="W33" s="461"/>
      <c r="X33" s="462"/>
      <c r="Y33" s="461"/>
      <c r="Z33" s="462"/>
      <c r="AA33" s="461"/>
      <c r="AB33" s="461"/>
      <c r="AC33" s="462"/>
      <c r="AD33" s="461"/>
      <c r="AE33" s="463"/>
      <c r="AF33" s="461"/>
      <c r="AG33" s="461"/>
      <c r="AH33" s="461"/>
      <c r="AI33" s="461"/>
      <c r="AJ33" s="461"/>
      <c r="AK33" s="461"/>
      <c r="AL33" s="461"/>
      <c r="AM33" s="461"/>
      <c r="AN33" s="461"/>
      <c r="AO33" s="461"/>
      <c r="AP33" s="461"/>
      <c r="AQ33" s="461"/>
      <c r="AS33" s="460"/>
      <c r="AT33" s="461"/>
      <c r="AU33" s="461"/>
      <c r="AV33" s="651" t="s">
        <v>228</v>
      </c>
      <c r="AW33" s="652" t="s">
        <v>229</v>
      </c>
      <c r="AX33" s="651"/>
      <c r="AY33" s="651"/>
      <c r="AZ33" s="651"/>
      <c r="BA33" s="651" t="s">
        <v>228</v>
      </c>
      <c r="BB33" s="652" t="s">
        <v>229</v>
      </c>
      <c r="BC33" s="461"/>
      <c r="BD33" s="461"/>
      <c r="BE33" s="461"/>
      <c r="BF33" s="461"/>
      <c r="BG33" s="461"/>
      <c r="BH33" s="461"/>
      <c r="BI33" s="461"/>
      <c r="BJ33" s="461"/>
      <c r="BK33" s="461"/>
      <c r="BL33" s="461"/>
      <c r="BM33" s="461"/>
      <c r="BN33" s="461"/>
      <c r="BO33" s="461"/>
      <c r="BP33" s="461"/>
      <c r="BQ33" s="461"/>
      <c r="BR33" s="461"/>
      <c r="BS33" s="464"/>
      <c r="BT33" s="465"/>
      <c r="BU33" s="461"/>
      <c r="BV33" s="461"/>
      <c r="BW33" s="461"/>
      <c r="BX33" s="461"/>
      <c r="BY33" s="461"/>
      <c r="BZ33" s="461"/>
      <c r="CA33" s="461"/>
      <c r="CB33" s="461"/>
      <c r="CC33" s="461"/>
      <c r="CD33" s="461"/>
      <c r="CE33" s="461"/>
      <c r="CF33" s="461"/>
    </row>
    <row r="35" spans="1:84" ht="28.5">
      <c r="A35" s="149" t="s">
        <v>189</v>
      </c>
      <c r="B35" s="1033" t="s">
        <v>698</v>
      </c>
      <c r="C35" s="1033"/>
      <c r="D35" s="1033"/>
      <c r="E35" s="1033"/>
      <c r="F35" s="1033"/>
      <c r="G35" s="1033"/>
      <c r="H35" s="1033"/>
      <c r="I35" s="1033"/>
      <c r="J35" s="1033"/>
      <c r="K35" s="1033"/>
      <c r="L35" s="1033"/>
      <c r="M35" s="1033"/>
      <c r="N35" s="1033"/>
      <c r="O35" s="1033"/>
      <c r="P35" s="1033"/>
      <c r="Q35" s="1033"/>
      <c r="R35" s="1033"/>
      <c r="S35" s="1033"/>
      <c r="T35" s="1033"/>
      <c r="U35" s="1033"/>
      <c r="V35" s="1033"/>
      <c r="W35" s="1033"/>
      <c r="X35" s="1033"/>
      <c r="Y35" s="1033"/>
      <c r="Z35" s="1033"/>
      <c r="AA35" s="1033"/>
      <c r="AB35" s="1033"/>
      <c r="AC35" s="1033"/>
      <c r="AD35" s="1033"/>
      <c r="AE35" s="1033"/>
      <c r="AF35" s="1033"/>
      <c r="AG35" s="1033"/>
      <c r="AH35" s="1033"/>
      <c r="AI35" s="1033"/>
      <c r="AJ35" s="1033"/>
      <c r="AK35" s="1033"/>
      <c r="AL35" s="1033"/>
      <c r="AM35" s="1033"/>
      <c r="AN35" s="1033"/>
      <c r="AO35" s="1033"/>
      <c r="AP35" s="1033"/>
      <c r="AQ35" s="1033"/>
      <c r="AR35" s="1033"/>
      <c r="AS35" s="1033"/>
      <c r="AT35" s="1033"/>
      <c r="AU35" s="1033"/>
      <c r="AV35" s="1033"/>
      <c r="AW35" s="1033"/>
      <c r="AX35" s="1033"/>
      <c r="AY35" s="1033"/>
      <c r="AZ35" s="1033"/>
      <c r="BA35" s="1033"/>
      <c r="BB35" s="1033"/>
      <c r="BC35" s="1033"/>
      <c r="BD35" s="1033"/>
      <c r="BE35" s="1033"/>
      <c r="BF35" s="1033"/>
      <c r="BG35" s="1033"/>
      <c r="BH35" s="1033"/>
      <c r="BI35" s="1033"/>
      <c r="BJ35" s="1033"/>
      <c r="BK35" s="1033"/>
      <c r="BL35" s="1033"/>
      <c r="BM35" s="1033"/>
      <c r="BN35" s="1033"/>
      <c r="BO35" s="1033"/>
      <c r="BP35" s="1033"/>
      <c r="BQ35" s="1033"/>
      <c r="BR35" s="1033"/>
      <c r="BS35" s="1033"/>
      <c r="BT35" s="1033"/>
      <c r="BU35" s="1033"/>
      <c r="BV35" s="1033"/>
      <c r="BW35" s="1033"/>
      <c r="BX35" s="1033"/>
      <c r="BY35" s="1033"/>
      <c r="BZ35" s="1033"/>
      <c r="CA35" s="1033"/>
    </row>
    <row r="36" spans="1:84" ht="29.1" customHeight="1">
      <c r="A36" s="150" t="s">
        <v>191</v>
      </c>
      <c r="B36" s="1039" t="s">
        <v>230</v>
      </c>
      <c r="C36" s="1040"/>
      <c r="D36" s="1040"/>
      <c r="E36" s="1040"/>
      <c r="F36" s="1040"/>
      <c r="G36" s="1040"/>
      <c r="H36" s="1040"/>
      <c r="I36" s="1040"/>
      <c r="J36" s="1040"/>
      <c r="K36" s="1040"/>
      <c r="L36" s="1040"/>
      <c r="M36" s="1040"/>
      <c r="N36" s="1040"/>
      <c r="O36" s="1040"/>
      <c r="P36" s="1040"/>
      <c r="Q36" s="1040"/>
      <c r="R36" s="1040"/>
      <c r="S36" s="1040"/>
      <c r="T36" s="1040"/>
      <c r="U36" s="1040"/>
      <c r="V36" s="1040"/>
      <c r="W36" s="1040"/>
      <c r="X36" s="1040"/>
      <c r="Y36" s="1040"/>
      <c r="Z36" s="1040"/>
      <c r="AA36" s="1040"/>
      <c r="AB36" s="1040"/>
      <c r="AC36" s="1040"/>
      <c r="AD36" s="1040"/>
      <c r="AE36" s="1040"/>
      <c r="AF36" s="1040"/>
      <c r="AG36" s="1040"/>
      <c r="AH36" s="1040"/>
      <c r="AI36" s="1040"/>
      <c r="AJ36" s="1040"/>
      <c r="AK36" s="1040"/>
      <c r="AL36" s="1040"/>
      <c r="AM36" s="1040"/>
      <c r="AN36" s="1040"/>
      <c r="AO36" s="1040"/>
      <c r="AP36" s="1040"/>
      <c r="AQ36" s="1040"/>
      <c r="AR36" s="1040"/>
      <c r="AS36" s="1040"/>
      <c r="AT36" s="1040"/>
      <c r="AU36" s="1040"/>
      <c r="AV36" s="1040"/>
      <c r="AW36" s="1040"/>
      <c r="AX36" s="1040"/>
      <c r="AY36" s="1040"/>
      <c r="AZ36" s="1040"/>
      <c r="BA36" s="1040"/>
      <c r="BB36" s="1040"/>
      <c r="BC36" s="1040"/>
      <c r="BD36" s="1040"/>
      <c r="BE36" s="1040"/>
      <c r="BF36" s="1040"/>
      <c r="BG36" s="1040"/>
      <c r="BH36" s="1040"/>
      <c r="BI36" s="1040"/>
      <c r="BJ36" s="1040"/>
      <c r="BK36" s="1040"/>
      <c r="BL36" s="1040"/>
      <c r="BM36" s="1040"/>
      <c r="BN36" s="1040"/>
      <c r="BO36" s="1040"/>
      <c r="BP36" s="1040"/>
      <c r="BQ36" s="1040"/>
      <c r="BR36" s="1040"/>
      <c r="BS36" s="1040"/>
      <c r="BT36" s="1040"/>
      <c r="BU36" s="1040"/>
      <c r="BV36" s="1040"/>
      <c r="BW36" s="1040"/>
      <c r="BX36" s="1040"/>
      <c r="BY36" s="1040"/>
      <c r="BZ36" s="1040"/>
      <c r="CA36" s="1041"/>
    </row>
    <row r="37" spans="1:84" ht="6" customHeight="1" thickBot="1">
      <c r="A37" s="141"/>
      <c r="B37" s="141"/>
      <c r="C37" s="141"/>
      <c r="D37" s="141"/>
      <c r="E37" s="141"/>
      <c r="F37" s="141"/>
      <c r="G37" s="141"/>
      <c r="H37" s="141"/>
      <c r="I37" s="141"/>
      <c r="J37" s="141"/>
      <c r="K37" s="141"/>
      <c r="L37" s="141"/>
      <c r="M37" s="141"/>
      <c r="N37" s="141"/>
      <c r="O37" s="142"/>
      <c r="P37" s="142"/>
      <c r="Q37" s="142"/>
      <c r="R37" s="142"/>
      <c r="S37" s="142"/>
      <c r="T37" s="142"/>
      <c r="U37" s="142"/>
      <c r="V37" s="142"/>
      <c r="W37" s="142"/>
      <c r="X37" s="142"/>
      <c r="Y37" s="142"/>
      <c r="Z37" s="142"/>
      <c r="AA37" s="142"/>
      <c r="AB37" s="142"/>
      <c r="AC37" s="142"/>
      <c r="AD37" s="142"/>
      <c r="AE37" s="142"/>
      <c r="AF37" s="142"/>
      <c r="AG37" s="142"/>
      <c r="AH37" s="142"/>
      <c r="AI37" s="142"/>
      <c r="AJ37" s="142"/>
      <c r="AK37" s="142"/>
      <c r="AL37" s="142"/>
      <c r="AM37" s="142"/>
      <c r="AO37" s="141"/>
      <c r="AP37" s="142"/>
      <c r="AQ37" s="142"/>
      <c r="AR37" s="142"/>
      <c r="AS37" s="142"/>
      <c r="AT37" s="142"/>
      <c r="AU37" s="142"/>
      <c r="AV37" s="142"/>
      <c r="AW37" s="142"/>
      <c r="AX37" s="142"/>
      <c r="AY37" s="142"/>
      <c r="AZ37" s="142"/>
      <c r="BA37" s="142"/>
    </row>
    <row r="38" spans="1:84" ht="30" customHeight="1">
      <c r="A38" s="1042" t="s">
        <v>192</v>
      </c>
      <c r="B38" s="1044" t="s">
        <v>30</v>
      </c>
      <c r="C38" s="1045"/>
      <c r="D38" s="1044" t="s">
        <v>31</v>
      </c>
      <c r="E38" s="1045"/>
      <c r="F38" s="1044" t="s">
        <v>32</v>
      </c>
      <c r="G38" s="1046"/>
      <c r="H38" s="1045"/>
      <c r="I38" s="1044" t="s">
        <v>8</v>
      </c>
      <c r="J38" s="1045"/>
      <c r="K38" s="1044" t="s">
        <v>33</v>
      </c>
      <c r="L38" s="1045"/>
      <c r="M38" s="1044" t="s">
        <v>34</v>
      </c>
      <c r="N38" s="1046"/>
      <c r="O38" s="1045"/>
      <c r="P38" s="1044" t="s">
        <v>35</v>
      </c>
      <c r="Q38" s="1045"/>
      <c r="R38" s="1044" t="s">
        <v>36</v>
      </c>
      <c r="S38" s="1045"/>
      <c r="T38" s="1044" t="s">
        <v>37</v>
      </c>
      <c r="U38" s="1046"/>
      <c r="V38" s="1045"/>
      <c r="W38" s="1044" t="s">
        <v>38</v>
      </c>
      <c r="X38" s="1045"/>
      <c r="Y38" s="1044" t="s">
        <v>39</v>
      </c>
      <c r="Z38" s="1045"/>
      <c r="AA38" s="1044" t="s">
        <v>40</v>
      </c>
      <c r="AB38" s="1046"/>
      <c r="AC38" s="1045"/>
      <c r="AD38" s="1044" t="s">
        <v>193</v>
      </c>
      <c r="AE38" s="1047"/>
      <c r="AF38" s="1038" t="s">
        <v>194</v>
      </c>
      <c r="AG38" s="1038"/>
      <c r="AH38" s="1038"/>
      <c r="AI38" s="1038"/>
      <c r="AJ38" s="1038"/>
      <c r="AK38" s="1035"/>
      <c r="AL38" s="1034" t="s">
        <v>195</v>
      </c>
      <c r="AM38" s="1038"/>
      <c r="AN38" s="1038"/>
      <c r="AO38" s="1038"/>
      <c r="AP38" s="1038"/>
      <c r="AQ38" s="1035"/>
      <c r="AS38" s="1042" t="s">
        <v>192</v>
      </c>
      <c r="AT38" s="1044" t="s">
        <v>30</v>
      </c>
      <c r="AU38" s="1045"/>
      <c r="AV38" s="1044" t="s">
        <v>31</v>
      </c>
      <c r="AW38" s="1045"/>
      <c r="AX38" s="1044" t="s">
        <v>32</v>
      </c>
      <c r="AY38" s="1046"/>
      <c r="AZ38" s="1045"/>
      <c r="BA38" s="1044" t="s">
        <v>8</v>
      </c>
      <c r="BB38" s="1045"/>
      <c r="BC38" s="1044" t="s">
        <v>33</v>
      </c>
      <c r="BD38" s="1045"/>
      <c r="BE38" s="1044" t="s">
        <v>34</v>
      </c>
      <c r="BF38" s="1045"/>
      <c r="BG38" s="1044" t="s">
        <v>35</v>
      </c>
      <c r="BH38" s="1045"/>
      <c r="BI38" s="1044" t="s">
        <v>36</v>
      </c>
      <c r="BJ38" s="1045"/>
      <c r="BK38" s="1044" t="s">
        <v>37</v>
      </c>
      <c r="BL38" s="1045"/>
      <c r="BM38" s="1044" t="s">
        <v>38</v>
      </c>
      <c r="BN38" s="1045"/>
      <c r="BO38" s="1044" t="s">
        <v>39</v>
      </c>
      <c r="BP38" s="1045"/>
      <c r="BQ38" s="1044" t="s">
        <v>40</v>
      </c>
      <c r="BR38" s="1045"/>
      <c r="BS38" s="1044" t="s">
        <v>193</v>
      </c>
      <c r="BT38" s="1047"/>
      <c r="BU38" s="1038" t="s">
        <v>194</v>
      </c>
      <c r="BV38" s="1038"/>
      <c r="BW38" s="1038"/>
      <c r="BX38" s="1038"/>
      <c r="BY38" s="1038"/>
      <c r="BZ38" s="1035"/>
      <c r="CA38" s="1034" t="s">
        <v>195</v>
      </c>
      <c r="CB38" s="1038"/>
      <c r="CC38" s="1038"/>
      <c r="CD38" s="1038"/>
      <c r="CE38" s="1038"/>
      <c r="CF38" s="1035"/>
    </row>
    <row r="39" spans="1:84" ht="51.95" customHeight="1">
      <c r="A39" s="1043"/>
      <c r="B39" s="579" t="s">
        <v>196</v>
      </c>
      <c r="C39" s="579" t="s">
        <v>197</v>
      </c>
      <c r="D39" s="579" t="s">
        <v>196</v>
      </c>
      <c r="E39" s="579" t="s">
        <v>197</v>
      </c>
      <c r="F39" s="579" t="s">
        <v>196</v>
      </c>
      <c r="G39" s="545" t="s">
        <v>198</v>
      </c>
      <c r="H39" s="579" t="s">
        <v>197</v>
      </c>
      <c r="I39" s="579" t="s">
        <v>196</v>
      </c>
      <c r="J39" s="579" t="s">
        <v>197</v>
      </c>
      <c r="K39" s="579" t="s">
        <v>196</v>
      </c>
      <c r="L39" s="579" t="s">
        <v>197</v>
      </c>
      <c r="M39" s="579" t="s">
        <v>196</v>
      </c>
      <c r="N39" s="545" t="s">
        <v>199</v>
      </c>
      <c r="O39" s="579" t="s">
        <v>197</v>
      </c>
      <c r="P39" s="579" t="s">
        <v>196</v>
      </c>
      <c r="Q39" s="579" t="s">
        <v>197</v>
      </c>
      <c r="R39" s="579" t="s">
        <v>196</v>
      </c>
      <c r="S39" s="579" t="s">
        <v>197</v>
      </c>
      <c r="T39" s="579" t="s">
        <v>196</v>
      </c>
      <c r="U39" s="545" t="s">
        <v>200</v>
      </c>
      <c r="V39" s="579" t="s">
        <v>197</v>
      </c>
      <c r="W39" s="579" t="s">
        <v>196</v>
      </c>
      <c r="X39" s="579" t="s">
        <v>197</v>
      </c>
      <c r="Y39" s="579" t="s">
        <v>196</v>
      </c>
      <c r="Z39" s="579" t="s">
        <v>197</v>
      </c>
      <c r="AA39" s="579" t="s">
        <v>196</v>
      </c>
      <c r="AB39" s="545" t="s">
        <v>231</v>
      </c>
      <c r="AC39" s="579" t="s">
        <v>197</v>
      </c>
      <c r="AD39" s="579" t="s">
        <v>196</v>
      </c>
      <c r="AE39" s="656" t="s">
        <v>197</v>
      </c>
      <c r="AF39" s="653" t="s">
        <v>1185</v>
      </c>
      <c r="AG39" s="170" t="s">
        <v>202</v>
      </c>
      <c r="AH39" s="170" t="s">
        <v>203</v>
      </c>
      <c r="AI39" s="170" t="s">
        <v>204</v>
      </c>
      <c r="AJ39" s="171" t="s">
        <v>205</v>
      </c>
      <c r="AK39" s="170" t="s">
        <v>206</v>
      </c>
      <c r="AL39" s="579" t="s">
        <v>207</v>
      </c>
      <c r="AM39" s="143" t="s">
        <v>208</v>
      </c>
      <c r="AN39" s="579" t="s">
        <v>209</v>
      </c>
      <c r="AO39" s="579" t="s">
        <v>210</v>
      </c>
      <c r="AP39" s="579" t="s">
        <v>211</v>
      </c>
      <c r="AQ39" s="579" t="s">
        <v>212</v>
      </c>
      <c r="AS39" s="1043"/>
      <c r="AT39" s="579" t="s">
        <v>196</v>
      </c>
      <c r="AU39" s="579" t="s">
        <v>197</v>
      </c>
      <c r="AV39" s="579" t="s">
        <v>196</v>
      </c>
      <c r="AW39" s="579" t="s">
        <v>197</v>
      </c>
      <c r="AX39" s="579" t="s">
        <v>196</v>
      </c>
      <c r="AY39" s="545" t="s">
        <v>198</v>
      </c>
      <c r="AZ39" s="579" t="s">
        <v>197</v>
      </c>
      <c r="BA39" s="579" t="s">
        <v>196</v>
      </c>
      <c r="BB39" s="579" t="s">
        <v>197</v>
      </c>
      <c r="BC39" s="579" t="s">
        <v>196</v>
      </c>
      <c r="BD39" s="579" t="s">
        <v>197</v>
      </c>
      <c r="BE39" s="579" t="s">
        <v>196</v>
      </c>
      <c r="BF39" s="579" t="s">
        <v>197</v>
      </c>
      <c r="BG39" s="579" t="s">
        <v>196</v>
      </c>
      <c r="BH39" s="579" t="s">
        <v>197</v>
      </c>
      <c r="BI39" s="579" t="s">
        <v>196</v>
      </c>
      <c r="BJ39" s="579" t="s">
        <v>197</v>
      </c>
      <c r="BK39" s="579" t="s">
        <v>196</v>
      </c>
      <c r="BL39" s="579" t="s">
        <v>197</v>
      </c>
      <c r="BM39" s="579" t="s">
        <v>196</v>
      </c>
      <c r="BN39" s="579" t="s">
        <v>197</v>
      </c>
      <c r="BO39" s="579" t="s">
        <v>196</v>
      </c>
      <c r="BP39" s="579" t="s">
        <v>197</v>
      </c>
      <c r="BQ39" s="579" t="s">
        <v>196</v>
      </c>
      <c r="BR39" s="579" t="s">
        <v>197</v>
      </c>
      <c r="BS39" s="579" t="s">
        <v>196</v>
      </c>
      <c r="BT39" s="656" t="s">
        <v>197</v>
      </c>
      <c r="BU39" s="653" t="s">
        <v>1185</v>
      </c>
      <c r="BV39" s="170" t="s">
        <v>202</v>
      </c>
      <c r="BW39" s="170" t="s">
        <v>203</v>
      </c>
      <c r="BX39" s="170" t="s">
        <v>204</v>
      </c>
      <c r="BY39" s="171" t="s">
        <v>205</v>
      </c>
      <c r="BZ39" s="170" t="s">
        <v>206</v>
      </c>
      <c r="CA39" s="579" t="s">
        <v>207</v>
      </c>
      <c r="CB39" s="143" t="s">
        <v>208</v>
      </c>
      <c r="CC39" s="579" t="s">
        <v>209</v>
      </c>
      <c r="CD39" s="579" t="s">
        <v>210</v>
      </c>
      <c r="CE39" s="579" t="s">
        <v>211</v>
      </c>
      <c r="CF39" s="579" t="s">
        <v>212</v>
      </c>
    </row>
    <row r="40" spans="1:84">
      <c r="A40" s="657" t="s">
        <v>213</v>
      </c>
      <c r="B40" s="144">
        <v>0</v>
      </c>
      <c r="C40" s="389">
        <v>20050667</v>
      </c>
      <c r="D40" s="144">
        <v>0</v>
      </c>
      <c r="E40" s="389">
        <v>54590000</v>
      </c>
      <c r="F40" s="144">
        <v>1.0400000000000003E-2</v>
      </c>
      <c r="G40" s="144">
        <f>B40+D40+F40</f>
        <v>1.0400000000000003E-2</v>
      </c>
      <c r="H40" s="389">
        <v>54590000</v>
      </c>
      <c r="I40" s="144">
        <v>2.0000000000000004E-2</v>
      </c>
      <c r="J40" s="389">
        <v>54590000</v>
      </c>
      <c r="K40" s="144">
        <v>2.0000000000000004E-2</v>
      </c>
      <c r="L40" s="389">
        <v>54590000</v>
      </c>
      <c r="M40" s="144">
        <v>2.0000000000000004E-2</v>
      </c>
      <c r="N40" s="144"/>
      <c r="O40" s="389">
        <v>54590000</v>
      </c>
      <c r="P40" s="144">
        <v>2.0000000000000004E-2</v>
      </c>
      <c r="Q40" s="388">
        <v>54590000</v>
      </c>
      <c r="R40" s="144">
        <v>2.0000000000000004E-2</v>
      </c>
      <c r="S40" s="388">
        <v>54590000</v>
      </c>
      <c r="T40" s="144">
        <v>2.0000000000000004E-2</v>
      </c>
      <c r="U40" s="144"/>
      <c r="V40" s="388">
        <v>54590000</v>
      </c>
      <c r="W40" s="144">
        <v>2.0000000000000004E-2</v>
      </c>
      <c r="X40" s="388">
        <v>54590000</v>
      </c>
      <c r="Y40" s="144">
        <v>2.0000000000000004E-2</v>
      </c>
      <c r="Z40" s="388">
        <v>54590000</v>
      </c>
      <c r="AA40" s="144">
        <v>2.0000000000000004E-2</v>
      </c>
      <c r="AB40" s="144"/>
      <c r="AC40" s="388">
        <v>34539333</v>
      </c>
      <c r="AD40" s="405">
        <f t="shared" ref="AD40:AD60" si="17">B40+D40+F40+I40+K40+M40+P40+R40+T40+W40+Y40+AA40</f>
        <v>0.19040000000000007</v>
      </c>
      <c r="AE40" s="658">
        <f t="shared" ref="AE40:AE60" si="18">C40+E40+H40+J40+L40+O40+Q40+S40+V40+X40+Z40+AC40</f>
        <v>600490000</v>
      </c>
      <c r="AF40" s="659"/>
      <c r="AG40" s="147"/>
      <c r="AH40" s="147"/>
      <c r="AI40" s="147"/>
      <c r="AJ40" s="147"/>
      <c r="AK40" s="147"/>
      <c r="AL40" s="147"/>
      <c r="AM40" s="147"/>
      <c r="AN40" s="147"/>
      <c r="AO40" s="147"/>
      <c r="AP40" s="147"/>
      <c r="AQ40" s="148"/>
      <c r="AS40" s="657" t="s">
        <v>213</v>
      </c>
      <c r="AT40" s="406">
        <f>'[3]Meta 3'!D35</f>
        <v>0</v>
      </c>
      <c r="AU40" s="389">
        <v>0</v>
      </c>
      <c r="AV40" s="406">
        <f>'[3]Meta 3'!E35</f>
        <v>1.0480000000000003E-2</v>
      </c>
      <c r="AW40" s="389">
        <v>19535667</v>
      </c>
      <c r="AX40" s="406">
        <f>'[3]Meta 3'!F35</f>
        <v>1.9440000000000006E-2</v>
      </c>
      <c r="AY40" s="406"/>
      <c r="AZ40" s="389">
        <v>54590000</v>
      </c>
      <c r="BA40" s="406">
        <f>'[3]Meta 3'!G35</f>
        <v>1.7280000000000007E-2</v>
      </c>
      <c r="BB40" s="389">
        <v>54590000</v>
      </c>
      <c r="BC40" s="406">
        <v>0</v>
      </c>
      <c r="BD40" s="389">
        <v>49440000</v>
      </c>
      <c r="BE40" s="406">
        <v>0</v>
      </c>
      <c r="BF40" s="144"/>
      <c r="BG40" s="406">
        <v>0</v>
      </c>
      <c r="BH40" s="145"/>
      <c r="BI40" s="406">
        <v>0</v>
      </c>
      <c r="BJ40" s="145"/>
      <c r="BK40" s="406">
        <v>0</v>
      </c>
      <c r="BL40" s="145"/>
      <c r="BM40" s="406">
        <v>0</v>
      </c>
      <c r="BN40" s="145"/>
      <c r="BO40" s="406">
        <v>0</v>
      </c>
      <c r="BP40" s="145"/>
      <c r="BQ40" s="406">
        <v>0</v>
      </c>
      <c r="BR40" s="145"/>
      <c r="BS40" s="407">
        <f t="shared" ref="BS40:BS60" si="19">AT40+AV40+AX40+BA40+BC40+BE40+BG40+BI40+BK40+BM40+BO40+BQ40</f>
        <v>4.720000000000002E-2</v>
      </c>
      <c r="BT40" s="658">
        <f t="shared" ref="BT40:BT60" si="20">AU40+AW40+AZ40+BB40+BD40+BF40+BH40+BJ40+BL40+BN40+BP40+BR40</f>
        <v>178155667</v>
      </c>
      <c r="BU40" s="654"/>
      <c r="BV40" s="172"/>
      <c r="BW40" s="172"/>
      <c r="BX40" s="172"/>
      <c r="BY40" s="147"/>
      <c r="BZ40" s="147"/>
      <c r="CA40" s="147"/>
      <c r="CB40" s="147"/>
      <c r="CC40" s="147"/>
      <c r="CD40" s="147"/>
      <c r="CE40" s="147"/>
      <c r="CF40" s="148"/>
    </row>
    <row r="41" spans="1:84">
      <c r="A41" s="657" t="s">
        <v>1186</v>
      </c>
      <c r="B41" s="144"/>
      <c r="D41" s="144"/>
      <c r="F41" s="144"/>
      <c r="G41" s="660"/>
      <c r="I41" s="144"/>
      <c r="K41" s="144"/>
      <c r="M41" s="144"/>
      <c r="N41" s="144"/>
      <c r="O41" s="144"/>
      <c r="P41" s="144"/>
      <c r="R41" s="145"/>
      <c r="T41" s="145"/>
      <c r="U41" s="145"/>
      <c r="V41" s="145"/>
      <c r="W41" s="145"/>
      <c r="Y41" s="145"/>
      <c r="AA41" s="145"/>
      <c r="AB41" s="145"/>
      <c r="AD41" s="173">
        <f t="shared" si="17"/>
        <v>0</v>
      </c>
      <c r="AE41" s="658">
        <f t="shared" si="18"/>
        <v>0</v>
      </c>
      <c r="AF41" s="659"/>
      <c r="AG41" s="147"/>
      <c r="AH41" s="147"/>
      <c r="AI41" s="147"/>
      <c r="AJ41" s="147"/>
      <c r="AK41" s="147"/>
      <c r="AL41" s="147"/>
      <c r="AM41" s="147"/>
      <c r="AN41" s="147"/>
      <c r="AO41" s="147"/>
      <c r="AP41" s="147"/>
      <c r="AQ41" s="147"/>
      <c r="AS41" s="657" t="s">
        <v>1186</v>
      </c>
      <c r="AT41" s="144"/>
      <c r="AU41" s="144"/>
      <c r="AV41" s="144"/>
      <c r="AW41" s="144"/>
      <c r="AX41" s="144"/>
      <c r="AY41" s="144"/>
      <c r="AZ41" s="389"/>
      <c r="BA41" s="144"/>
      <c r="BB41" s="144"/>
      <c r="BC41" s="144"/>
      <c r="BD41" s="144"/>
      <c r="BE41" s="144"/>
      <c r="BF41" s="144"/>
      <c r="BG41" s="144"/>
      <c r="BH41" s="145"/>
      <c r="BI41" s="145"/>
      <c r="BJ41" s="145"/>
      <c r="BK41" s="145"/>
      <c r="BL41" s="145"/>
      <c r="BM41" s="145"/>
      <c r="BN41" s="145"/>
      <c r="BO41" s="145"/>
      <c r="BP41" s="145"/>
      <c r="BQ41" s="145"/>
      <c r="BR41" s="145"/>
      <c r="BS41" s="173">
        <f t="shared" si="19"/>
        <v>0</v>
      </c>
      <c r="BT41" s="658">
        <f t="shared" si="20"/>
        <v>0</v>
      </c>
      <c r="BU41" s="654"/>
      <c r="BV41" s="172"/>
      <c r="BW41" s="172"/>
      <c r="BX41" s="172"/>
      <c r="BY41" s="147"/>
      <c r="BZ41" s="147"/>
      <c r="CA41" s="147"/>
      <c r="CB41" s="147"/>
      <c r="CC41" s="147"/>
      <c r="CD41" s="147"/>
      <c r="CE41" s="147"/>
      <c r="CF41" s="147"/>
    </row>
    <row r="42" spans="1:84">
      <c r="A42" s="657" t="s">
        <v>214</v>
      </c>
      <c r="B42" s="144"/>
      <c r="C42" s="144"/>
      <c r="D42" s="144"/>
      <c r="E42" s="144"/>
      <c r="F42" s="144"/>
      <c r="G42" s="144"/>
      <c r="H42" s="144"/>
      <c r="I42" s="144"/>
      <c r="J42" s="144"/>
      <c r="K42" s="144"/>
      <c r="L42" s="144"/>
      <c r="M42" s="144"/>
      <c r="N42" s="144"/>
      <c r="O42" s="144"/>
      <c r="P42" s="144"/>
      <c r="Q42" s="145"/>
      <c r="R42" s="145"/>
      <c r="S42" s="145"/>
      <c r="T42" s="145"/>
      <c r="U42" s="145"/>
      <c r="V42" s="145"/>
      <c r="W42" s="145"/>
      <c r="X42" s="145"/>
      <c r="Y42" s="145"/>
      <c r="Z42" s="145"/>
      <c r="AA42" s="145"/>
      <c r="AB42" s="145"/>
      <c r="AC42" s="145"/>
      <c r="AD42" s="173">
        <f t="shared" si="17"/>
        <v>0</v>
      </c>
      <c r="AE42" s="658">
        <f t="shared" si="18"/>
        <v>0</v>
      </c>
      <c r="AF42" s="659"/>
      <c r="AG42" s="147"/>
      <c r="AH42" s="147"/>
      <c r="AI42" s="147"/>
      <c r="AJ42" s="147"/>
      <c r="AK42" s="147"/>
      <c r="AL42" s="147"/>
      <c r="AM42" s="147"/>
      <c r="AN42" s="147"/>
      <c r="AO42" s="147"/>
      <c r="AP42" s="147"/>
      <c r="AQ42" s="147"/>
      <c r="AS42" s="657" t="s">
        <v>214</v>
      </c>
      <c r="AT42" s="144"/>
      <c r="AU42" s="144"/>
      <c r="AV42" s="144"/>
      <c r="AW42" s="144"/>
      <c r="AX42" s="144"/>
      <c r="AY42" s="144"/>
      <c r="AZ42" s="144"/>
      <c r="BA42" s="144"/>
      <c r="BB42" s="144"/>
      <c r="BC42" s="144"/>
      <c r="BD42" s="144"/>
      <c r="BE42" s="144"/>
      <c r="BF42" s="144"/>
      <c r="BG42" s="144"/>
      <c r="BH42" s="145"/>
      <c r="BI42" s="145"/>
      <c r="BJ42" s="145"/>
      <c r="BK42" s="145"/>
      <c r="BL42" s="145"/>
      <c r="BM42" s="145"/>
      <c r="BN42" s="145"/>
      <c r="BO42" s="145"/>
      <c r="BP42" s="145"/>
      <c r="BQ42" s="145"/>
      <c r="BR42" s="145"/>
      <c r="BS42" s="173">
        <f t="shared" si="19"/>
        <v>0</v>
      </c>
      <c r="BT42" s="658">
        <f t="shared" si="20"/>
        <v>0</v>
      </c>
      <c r="BU42" s="654"/>
      <c r="BV42" s="172"/>
      <c r="BW42" s="172"/>
      <c r="BX42" s="172"/>
      <c r="BY42" s="147"/>
      <c r="BZ42" s="147"/>
      <c r="CA42" s="147"/>
      <c r="CB42" s="147"/>
      <c r="CC42" s="147"/>
      <c r="CD42" s="147"/>
      <c r="CE42" s="147"/>
      <c r="CF42" s="147"/>
    </row>
    <row r="43" spans="1:84">
      <c r="A43" s="657" t="s">
        <v>1187</v>
      </c>
      <c r="B43" s="144"/>
      <c r="C43" s="144"/>
      <c r="D43" s="144"/>
      <c r="E43" s="144"/>
      <c r="F43" s="144"/>
      <c r="G43" s="144"/>
      <c r="H43" s="144"/>
      <c r="I43" s="144"/>
      <c r="J43" s="144"/>
      <c r="K43" s="144"/>
      <c r="L43" s="144"/>
      <c r="M43" s="144"/>
      <c r="N43" s="144"/>
      <c r="O43" s="144"/>
      <c r="P43" s="144"/>
      <c r="Q43" s="145"/>
      <c r="R43" s="145"/>
      <c r="S43" s="145"/>
      <c r="T43" s="145"/>
      <c r="U43" s="145"/>
      <c r="V43" s="145"/>
      <c r="W43" s="145"/>
      <c r="X43" s="145"/>
      <c r="Y43" s="145"/>
      <c r="Z43" s="145"/>
      <c r="AA43" s="145"/>
      <c r="AB43" s="145"/>
      <c r="AC43" s="145"/>
      <c r="AD43" s="173">
        <f t="shared" si="17"/>
        <v>0</v>
      </c>
      <c r="AE43" s="658">
        <f t="shared" si="18"/>
        <v>0</v>
      </c>
      <c r="AF43" s="659"/>
      <c r="AG43" s="147"/>
      <c r="AH43" s="147"/>
      <c r="AI43" s="147"/>
      <c r="AJ43" s="147"/>
      <c r="AK43" s="147"/>
      <c r="AL43" s="147"/>
      <c r="AM43" s="147"/>
      <c r="AN43" s="147"/>
      <c r="AO43" s="147"/>
      <c r="AP43" s="147"/>
      <c r="AQ43" s="147"/>
      <c r="AS43" s="657" t="s">
        <v>1187</v>
      </c>
      <c r="AT43" s="144"/>
      <c r="AU43" s="144"/>
      <c r="AV43" s="144"/>
      <c r="AW43" s="144"/>
      <c r="AX43" s="144"/>
      <c r="AY43" s="144"/>
      <c r="AZ43" s="144"/>
      <c r="BA43" s="144"/>
      <c r="BB43" s="144"/>
      <c r="BC43" s="144"/>
      <c r="BD43" s="144"/>
      <c r="BE43" s="144"/>
      <c r="BF43" s="144"/>
      <c r="BG43" s="144"/>
      <c r="BH43" s="145"/>
      <c r="BI43" s="145"/>
      <c r="BJ43" s="145"/>
      <c r="BK43" s="145"/>
      <c r="BL43" s="145"/>
      <c r="BM43" s="145"/>
      <c r="BN43" s="145"/>
      <c r="BO43" s="145"/>
      <c r="BP43" s="145"/>
      <c r="BQ43" s="145"/>
      <c r="BR43" s="145"/>
      <c r="BS43" s="173">
        <f t="shared" si="19"/>
        <v>0</v>
      </c>
      <c r="BT43" s="658">
        <f t="shared" si="20"/>
        <v>0</v>
      </c>
      <c r="BU43" s="654"/>
      <c r="BV43" s="172"/>
      <c r="BW43" s="172"/>
      <c r="BX43" s="172"/>
      <c r="BY43" s="147"/>
      <c r="BZ43" s="147"/>
      <c r="CA43" s="147"/>
      <c r="CB43" s="147"/>
      <c r="CC43" s="147"/>
      <c r="CD43" s="147"/>
      <c r="CE43" s="147"/>
      <c r="CF43" s="147"/>
    </row>
    <row r="44" spans="1:84">
      <c r="A44" s="657" t="s">
        <v>1188</v>
      </c>
      <c r="B44" s="144"/>
      <c r="C44" s="144"/>
      <c r="D44" s="144"/>
      <c r="E44" s="144"/>
      <c r="F44" s="144"/>
      <c r="G44" s="144"/>
      <c r="H44" s="144"/>
      <c r="I44" s="144"/>
      <c r="J44" s="144"/>
      <c r="K44" s="144"/>
      <c r="L44" s="144"/>
      <c r="M44" s="144"/>
      <c r="N44" s="144"/>
      <c r="O44" s="144"/>
      <c r="P44" s="144"/>
      <c r="Q44" s="145"/>
      <c r="R44" s="145"/>
      <c r="S44" s="145"/>
      <c r="T44" s="145"/>
      <c r="U44" s="145"/>
      <c r="V44" s="145"/>
      <c r="W44" s="145"/>
      <c r="X44" s="145"/>
      <c r="Y44" s="145"/>
      <c r="Z44" s="145"/>
      <c r="AA44" s="145"/>
      <c r="AB44" s="145"/>
      <c r="AC44" s="145"/>
      <c r="AD44" s="173">
        <f t="shared" si="17"/>
        <v>0</v>
      </c>
      <c r="AE44" s="658">
        <f t="shared" si="18"/>
        <v>0</v>
      </c>
      <c r="AF44" s="659"/>
      <c r="AG44" s="147"/>
      <c r="AH44" s="147"/>
      <c r="AI44" s="147"/>
      <c r="AJ44" s="147"/>
      <c r="AK44" s="147"/>
      <c r="AL44" s="147"/>
      <c r="AM44" s="147"/>
      <c r="AN44" s="147"/>
      <c r="AO44" s="147"/>
      <c r="AP44" s="147"/>
      <c r="AQ44" s="147"/>
      <c r="AS44" s="657" t="s">
        <v>1188</v>
      </c>
      <c r="AT44" s="144"/>
      <c r="AU44" s="144"/>
      <c r="AV44" s="144"/>
      <c r="AW44" s="144"/>
      <c r="AX44" s="144"/>
      <c r="AY44" s="144"/>
      <c r="AZ44" s="144"/>
      <c r="BA44" s="144"/>
      <c r="BB44" s="144"/>
      <c r="BC44" s="144"/>
      <c r="BD44" s="144"/>
      <c r="BE44" s="144"/>
      <c r="BF44" s="144"/>
      <c r="BG44" s="144"/>
      <c r="BH44" s="145"/>
      <c r="BI44" s="145"/>
      <c r="BJ44" s="145"/>
      <c r="BK44" s="145"/>
      <c r="BL44" s="145"/>
      <c r="BM44" s="145"/>
      <c r="BN44" s="145"/>
      <c r="BO44" s="145"/>
      <c r="BP44" s="145"/>
      <c r="BQ44" s="145"/>
      <c r="BR44" s="145"/>
      <c r="BS44" s="173">
        <f t="shared" si="19"/>
        <v>0</v>
      </c>
      <c r="BT44" s="658">
        <f t="shared" si="20"/>
        <v>0</v>
      </c>
      <c r="BU44" s="654"/>
      <c r="BV44" s="172"/>
      <c r="BW44" s="172"/>
      <c r="BX44" s="172"/>
      <c r="BY44" s="147"/>
      <c r="BZ44" s="147"/>
      <c r="CA44" s="147"/>
      <c r="CB44" s="147"/>
      <c r="CC44" s="147"/>
      <c r="CD44" s="147"/>
      <c r="CE44" s="147"/>
      <c r="CF44" s="147"/>
    </row>
    <row r="45" spans="1:84">
      <c r="A45" s="657" t="s">
        <v>215</v>
      </c>
      <c r="B45" s="144"/>
      <c r="C45" s="144"/>
      <c r="D45" s="144"/>
      <c r="E45" s="144"/>
      <c r="F45" s="144"/>
      <c r="G45" s="144"/>
      <c r="H45" s="144"/>
      <c r="I45" s="144"/>
      <c r="J45" s="144"/>
      <c r="K45" s="144"/>
      <c r="L45" s="144"/>
      <c r="M45" s="144"/>
      <c r="N45" s="144"/>
      <c r="O45" s="144"/>
      <c r="P45" s="144"/>
      <c r="Q45" s="145"/>
      <c r="R45" s="145"/>
      <c r="S45" s="145"/>
      <c r="T45" s="145"/>
      <c r="U45" s="145"/>
      <c r="V45" s="145"/>
      <c r="W45" s="145"/>
      <c r="X45" s="145"/>
      <c r="Y45" s="145"/>
      <c r="Z45" s="145"/>
      <c r="AA45" s="145"/>
      <c r="AB45" s="145"/>
      <c r="AC45" s="145"/>
      <c r="AD45" s="173">
        <f t="shared" si="17"/>
        <v>0</v>
      </c>
      <c r="AE45" s="658">
        <f t="shared" si="18"/>
        <v>0</v>
      </c>
      <c r="AF45" s="659"/>
      <c r="AG45" s="147"/>
      <c r="AH45" s="147"/>
      <c r="AI45" s="147"/>
      <c r="AJ45" s="147"/>
      <c r="AK45" s="147"/>
      <c r="AL45" s="147"/>
      <c r="AM45" s="147"/>
      <c r="AN45" s="147"/>
      <c r="AO45" s="147"/>
      <c r="AP45" s="147"/>
      <c r="AQ45" s="147"/>
      <c r="AS45" s="657" t="s">
        <v>215</v>
      </c>
      <c r="AT45" s="144"/>
      <c r="AU45" s="144"/>
      <c r="AV45" s="144"/>
      <c r="AW45" s="144"/>
      <c r="AX45" s="144"/>
      <c r="AY45" s="144"/>
      <c r="AZ45" s="144"/>
      <c r="BA45" s="144"/>
      <c r="BB45" s="144"/>
      <c r="BC45" s="144"/>
      <c r="BD45" s="144"/>
      <c r="BE45" s="144"/>
      <c r="BF45" s="144"/>
      <c r="BG45" s="144"/>
      <c r="BH45" s="145"/>
      <c r="BI45" s="145"/>
      <c r="BJ45" s="145"/>
      <c r="BK45" s="145"/>
      <c r="BL45" s="145"/>
      <c r="BM45" s="145"/>
      <c r="BN45" s="145"/>
      <c r="BO45" s="145"/>
      <c r="BP45" s="145"/>
      <c r="BQ45" s="145"/>
      <c r="BR45" s="145"/>
      <c r="BS45" s="173">
        <f t="shared" si="19"/>
        <v>0</v>
      </c>
      <c r="BT45" s="658">
        <f t="shared" si="20"/>
        <v>0</v>
      </c>
      <c r="BU45" s="654"/>
      <c r="BV45" s="172"/>
      <c r="BW45" s="172"/>
      <c r="BX45" s="172"/>
      <c r="BY45" s="147"/>
      <c r="BZ45" s="147"/>
      <c r="CA45" s="147"/>
      <c r="CB45" s="147"/>
      <c r="CC45" s="147"/>
      <c r="CD45" s="147"/>
      <c r="CE45" s="147"/>
      <c r="CF45" s="147"/>
    </row>
    <row r="46" spans="1:84">
      <c r="A46" s="657" t="s">
        <v>216</v>
      </c>
      <c r="B46" s="144"/>
      <c r="C46" s="144"/>
      <c r="D46" s="144"/>
      <c r="E46" s="144"/>
      <c r="F46" s="144"/>
      <c r="G46" s="144"/>
      <c r="H46" s="144"/>
      <c r="I46" s="144"/>
      <c r="J46" s="144"/>
      <c r="K46" s="144"/>
      <c r="L46" s="144"/>
      <c r="M46" s="144"/>
      <c r="N46" s="144"/>
      <c r="O46" s="144"/>
      <c r="P46" s="144"/>
      <c r="Q46" s="145"/>
      <c r="R46" s="145"/>
      <c r="S46" s="145"/>
      <c r="T46" s="145"/>
      <c r="U46" s="145"/>
      <c r="V46" s="145"/>
      <c r="W46" s="145"/>
      <c r="X46" s="145"/>
      <c r="Y46" s="145"/>
      <c r="Z46" s="145"/>
      <c r="AA46" s="145"/>
      <c r="AB46" s="145"/>
      <c r="AC46" s="145"/>
      <c r="AD46" s="173">
        <f t="shared" si="17"/>
        <v>0</v>
      </c>
      <c r="AE46" s="658">
        <f t="shared" si="18"/>
        <v>0</v>
      </c>
      <c r="AF46" s="659"/>
      <c r="AG46" s="147"/>
      <c r="AH46" s="147"/>
      <c r="AI46" s="147"/>
      <c r="AJ46" s="147"/>
      <c r="AK46" s="147"/>
      <c r="AL46" s="147"/>
      <c r="AM46" s="147"/>
      <c r="AN46" s="147"/>
      <c r="AO46" s="147"/>
      <c r="AP46" s="147"/>
      <c r="AQ46" s="147"/>
      <c r="AS46" s="657" t="s">
        <v>216</v>
      </c>
      <c r="AT46" s="144"/>
      <c r="AU46" s="144"/>
      <c r="AV46" s="144"/>
      <c r="AW46" s="144"/>
      <c r="AX46" s="144"/>
      <c r="AY46" s="144"/>
      <c r="AZ46" s="144"/>
      <c r="BA46" s="144"/>
      <c r="BB46" s="144"/>
      <c r="BC46" s="144"/>
      <c r="BD46" s="144"/>
      <c r="BE46" s="144"/>
      <c r="BF46" s="144"/>
      <c r="BG46" s="144"/>
      <c r="BH46" s="145"/>
      <c r="BI46" s="145"/>
      <c r="BJ46" s="145"/>
      <c r="BK46" s="145"/>
      <c r="BL46" s="145"/>
      <c r="BM46" s="145"/>
      <c r="BN46" s="145"/>
      <c r="BO46" s="145"/>
      <c r="BP46" s="145"/>
      <c r="BQ46" s="145"/>
      <c r="BR46" s="145"/>
      <c r="BS46" s="173">
        <f t="shared" si="19"/>
        <v>0</v>
      </c>
      <c r="BT46" s="658">
        <f t="shared" si="20"/>
        <v>0</v>
      </c>
      <c r="BU46" s="654"/>
      <c r="BV46" s="172"/>
      <c r="BW46" s="172"/>
      <c r="BX46" s="172"/>
      <c r="BY46" s="147"/>
      <c r="BZ46" s="147"/>
      <c r="CA46" s="147"/>
      <c r="CB46" s="147"/>
      <c r="CC46" s="147"/>
      <c r="CD46" s="147"/>
      <c r="CE46" s="147"/>
      <c r="CF46" s="147"/>
    </row>
    <row r="47" spans="1:84">
      <c r="A47" s="657" t="s">
        <v>217</v>
      </c>
      <c r="B47" s="144"/>
      <c r="C47" s="144"/>
      <c r="D47" s="144"/>
      <c r="E47" s="144"/>
      <c r="F47" s="144"/>
      <c r="G47" s="144"/>
      <c r="H47" s="144"/>
      <c r="I47" s="144"/>
      <c r="J47" s="144"/>
      <c r="K47" s="144"/>
      <c r="L47" s="144"/>
      <c r="M47" s="144"/>
      <c r="N47" s="144"/>
      <c r="O47" s="144"/>
      <c r="P47" s="144"/>
      <c r="Q47" s="145"/>
      <c r="R47" s="145"/>
      <c r="S47" s="145"/>
      <c r="T47" s="145"/>
      <c r="U47" s="145"/>
      <c r="V47" s="145"/>
      <c r="W47" s="145"/>
      <c r="X47" s="145"/>
      <c r="Y47" s="145"/>
      <c r="Z47" s="145"/>
      <c r="AA47" s="145"/>
      <c r="AB47" s="145"/>
      <c r="AC47" s="145"/>
      <c r="AD47" s="173">
        <f t="shared" si="17"/>
        <v>0</v>
      </c>
      <c r="AE47" s="658">
        <f t="shared" si="18"/>
        <v>0</v>
      </c>
      <c r="AF47" s="659"/>
      <c r="AG47" s="147"/>
      <c r="AH47" s="147"/>
      <c r="AI47" s="147"/>
      <c r="AJ47" s="147"/>
      <c r="AK47" s="147"/>
      <c r="AL47" s="147"/>
      <c r="AM47" s="147"/>
      <c r="AN47" s="147"/>
      <c r="AO47" s="147"/>
      <c r="AP47" s="147"/>
      <c r="AQ47" s="147"/>
      <c r="AS47" s="657" t="s">
        <v>217</v>
      </c>
      <c r="AT47" s="144"/>
      <c r="AU47" s="144"/>
      <c r="AV47" s="144"/>
      <c r="AW47" s="144"/>
      <c r="AX47" s="144"/>
      <c r="AY47" s="144"/>
      <c r="AZ47" s="144"/>
      <c r="BA47" s="144"/>
      <c r="BB47" s="144"/>
      <c r="BC47" s="144"/>
      <c r="BD47" s="144"/>
      <c r="BE47" s="144"/>
      <c r="BF47" s="144"/>
      <c r="BG47" s="144"/>
      <c r="BH47" s="145"/>
      <c r="BI47" s="145"/>
      <c r="BJ47" s="145"/>
      <c r="BK47" s="145"/>
      <c r="BL47" s="145"/>
      <c r="BM47" s="145"/>
      <c r="BN47" s="145"/>
      <c r="BO47" s="145"/>
      <c r="BP47" s="145"/>
      <c r="BQ47" s="145"/>
      <c r="BR47" s="145"/>
      <c r="BS47" s="173">
        <f t="shared" si="19"/>
        <v>0</v>
      </c>
      <c r="BT47" s="658">
        <f t="shared" si="20"/>
        <v>0</v>
      </c>
      <c r="BU47" s="654"/>
      <c r="BV47" s="172"/>
      <c r="BW47" s="172"/>
      <c r="BX47" s="172"/>
      <c r="BY47" s="147"/>
      <c r="BZ47" s="147"/>
      <c r="CA47" s="147"/>
      <c r="CB47" s="147"/>
      <c r="CC47" s="147"/>
      <c r="CD47" s="147"/>
      <c r="CE47" s="147"/>
      <c r="CF47" s="147"/>
    </row>
    <row r="48" spans="1:84">
      <c r="A48" s="657" t="s">
        <v>218</v>
      </c>
      <c r="B48" s="144"/>
      <c r="C48" s="144"/>
      <c r="D48" s="144"/>
      <c r="E48" s="144"/>
      <c r="F48" s="144"/>
      <c r="G48" s="144"/>
      <c r="H48" s="144"/>
      <c r="I48" s="144"/>
      <c r="J48" s="144"/>
      <c r="K48" s="144"/>
      <c r="L48" s="144"/>
      <c r="M48" s="144"/>
      <c r="N48" s="144"/>
      <c r="O48" s="144"/>
      <c r="P48" s="144"/>
      <c r="Q48" s="145"/>
      <c r="R48" s="145"/>
      <c r="S48" s="145"/>
      <c r="T48" s="145"/>
      <c r="U48" s="145"/>
      <c r="V48" s="145"/>
      <c r="W48" s="145"/>
      <c r="X48" s="145"/>
      <c r="Y48" s="145"/>
      <c r="Z48" s="145"/>
      <c r="AA48" s="145"/>
      <c r="AB48" s="145"/>
      <c r="AC48" s="145"/>
      <c r="AD48" s="173">
        <f t="shared" si="17"/>
        <v>0</v>
      </c>
      <c r="AE48" s="658">
        <f t="shared" si="18"/>
        <v>0</v>
      </c>
      <c r="AF48" s="659"/>
      <c r="AG48" s="147"/>
      <c r="AH48" s="147"/>
      <c r="AI48" s="147"/>
      <c r="AJ48" s="147"/>
      <c r="AK48" s="147"/>
      <c r="AL48" s="147"/>
      <c r="AM48" s="147"/>
      <c r="AN48" s="147"/>
      <c r="AO48" s="147"/>
      <c r="AP48" s="147"/>
      <c r="AQ48" s="147"/>
      <c r="AS48" s="657" t="s">
        <v>218</v>
      </c>
      <c r="AT48" s="144"/>
      <c r="AU48" s="144"/>
      <c r="AV48" s="144"/>
      <c r="AW48" s="144"/>
      <c r="AX48" s="144"/>
      <c r="AY48" s="144"/>
      <c r="AZ48" s="144"/>
      <c r="BA48" s="144"/>
      <c r="BB48" s="144"/>
      <c r="BC48" s="144"/>
      <c r="BD48" s="144"/>
      <c r="BE48" s="144"/>
      <c r="BF48" s="144"/>
      <c r="BG48" s="144"/>
      <c r="BH48" s="145"/>
      <c r="BI48" s="145"/>
      <c r="BJ48" s="145"/>
      <c r="BK48" s="145"/>
      <c r="BL48" s="145"/>
      <c r="BM48" s="145"/>
      <c r="BN48" s="145"/>
      <c r="BO48" s="145"/>
      <c r="BP48" s="145"/>
      <c r="BQ48" s="145"/>
      <c r="BR48" s="145"/>
      <c r="BS48" s="173">
        <f t="shared" si="19"/>
        <v>0</v>
      </c>
      <c r="BT48" s="658">
        <f t="shared" si="20"/>
        <v>0</v>
      </c>
      <c r="BU48" s="654"/>
      <c r="BV48" s="172"/>
      <c r="BW48" s="172"/>
      <c r="BX48" s="172"/>
      <c r="BY48" s="147"/>
      <c r="BZ48" s="147"/>
      <c r="CA48" s="147"/>
      <c r="CB48" s="147"/>
      <c r="CC48" s="147"/>
      <c r="CD48" s="147"/>
      <c r="CE48" s="147"/>
      <c r="CF48" s="147"/>
    </row>
    <row r="49" spans="1:84">
      <c r="A49" s="657" t="s">
        <v>1189</v>
      </c>
      <c r="B49" s="144"/>
      <c r="C49" s="144"/>
      <c r="D49" s="144"/>
      <c r="E49" s="144"/>
      <c r="F49" s="144"/>
      <c r="G49" s="144"/>
      <c r="H49" s="144"/>
      <c r="I49" s="144"/>
      <c r="J49" s="144"/>
      <c r="K49" s="144"/>
      <c r="L49" s="144"/>
      <c r="M49" s="144"/>
      <c r="N49" s="144"/>
      <c r="O49" s="144"/>
      <c r="P49" s="144"/>
      <c r="Q49" s="145"/>
      <c r="R49" s="145"/>
      <c r="S49" s="145"/>
      <c r="T49" s="145"/>
      <c r="U49" s="145"/>
      <c r="V49" s="145"/>
      <c r="W49" s="145"/>
      <c r="X49" s="145"/>
      <c r="Y49" s="145"/>
      <c r="Z49" s="145"/>
      <c r="AA49" s="145"/>
      <c r="AB49" s="145"/>
      <c r="AC49" s="145"/>
      <c r="AD49" s="173">
        <f t="shared" si="17"/>
        <v>0</v>
      </c>
      <c r="AE49" s="658">
        <f t="shared" si="18"/>
        <v>0</v>
      </c>
      <c r="AF49" s="659"/>
      <c r="AG49" s="147"/>
      <c r="AH49" s="147"/>
      <c r="AI49" s="147"/>
      <c r="AJ49" s="147"/>
      <c r="AK49" s="147"/>
      <c r="AL49" s="147"/>
      <c r="AM49" s="147"/>
      <c r="AN49" s="147"/>
      <c r="AO49" s="147"/>
      <c r="AP49" s="147"/>
      <c r="AQ49" s="147"/>
      <c r="AS49" s="657" t="s">
        <v>1189</v>
      </c>
      <c r="AT49" s="144"/>
      <c r="AU49" s="144"/>
      <c r="AV49" s="144"/>
      <c r="AW49" s="144"/>
      <c r="AX49" s="144"/>
      <c r="AY49" s="144"/>
      <c r="AZ49" s="144"/>
      <c r="BA49" s="144"/>
      <c r="BB49" s="144"/>
      <c r="BC49" s="144"/>
      <c r="BD49" s="144"/>
      <c r="BE49" s="144"/>
      <c r="BF49" s="144"/>
      <c r="BG49" s="144"/>
      <c r="BH49" s="145"/>
      <c r="BI49" s="145"/>
      <c r="BJ49" s="145"/>
      <c r="BK49" s="145"/>
      <c r="BL49" s="145"/>
      <c r="BM49" s="145"/>
      <c r="BN49" s="145"/>
      <c r="BO49" s="145"/>
      <c r="BP49" s="145"/>
      <c r="BQ49" s="145"/>
      <c r="BR49" s="145"/>
      <c r="BS49" s="173">
        <f t="shared" si="19"/>
        <v>0</v>
      </c>
      <c r="BT49" s="658">
        <f t="shared" si="20"/>
        <v>0</v>
      </c>
      <c r="BU49" s="654"/>
      <c r="BV49" s="172"/>
      <c r="BW49" s="172"/>
      <c r="BX49" s="172"/>
      <c r="BY49" s="147"/>
      <c r="BZ49" s="147"/>
      <c r="CA49" s="147"/>
      <c r="CB49" s="147"/>
      <c r="CC49" s="147"/>
      <c r="CD49" s="147"/>
      <c r="CE49" s="147"/>
      <c r="CF49" s="147"/>
    </row>
    <row r="50" spans="1:84">
      <c r="A50" s="657" t="s">
        <v>1190</v>
      </c>
      <c r="B50" s="144"/>
      <c r="C50" s="144"/>
      <c r="D50" s="144"/>
      <c r="E50" s="144"/>
      <c r="F50" s="144"/>
      <c r="G50" s="144"/>
      <c r="H50" s="144"/>
      <c r="I50" s="144"/>
      <c r="J50" s="144"/>
      <c r="K50" s="144"/>
      <c r="L50" s="144"/>
      <c r="M50" s="144"/>
      <c r="N50" s="144"/>
      <c r="O50" s="144"/>
      <c r="P50" s="144"/>
      <c r="Q50" s="145"/>
      <c r="R50" s="145"/>
      <c r="S50" s="145"/>
      <c r="T50" s="145"/>
      <c r="U50" s="145"/>
      <c r="V50" s="145"/>
      <c r="W50" s="145"/>
      <c r="X50" s="145"/>
      <c r="Y50" s="145"/>
      <c r="Z50" s="145"/>
      <c r="AA50" s="145"/>
      <c r="AB50" s="145"/>
      <c r="AC50" s="145"/>
      <c r="AD50" s="173">
        <f t="shared" si="17"/>
        <v>0</v>
      </c>
      <c r="AE50" s="658">
        <f t="shared" si="18"/>
        <v>0</v>
      </c>
      <c r="AF50" s="659"/>
      <c r="AG50" s="147"/>
      <c r="AH50" s="147"/>
      <c r="AI50" s="147"/>
      <c r="AJ50" s="147"/>
      <c r="AK50" s="147"/>
      <c r="AL50" s="147"/>
      <c r="AM50" s="147"/>
      <c r="AN50" s="147"/>
      <c r="AO50" s="147"/>
      <c r="AP50" s="147"/>
      <c r="AQ50" s="147"/>
      <c r="AS50" s="657" t="s">
        <v>1190</v>
      </c>
      <c r="AT50" s="144"/>
      <c r="AU50" s="144"/>
      <c r="AV50" s="144"/>
      <c r="AW50" s="144"/>
      <c r="AX50" s="144"/>
      <c r="AY50" s="144"/>
      <c r="AZ50" s="144"/>
      <c r="BA50" s="144"/>
      <c r="BB50" s="144"/>
      <c r="BC50" s="144"/>
      <c r="BD50" s="144"/>
      <c r="BE50" s="144"/>
      <c r="BF50" s="144"/>
      <c r="BG50" s="144"/>
      <c r="BH50" s="145"/>
      <c r="BI50" s="145"/>
      <c r="BJ50" s="145"/>
      <c r="BK50" s="145"/>
      <c r="BL50" s="145"/>
      <c r="BM50" s="145"/>
      <c r="BN50" s="145"/>
      <c r="BO50" s="145"/>
      <c r="BP50" s="145"/>
      <c r="BQ50" s="145"/>
      <c r="BR50" s="145"/>
      <c r="BS50" s="173">
        <f t="shared" si="19"/>
        <v>0</v>
      </c>
      <c r="BT50" s="658">
        <f t="shared" si="20"/>
        <v>0</v>
      </c>
      <c r="BU50" s="654"/>
      <c r="BV50" s="172"/>
      <c r="BW50" s="172"/>
      <c r="BX50" s="172"/>
      <c r="BY50" s="147"/>
      <c r="BZ50" s="147"/>
      <c r="CA50" s="147"/>
      <c r="CB50" s="147"/>
      <c r="CC50" s="147"/>
      <c r="CD50" s="147"/>
      <c r="CE50" s="147"/>
      <c r="CF50" s="147"/>
    </row>
    <row r="51" spans="1:84">
      <c r="A51" s="657" t="s">
        <v>219</v>
      </c>
      <c r="B51" s="144"/>
      <c r="C51" s="144"/>
      <c r="D51" s="144"/>
      <c r="E51" s="144"/>
      <c r="F51" s="144"/>
      <c r="G51" s="144"/>
      <c r="H51" s="144"/>
      <c r="I51" s="144"/>
      <c r="J51" s="144"/>
      <c r="K51" s="144"/>
      <c r="L51" s="144"/>
      <c r="M51" s="144"/>
      <c r="N51" s="144"/>
      <c r="O51" s="144"/>
      <c r="P51" s="144"/>
      <c r="Q51" s="145"/>
      <c r="R51" s="145"/>
      <c r="S51" s="145"/>
      <c r="T51" s="145"/>
      <c r="U51" s="145"/>
      <c r="V51" s="145"/>
      <c r="W51" s="145"/>
      <c r="X51" s="145"/>
      <c r="Y51" s="145"/>
      <c r="Z51" s="145"/>
      <c r="AA51" s="145"/>
      <c r="AB51" s="145"/>
      <c r="AC51" s="145"/>
      <c r="AD51" s="173">
        <f t="shared" si="17"/>
        <v>0</v>
      </c>
      <c r="AE51" s="658">
        <f t="shared" si="18"/>
        <v>0</v>
      </c>
      <c r="AF51" s="659"/>
      <c r="AG51" s="147"/>
      <c r="AH51" s="147"/>
      <c r="AI51" s="147"/>
      <c r="AJ51" s="147"/>
      <c r="AK51" s="147"/>
      <c r="AL51" s="147"/>
      <c r="AM51" s="147"/>
      <c r="AN51" s="147"/>
      <c r="AO51" s="147"/>
      <c r="AP51" s="147"/>
      <c r="AQ51" s="147"/>
      <c r="AS51" s="657" t="s">
        <v>219</v>
      </c>
      <c r="AT51" s="144"/>
      <c r="AU51" s="144"/>
      <c r="AV51" s="144"/>
      <c r="AW51" s="144"/>
      <c r="AX51" s="144"/>
      <c r="AY51" s="144"/>
      <c r="AZ51" s="144"/>
      <c r="BA51" s="144"/>
      <c r="BB51" s="144"/>
      <c r="BC51" s="144"/>
      <c r="BD51" s="144"/>
      <c r="BE51" s="144"/>
      <c r="BF51" s="144"/>
      <c r="BG51" s="144"/>
      <c r="BH51" s="145"/>
      <c r="BI51" s="145"/>
      <c r="BJ51" s="145"/>
      <c r="BK51" s="145"/>
      <c r="BL51" s="145"/>
      <c r="BM51" s="145"/>
      <c r="BN51" s="145"/>
      <c r="BO51" s="145"/>
      <c r="BP51" s="145"/>
      <c r="BQ51" s="145"/>
      <c r="BR51" s="145"/>
      <c r="BS51" s="173">
        <f t="shared" si="19"/>
        <v>0</v>
      </c>
      <c r="BT51" s="658">
        <f t="shared" si="20"/>
        <v>0</v>
      </c>
      <c r="BU51" s="654"/>
      <c r="BV51" s="172"/>
      <c r="BW51" s="172"/>
      <c r="BX51" s="172"/>
      <c r="BY51" s="147"/>
      <c r="BZ51" s="147"/>
      <c r="CA51" s="147"/>
      <c r="CB51" s="147"/>
      <c r="CC51" s="147"/>
      <c r="CD51" s="147"/>
      <c r="CE51" s="147"/>
      <c r="CF51" s="147"/>
    </row>
    <row r="52" spans="1:84">
      <c r="A52" s="657" t="s">
        <v>220</v>
      </c>
      <c r="B52" s="144"/>
      <c r="C52" s="144"/>
      <c r="D52" s="144"/>
      <c r="E52" s="144"/>
      <c r="F52" s="144"/>
      <c r="G52" s="144"/>
      <c r="H52" s="144"/>
      <c r="I52" s="144"/>
      <c r="J52" s="144"/>
      <c r="K52" s="144"/>
      <c r="L52" s="144"/>
      <c r="M52" s="144"/>
      <c r="N52" s="144"/>
      <c r="O52" s="144"/>
      <c r="P52" s="144"/>
      <c r="Q52" s="145"/>
      <c r="R52" s="145"/>
      <c r="S52" s="145"/>
      <c r="T52" s="145"/>
      <c r="U52" s="145"/>
      <c r="V52" s="145"/>
      <c r="W52" s="145"/>
      <c r="X52" s="145"/>
      <c r="Y52" s="145"/>
      <c r="Z52" s="145"/>
      <c r="AA52" s="145"/>
      <c r="AB52" s="145"/>
      <c r="AC52" s="145"/>
      <c r="AD52" s="173">
        <f t="shared" si="17"/>
        <v>0</v>
      </c>
      <c r="AE52" s="658">
        <f t="shared" si="18"/>
        <v>0</v>
      </c>
      <c r="AF52" s="659"/>
      <c r="AG52" s="147"/>
      <c r="AH52" s="147"/>
      <c r="AI52" s="147"/>
      <c r="AJ52" s="147"/>
      <c r="AK52" s="147"/>
      <c r="AL52" s="147"/>
      <c r="AM52" s="147"/>
      <c r="AN52" s="147"/>
      <c r="AO52" s="147"/>
      <c r="AP52" s="147"/>
      <c r="AQ52" s="147"/>
      <c r="AS52" s="657" t="s">
        <v>220</v>
      </c>
      <c r="AT52" s="144"/>
      <c r="AU52" s="144"/>
      <c r="AV52" s="144"/>
      <c r="AW52" s="144"/>
      <c r="AX52" s="144"/>
      <c r="AY52" s="144"/>
      <c r="AZ52" s="144"/>
      <c r="BA52" s="144"/>
      <c r="BB52" s="144"/>
      <c r="BC52" s="144"/>
      <c r="BD52" s="144"/>
      <c r="BE52" s="144"/>
      <c r="BF52" s="144"/>
      <c r="BG52" s="144"/>
      <c r="BH52" s="145"/>
      <c r="BI52" s="145"/>
      <c r="BJ52" s="145"/>
      <c r="BK52" s="145"/>
      <c r="BL52" s="145"/>
      <c r="BM52" s="145"/>
      <c r="BN52" s="145"/>
      <c r="BO52" s="145"/>
      <c r="BP52" s="145"/>
      <c r="BQ52" s="145"/>
      <c r="BR52" s="145"/>
      <c r="BS52" s="173">
        <f t="shared" si="19"/>
        <v>0</v>
      </c>
      <c r="BT52" s="658">
        <f t="shared" si="20"/>
        <v>0</v>
      </c>
      <c r="BU52" s="654"/>
      <c r="BV52" s="172"/>
      <c r="BW52" s="172"/>
      <c r="BX52" s="172"/>
      <c r="BY52" s="147"/>
      <c r="BZ52" s="147"/>
      <c r="CA52" s="147"/>
      <c r="CB52" s="147"/>
      <c r="CC52" s="147"/>
      <c r="CD52" s="147"/>
      <c r="CE52" s="147"/>
      <c r="CF52" s="147"/>
    </row>
    <row r="53" spans="1:84">
      <c r="A53" s="657" t="s">
        <v>221</v>
      </c>
      <c r="B53" s="144"/>
      <c r="C53" s="144"/>
      <c r="D53" s="144"/>
      <c r="E53" s="144"/>
      <c r="F53" s="144"/>
      <c r="G53" s="144"/>
      <c r="H53" s="144"/>
      <c r="I53" s="144"/>
      <c r="J53" s="144"/>
      <c r="K53" s="144"/>
      <c r="L53" s="144"/>
      <c r="M53" s="144"/>
      <c r="N53" s="144"/>
      <c r="O53" s="144"/>
      <c r="P53" s="144"/>
      <c r="Q53" s="145"/>
      <c r="R53" s="145"/>
      <c r="S53" s="145"/>
      <c r="T53" s="145"/>
      <c r="U53" s="145"/>
      <c r="V53" s="145"/>
      <c r="W53" s="145"/>
      <c r="X53" s="145"/>
      <c r="Y53" s="145"/>
      <c r="Z53" s="145"/>
      <c r="AA53" s="145"/>
      <c r="AB53" s="145"/>
      <c r="AC53" s="145"/>
      <c r="AD53" s="173">
        <f t="shared" si="17"/>
        <v>0</v>
      </c>
      <c r="AE53" s="658">
        <f t="shared" si="18"/>
        <v>0</v>
      </c>
      <c r="AF53" s="659"/>
      <c r="AG53" s="147"/>
      <c r="AH53" s="147"/>
      <c r="AI53" s="147"/>
      <c r="AJ53" s="147"/>
      <c r="AK53" s="147"/>
      <c r="AL53" s="147"/>
      <c r="AM53" s="147"/>
      <c r="AN53" s="147"/>
      <c r="AO53" s="147"/>
      <c r="AP53" s="147"/>
      <c r="AQ53" s="147"/>
      <c r="AS53" s="657" t="s">
        <v>221</v>
      </c>
      <c r="AT53" s="144"/>
      <c r="AU53" s="144"/>
      <c r="AV53" s="144"/>
      <c r="AW53" s="144"/>
      <c r="AX53" s="144"/>
      <c r="AY53" s="144"/>
      <c r="AZ53" s="144"/>
      <c r="BA53" s="144"/>
      <c r="BB53" s="144"/>
      <c r="BC53" s="144"/>
      <c r="BD53" s="144"/>
      <c r="BE53" s="144"/>
      <c r="BF53" s="144"/>
      <c r="BG53" s="144"/>
      <c r="BH53" s="145"/>
      <c r="BI53" s="145"/>
      <c r="BJ53" s="145"/>
      <c r="BK53" s="145"/>
      <c r="BL53" s="145"/>
      <c r="BM53" s="145"/>
      <c r="BN53" s="145"/>
      <c r="BO53" s="145"/>
      <c r="BP53" s="145"/>
      <c r="BQ53" s="145"/>
      <c r="BR53" s="145"/>
      <c r="BS53" s="173">
        <f t="shared" si="19"/>
        <v>0</v>
      </c>
      <c r="BT53" s="658">
        <f t="shared" si="20"/>
        <v>0</v>
      </c>
      <c r="BU53" s="654"/>
      <c r="BV53" s="172"/>
      <c r="BW53" s="172"/>
      <c r="BX53" s="172"/>
      <c r="BY53" s="147"/>
      <c r="BZ53" s="147"/>
      <c r="CA53" s="147"/>
      <c r="CB53" s="147"/>
      <c r="CC53" s="147"/>
      <c r="CD53" s="147"/>
      <c r="CE53" s="147"/>
      <c r="CF53" s="147"/>
    </row>
    <row r="54" spans="1:84">
      <c r="A54" s="657" t="s">
        <v>1191</v>
      </c>
      <c r="B54" s="144"/>
      <c r="C54" s="144"/>
      <c r="D54" s="144"/>
      <c r="E54" s="144"/>
      <c r="F54" s="144"/>
      <c r="G54" s="144"/>
      <c r="H54" s="144"/>
      <c r="I54" s="144"/>
      <c r="J54" s="144"/>
      <c r="K54" s="144"/>
      <c r="L54" s="144"/>
      <c r="M54" s="144"/>
      <c r="N54" s="144"/>
      <c r="O54" s="144"/>
      <c r="P54" s="144"/>
      <c r="Q54" s="145"/>
      <c r="R54" s="145"/>
      <c r="S54" s="145"/>
      <c r="T54" s="145"/>
      <c r="U54" s="145"/>
      <c r="V54" s="145"/>
      <c r="W54" s="145"/>
      <c r="X54" s="145"/>
      <c r="Y54" s="145"/>
      <c r="Z54" s="145"/>
      <c r="AA54" s="145"/>
      <c r="AB54" s="145"/>
      <c r="AC54" s="145"/>
      <c r="AD54" s="173">
        <f t="shared" si="17"/>
        <v>0</v>
      </c>
      <c r="AE54" s="658">
        <f t="shared" si="18"/>
        <v>0</v>
      </c>
      <c r="AF54" s="659"/>
      <c r="AG54" s="147"/>
      <c r="AH54" s="147"/>
      <c r="AI54" s="147"/>
      <c r="AJ54" s="147"/>
      <c r="AK54" s="147"/>
      <c r="AL54" s="147"/>
      <c r="AM54" s="147"/>
      <c r="AN54" s="147"/>
      <c r="AO54" s="147"/>
      <c r="AP54" s="147"/>
      <c r="AQ54" s="147"/>
      <c r="AS54" s="657" t="s">
        <v>1191</v>
      </c>
      <c r="AT54" s="144"/>
      <c r="AU54" s="144"/>
      <c r="AV54" s="144"/>
      <c r="AW54" s="144"/>
      <c r="AX54" s="144"/>
      <c r="AY54" s="144"/>
      <c r="AZ54" s="144"/>
      <c r="BA54" s="144"/>
      <c r="BB54" s="144"/>
      <c r="BC54" s="144"/>
      <c r="BD54" s="144"/>
      <c r="BE54" s="144"/>
      <c r="BF54" s="144"/>
      <c r="BG54" s="144"/>
      <c r="BH54" s="145"/>
      <c r="BI54" s="145"/>
      <c r="BJ54" s="145"/>
      <c r="BK54" s="145"/>
      <c r="BL54" s="145"/>
      <c r="BM54" s="145"/>
      <c r="BN54" s="145"/>
      <c r="BO54" s="145"/>
      <c r="BP54" s="145"/>
      <c r="BQ54" s="145"/>
      <c r="BR54" s="145"/>
      <c r="BS54" s="173">
        <f t="shared" si="19"/>
        <v>0</v>
      </c>
      <c r="BT54" s="658">
        <f t="shared" si="20"/>
        <v>0</v>
      </c>
      <c r="BU54" s="654"/>
      <c r="BV54" s="172"/>
      <c r="BW54" s="172"/>
      <c r="BX54" s="172"/>
      <c r="BY54" s="147"/>
      <c r="BZ54" s="147"/>
      <c r="CA54" s="147"/>
      <c r="CB54" s="147"/>
      <c r="CC54" s="147"/>
      <c r="CD54" s="147"/>
      <c r="CE54" s="147"/>
      <c r="CF54" s="147"/>
    </row>
    <row r="55" spans="1:84">
      <c r="A55" s="657" t="s">
        <v>222</v>
      </c>
      <c r="B55" s="144"/>
      <c r="C55" s="144"/>
      <c r="D55" s="144"/>
      <c r="E55" s="144"/>
      <c r="F55" s="144"/>
      <c r="G55" s="144"/>
      <c r="H55" s="144"/>
      <c r="I55" s="144"/>
      <c r="J55" s="144"/>
      <c r="K55" s="144"/>
      <c r="L55" s="144"/>
      <c r="M55" s="144"/>
      <c r="N55" s="144"/>
      <c r="O55" s="144"/>
      <c r="P55" s="144"/>
      <c r="Q55" s="145"/>
      <c r="R55" s="145"/>
      <c r="S55" s="145"/>
      <c r="T55" s="145"/>
      <c r="U55" s="145"/>
      <c r="V55" s="145"/>
      <c r="W55" s="145"/>
      <c r="X55" s="145"/>
      <c r="Y55" s="145"/>
      <c r="Z55" s="145"/>
      <c r="AA55" s="145"/>
      <c r="AB55" s="145"/>
      <c r="AC55" s="145"/>
      <c r="AD55" s="173">
        <f t="shared" si="17"/>
        <v>0</v>
      </c>
      <c r="AE55" s="658">
        <f t="shared" si="18"/>
        <v>0</v>
      </c>
      <c r="AF55" s="659"/>
      <c r="AG55" s="147"/>
      <c r="AH55" s="147"/>
      <c r="AI55" s="147"/>
      <c r="AJ55" s="147"/>
      <c r="AK55" s="147"/>
      <c r="AL55" s="147"/>
      <c r="AM55" s="147"/>
      <c r="AN55" s="147"/>
      <c r="AO55" s="147"/>
      <c r="AP55" s="147"/>
      <c r="AQ55" s="147"/>
      <c r="AS55" s="657" t="s">
        <v>222</v>
      </c>
      <c r="AT55" s="144"/>
      <c r="AU55" s="144"/>
      <c r="AV55" s="144"/>
      <c r="AW55" s="144"/>
      <c r="AX55" s="144"/>
      <c r="AY55" s="144"/>
      <c r="AZ55" s="144"/>
      <c r="BA55" s="144"/>
      <c r="BB55" s="144"/>
      <c r="BC55" s="144"/>
      <c r="BD55" s="144"/>
      <c r="BE55" s="144"/>
      <c r="BF55" s="144"/>
      <c r="BG55" s="144"/>
      <c r="BH55" s="145"/>
      <c r="BI55" s="145"/>
      <c r="BJ55" s="145"/>
      <c r="BK55" s="145"/>
      <c r="BL55" s="145"/>
      <c r="BM55" s="145"/>
      <c r="BN55" s="145"/>
      <c r="BO55" s="145"/>
      <c r="BP55" s="145"/>
      <c r="BQ55" s="145"/>
      <c r="BR55" s="145"/>
      <c r="BS55" s="173">
        <f t="shared" si="19"/>
        <v>0</v>
      </c>
      <c r="BT55" s="658">
        <f t="shared" si="20"/>
        <v>0</v>
      </c>
      <c r="BU55" s="654"/>
      <c r="BV55" s="172"/>
      <c r="BW55" s="172"/>
      <c r="BX55" s="172"/>
      <c r="BY55" s="147"/>
      <c r="BZ55" s="147"/>
      <c r="CA55" s="147"/>
      <c r="CB55" s="147"/>
      <c r="CC55" s="147"/>
      <c r="CD55" s="147"/>
      <c r="CE55" s="147"/>
      <c r="CF55" s="147"/>
    </row>
    <row r="56" spans="1:84">
      <c r="A56" s="657" t="s">
        <v>223</v>
      </c>
      <c r="B56" s="144"/>
      <c r="C56" s="144"/>
      <c r="D56" s="144"/>
      <c r="E56" s="144"/>
      <c r="F56" s="144"/>
      <c r="G56" s="144"/>
      <c r="H56" s="144"/>
      <c r="I56" s="144"/>
      <c r="J56" s="144"/>
      <c r="K56" s="144"/>
      <c r="L56" s="144"/>
      <c r="M56" s="144"/>
      <c r="N56" s="144"/>
      <c r="O56" s="144"/>
      <c r="P56" s="144"/>
      <c r="Q56" s="145"/>
      <c r="R56" s="145"/>
      <c r="S56" s="145"/>
      <c r="T56" s="145"/>
      <c r="U56" s="145"/>
      <c r="V56" s="145"/>
      <c r="W56" s="145"/>
      <c r="X56" s="145"/>
      <c r="Y56" s="145"/>
      <c r="Z56" s="145"/>
      <c r="AA56" s="145"/>
      <c r="AB56" s="145"/>
      <c r="AC56" s="145"/>
      <c r="AD56" s="173">
        <f t="shared" si="17"/>
        <v>0</v>
      </c>
      <c r="AE56" s="658">
        <f t="shared" si="18"/>
        <v>0</v>
      </c>
      <c r="AF56" s="659"/>
      <c r="AG56" s="147"/>
      <c r="AH56" s="147"/>
      <c r="AI56" s="147"/>
      <c r="AJ56" s="147"/>
      <c r="AK56" s="147"/>
      <c r="AL56" s="147"/>
      <c r="AM56" s="147"/>
      <c r="AN56" s="147"/>
      <c r="AO56" s="147"/>
      <c r="AP56" s="147"/>
      <c r="AQ56" s="147"/>
      <c r="AS56" s="657" t="s">
        <v>223</v>
      </c>
      <c r="AT56" s="144"/>
      <c r="AU56" s="144"/>
      <c r="AV56" s="144"/>
      <c r="AW56" s="144"/>
      <c r="AX56" s="144"/>
      <c r="AY56" s="144"/>
      <c r="AZ56" s="144"/>
      <c r="BA56" s="144"/>
      <c r="BB56" s="144"/>
      <c r="BC56" s="144"/>
      <c r="BD56" s="144"/>
      <c r="BE56" s="144"/>
      <c r="BF56" s="144"/>
      <c r="BG56" s="144"/>
      <c r="BH56" s="145"/>
      <c r="BI56" s="145"/>
      <c r="BJ56" s="145"/>
      <c r="BK56" s="145"/>
      <c r="BL56" s="145"/>
      <c r="BM56" s="145"/>
      <c r="BN56" s="145"/>
      <c r="BO56" s="145"/>
      <c r="BP56" s="145"/>
      <c r="BQ56" s="145"/>
      <c r="BR56" s="145"/>
      <c r="BS56" s="173">
        <f t="shared" si="19"/>
        <v>0</v>
      </c>
      <c r="BT56" s="658">
        <f t="shared" si="20"/>
        <v>0</v>
      </c>
      <c r="BU56" s="654"/>
      <c r="BV56" s="172"/>
      <c r="BW56" s="172"/>
      <c r="BX56" s="172"/>
      <c r="BY56" s="147"/>
      <c r="BZ56" s="147"/>
      <c r="CA56" s="147"/>
      <c r="CB56" s="147"/>
      <c r="CC56" s="147"/>
      <c r="CD56" s="147"/>
      <c r="CE56" s="147"/>
      <c r="CF56" s="147"/>
    </row>
    <row r="57" spans="1:84">
      <c r="A57" s="657" t="s">
        <v>224</v>
      </c>
      <c r="B57" s="144"/>
      <c r="C57" s="144"/>
      <c r="D57" s="144"/>
      <c r="E57" s="144"/>
      <c r="F57" s="144"/>
      <c r="G57" s="144"/>
      <c r="H57" s="144"/>
      <c r="I57" s="144"/>
      <c r="J57" s="144"/>
      <c r="K57" s="144"/>
      <c r="L57" s="144"/>
      <c r="M57" s="144"/>
      <c r="N57" s="144"/>
      <c r="O57" s="144"/>
      <c r="P57" s="144"/>
      <c r="Q57" s="145"/>
      <c r="R57" s="145"/>
      <c r="S57" s="145"/>
      <c r="T57" s="145"/>
      <c r="U57" s="145"/>
      <c r="V57" s="145"/>
      <c r="W57" s="145"/>
      <c r="X57" s="145"/>
      <c r="Y57" s="145"/>
      <c r="Z57" s="145"/>
      <c r="AA57" s="145"/>
      <c r="AB57" s="145"/>
      <c r="AC57" s="145"/>
      <c r="AD57" s="173">
        <f t="shared" si="17"/>
        <v>0</v>
      </c>
      <c r="AE57" s="658">
        <f t="shared" si="18"/>
        <v>0</v>
      </c>
      <c r="AF57" s="659"/>
      <c r="AG57" s="147"/>
      <c r="AH57" s="147"/>
      <c r="AI57" s="147"/>
      <c r="AJ57" s="147"/>
      <c r="AK57" s="147"/>
      <c r="AL57" s="147"/>
      <c r="AM57" s="147"/>
      <c r="AN57" s="147"/>
      <c r="AO57" s="147"/>
      <c r="AP57" s="147"/>
      <c r="AQ57" s="147"/>
      <c r="AS57" s="657" t="s">
        <v>224</v>
      </c>
      <c r="AT57" s="144"/>
      <c r="AU57" s="144"/>
      <c r="AV57" s="144"/>
      <c r="AW57" s="144"/>
      <c r="AX57" s="144"/>
      <c r="AY57" s="144"/>
      <c r="AZ57" s="144"/>
      <c r="BA57" s="144"/>
      <c r="BB57" s="144"/>
      <c r="BC57" s="144"/>
      <c r="BD57" s="144"/>
      <c r="BE57" s="144"/>
      <c r="BF57" s="144"/>
      <c r="BG57" s="144"/>
      <c r="BH57" s="145"/>
      <c r="BI57" s="145"/>
      <c r="BJ57" s="145"/>
      <c r="BK57" s="145"/>
      <c r="BL57" s="145"/>
      <c r="BM57" s="145"/>
      <c r="BN57" s="145"/>
      <c r="BO57" s="145"/>
      <c r="BP57" s="145"/>
      <c r="BQ57" s="145"/>
      <c r="BR57" s="145"/>
      <c r="BS57" s="173">
        <f t="shared" si="19"/>
        <v>0</v>
      </c>
      <c r="BT57" s="658">
        <f t="shared" si="20"/>
        <v>0</v>
      </c>
      <c r="BU57" s="654"/>
      <c r="BV57" s="172"/>
      <c r="BW57" s="172"/>
      <c r="BX57" s="172"/>
      <c r="BY57" s="147"/>
      <c r="BZ57" s="147"/>
      <c r="CA57" s="147"/>
      <c r="CB57" s="147"/>
      <c r="CC57" s="147"/>
      <c r="CD57" s="147"/>
      <c r="CE57" s="147"/>
      <c r="CF57" s="147"/>
    </row>
    <row r="58" spans="1:84">
      <c r="A58" s="657" t="s">
        <v>225</v>
      </c>
      <c r="B58" s="144"/>
      <c r="C58" s="144"/>
      <c r="D58" s="144"/>
      <c r="E58" s="144"/>
      <c r="F58" s="144"/>
      <c r="G58" s="144"/>
      <c r="H58" s="144"/>
      <c r="I58" s="144"/>
      <c r="J58" s="144"/>
      <c r="K58" s="144"/>
      <c r="L58" s="144"/>
      <c r="M58" s="144"/>
      <c r="N58" s="144"/>
      <c r="O58" s="144"/>
      <c r="P58" s="144"/>
      <c r="Q58" s="145"/>
      <c r="R58" s="145"/>
      <c r="S58" s="145"/>
      <c r="T58" s="145"/>
      <c r="U58" s="145"/>
      <c r="V58" s="145"/>
      <c r="W58" s="145"/>
      <c r="X58" s="145"/>
      <c r="Y58" s="145"/>
      <c r="Z58" s="145"/>
      <c r="AA58" s="145"/>
      <c r="AB58" s="145"/>
      <c r="AC58" s="145"/>
      <c r="AD58" s="173">
        <f t="shared" si="17"/>
        <v>0</v>
      </c>
      <c r="AE58" s="658">
        <f t="shared" si="18"/>
        <v>0</v>
      </c>
      <c r="AF58" s="659"/>
      <c r="AG58" s="147"/>
      <c r="AH58" s="147"/>
      <c r="AI58" s="147"/>
      <c r="AJ58" s="147"/>
      <c r="AK58" s="147"/>
      <c r="AL58" s="147"/>
      <c r="AM58" s="147"/>
      <c r="AN58" s="147"/>
      <c r="AO58" s="147"/>
      <c r="AP58" s="147"/>
      <c r="AQ58" s="147"/>
      <c r="AS58" s="657" t="s">
        <v>225</v>
      </c>
      <c r="AT58" s="144"/>
      <c r="AU58" s="144"/>
      <c r="AV58" s="144"/>
      <c r="AW58" s="144"/>
      <c r="AX58" s="144"/>
      <c r="AY58" s="144"/>
      <c r="AZ58" s="144"/>
      <c r="BA58" s="144"/>
      <c r="BB58" s="144"/>
      <c r="BC58" s="144"/>
      <c r="BD58" s="144"/>
      <c r="BE58" s="144"/>
      <c r="BF58" s="144"/>
      <c r="BG58" s="144"/>
      <c r="BH58" s="145"/>
      <c r="BI58" s="145"/>
      <c r="BJ58" s="145"/>
      <c r="BK58" s="145"/>
      <c r="BL58" s="145"/>
      <c r="BM58" s="145"/>
      <c r="BN58" s="145"/>
      <c r="BO58" s="145"/>
      <c r="BP58" s="145"/>
      <c r="BQ58" s="145"/>
      <c r="BR58" s="145"/>
      <c r="BS58" s="173">
        <f t="shared" si="19"/>
        <v>0</v>
      </c>
      <c r="BT58" s="658">
        <f t="shared" si="20"/>
        <v>0</v>
      </c>
      <c r="BU58" s="654"/>
      <c r="BV58" s="172"/>
      <c r="BW58" s="172"/>
      <c r="BX58" s="172"/>
      <c r="BY58" s="147"/>
      <c r="BZ58" s="147"/>
      <c r="CA58" s="147"/>
      <c r="CB58" s="147"/>
      <c r="CC58" s="147"/>
      <c r="CD58" s="147"/>
      <c r="CE58" s="147"/>
      <c r="CF58" s="147"/>
    </row>
    <row r="59" spans="1:84">
      <c r="A59" s="657" t="s">
        <v>1192</v>
      </c>
      <c r="B59" s="144"/>
      <c r="C59" s="144"/>
      <c r="D59" s="144"/>
      <c r="E59" s="144"/>
      <c r="F59" s="144"/>
      <c r="G59" s="144"/>
      <c r="H59" s="144"/>
      <c r="I59" s="144"/>
      <c r="J59" s="144"/>
      <c r="K59" s="144"/>
      <c r="L59" s="144"/>
      <c r="M59" s="144"/>
      <c r="N59" s="144"/>
      <c r="O59" s="144"/>
      <c r="P59" s="144"/>
      <c r="Q59" s="145"/>
      <c r="R59" s="145"/>
      <c r="S59" s="145"/>
      <c r="T59" s="145"/>
      <c r="U59" s="145"/>
      <c r="V59" s="145"/>
      <c r="W59" s="145"/>
      <c r="X59" s="145"/>
      <c r="Y59" s="145"/>
      <c r="Z59" s="145"/>
      <c r="AA59" s="145"/>
      <c r="AB59" s="145"/>
      <c r="AC59" s="145"/>
      <c r="AD59" s="173">
        <f t="shared" si="17"/>
        <v>0</v>
      </c>
      <c r="AE59" s="658">
        <f t="shared" si="18"/>
        <v>0</v>
      </c>
      <c r="AF59" s="659"/>
      <c r="AG59" s="147"/>
      <c r="AH59" s="147"/>
      <c r="AI59" s="147"/>
      <c r="AJ59" s="147"/>
      <c r="AK59" s="147"/>
      <c r="AL59" s="147"/>
      <c r="AM59" s="147"/>
      <c r="AN59" s="147"/>
      <c r="AO59" s="147"/>
      <c r="AP59" s="147"/>
      <c r="AQ59" s="147"/>
      <c r="AS59" s="657" t="s">
        <v>1192</v>
      </c>
      <c r="AT59" s="144"/>
      <c r="AU59" s="144"/>
      <c r="AV59" s="144"/>
      <c r="AW59" s="144"/>
      <c r="AX59" s="144"/>
      <c r="AY59" s="144"/>
      <c r="AZ59" s="144"/>
      <c r="BA59" s="144"/>
      <c r="BB59" s="144"/>
      <c r="BC59" s="144"/>
      <c r="BD59" s="144"/>
      <c r="BE59" s="144"/>
      <c r="BF59" s="144"/>
      <c r="BG59" s="144"/>
      <c r="BH59" s="145"/>
      <c r="BI59" s="145"/>
      <c r="BJ59" s="145"/>
      <c r="BK59" s="145"/>
      <c r="BL59" s="145"/>
      <c r="BM59" s="145"/>
      <c r="BN59" s="145"/>
      <c r="BO59" s="145"/>
      <c r="BP59" s="145"/>
      <c r="BQ59" s="145"/>
      <c r="BR59" s="145"/>
      <c r="BS59" s="173">
        <f t="shared" si="19"/>
        <v>0</v>
      </c>
      <c r="BT59" s="658">
        <f t="shared" si="20"/>
        <v>0</v>
      </c>
      <c r="BU59" s="654"/>
      <c r="BV59" s="172"/>
      <c r="BW59" s="172"/>
      <c r="BX59" s="172"/>
      <c r="BY59" s="147"/>
      <c r="BZ59" s="147"/>
      <c r="CA59" s="147"/>
      <c r="CB59" s="147"/>
      <c r="CC59" s="147"/>
      <c r="CD59" s="147"/>
      <c r="CE59" s="147"/>
      <c r="CF59" s="147"/>
    </row>
    <row r="60" spans="1:84" ht="15.75" thickBot="1">
      <c r="A60" s="661" t="s">
        <v>226</v>
      </c>
      <c r="B60" s="662"/>
      <c r="C60" s="662"/>
      <c r="D60" s="662"/>
      <c r="E60" s="662"/>
      <c r="F60" s="662"/>
      <c r="G60" s="662"/>
      <c r="H60" s="662"/>
      <c r="I60" s="662"/>
      <c r="J60" s="662"/>
      <c r="K60" s="662"/>
      <c r="L60" s="662"/>
      <c r="M60" s="662"/>
      <c r="N60" s="662"/>
      <c r="O60" s="662"/>
      <c r="P60" s="662"/>
      <c r="Q60" s="663"/>
      <c r="R60" s="663"/>
      <c r="S60" s="663"/>
      <c r="T60" s="663"/>
      <c r="U60" s="663"/>
      <c r="V60" s="663"/>
      <c r="W60" s="663"/>
      <c r="X60" s="663"/>
      <c r="Y60" s="663"/>
      <c r="Z60" s="663"/>
      <c r="AA60" s="663"/>
      <c r="AB60" s="663"/>
      <c r="AC60" s="663"/>
      <c r="AD60" s="664">
        <f t="shared" si="17"/>
        <v>0</v>
      </c>
      <c r="AE60" s="668">
        <f t="shared" si="18"/>
        <v>0</v>
      </c>
      <c r="AF60" s="659"/>
      <c r="AG60" s="147"/>
      <c r="AH60" s="147"/>
      <c r="AI60" s="147"/>
      <c r="AJ60" s="147"/>
      <c r="AK60" s="147"/>
      <c r="AL60" s="147"/>
      <c r="AM60" s="147"/>
      <c r="AN60" s="147"/>
      <c r="AO60" s="147"/>
      <c r="AP60" s="147"/>
      <c r="AQ60" s="147"/>
      <c r="AS60" s="661" t="s">
        <v>226</v>
      </c>
      <c r="AT60" s="662"/>
      <c r="AU60" s="662"/>
      <c r="AV60" s="662"/>
      <c r="AW60" s="662"/>
      <c r="AX60" s="662"/>
      <c r="AY60" s="662"/>
      <c r="AZ60" s="662"/>
      <c r="BA60" s="662"/>
      <c r="BB60" s="662"/>
      <c r="BC60" s="662"/>
      <c r="BD60" s="662"/>
      <c r="BE60" s="662"/>
      <c r="BF60" s="662"/>
      <c r="BG60" s="662"/>
      <c r="BH60" s="663"/>
      <c r="BI60" s="663"/>
      <c r="BJ60" s="663"/>
      <c r="BK60" s="663"/>
      <c r="BL60" s="663"/>
      <c r="BM60" s="663"/>
      <c r="BN60" s="663"/>
      <c r="BO60" s="663"/>
      <c r="BP60" s="663"/>
      <c r="BQ60" s="663"/>
      <c r="BR60" s="663"/>
      <c r="BS60" s="664">
        <f t="shared" si="19"/>
        <v>0</v>
      </c>
      <c r="BT60" s="668">
        <f t="shared" si="20"/>
        <v>0</v>
      </c>
      <c r="BU60" s="654"/>
      <c r="BV60" s="172"/>
      <c r="BW60" s="172"/>
      <c r="BX60" s="172"/>
      <c r="BY60" s="147"/>
      <c r="BZ60" s="147"/>
      <c r="CA60" s="147"/>
      <c r="CB60" s="147"/>
      <c r="CC60" s="147"/>
      <c r="CD60" s="147"/>
      <c r="CE60" s="147"/>
      <c r="CF60" s="147"/>
    </row>
    <row r="61" spans="1:84" ht="15.75" thickBot="1">
      <c r="A61" s="665" t="s">
        <v>227</v>
      </c>
      <c r="B61" s="666">
        <f t="shared" ref="B61:AQ61" si="21">SUM(B40:B60)</f>
        <v>0</v>
      </c>
      <c r="C61" s="667">
        <f>SUM(C40:C60)</f>
        <v>20050667</v>
      </c>
      <c r="D61" s="666">
        <f t="shared" si="21"/>
        <v>0</v>
      </c>
      <c r="E61" s="667">
        <f>SUM(E40:E60)</f>
        <v>54590000</v>
      </c>
      <c r="F61" s="666">
        <f t="shared" si="21"/>
        <v>1.0400000000000003E-2</v>
      </c>
      <c r="G61" s="666"/>
      <c r="H61" s="667">
        <f>SUM(H40:H60)</f>
        <v>54590000</v>
      </c>
      <c r="I61" s="666">
        <f t="shared" si="21"/>
        <v>2.0000000000000004E-2</v>
      </c>
      <c r="J61" s="667">
        <f>SUM(J40:J60)</f>
        <v>54590000</v>
      </c>
      <c r="K61" s="666">
        <f t="shared" si="21"/>
        <v>2.0000000000000004E-2</v>
      </c>
      <c r="L61" s="667">
        <f>SUM(L40:L60)</f>
        <v>54590000</v>
      </c>
      <c r="M61" s="666">
        <f t="shared" si="21"/>
        <v>2.0000000000000004E-2</v>
      </c>
      <c r="N61" s="666"/>
      <c r="O61" s="667">
        <f>SUM(O40:O60)</f>
        <v>54590000</v>
      </c>
      <c r="P61" s="666">
        <f t="shared" si="21"/>
        <v>2.0000000000000004E-2</v>
      </c>
      <c r="Q61" s="667">
        <f>SUM(Q40:Q60)</f>
        <v>54590000</v>
      </c>
      <c r="R61" s="666">
        <f t="shared" si="21"/>
        <v>2.0000000000000004E-2</v>
      </c>
      <c r="S61" s="667">
        <f>SUM(S40:S60)</f>
        <v>54590000</v>
      </c>
      <c r="T61" s="666">
        <f t="shared" si="21"/>
        <v>2.0000000000000004E-2</v>
      </c>
      <c r="U61" s="666"/>
      <c r="V61" s="667">
        <f>SUM(V40:V60)</f>
        <v>54590000</v>
      </c>
      <c r="W61" s="666">
        <f t="shared" si="21"/>
        <v>2.0000000000000004E-2</v>
      </c>
      <c r="X61" s="667">
        <f>SUM(X40:X60)</f>
        <v>54590000</v>
      </c>
      <c r="Y61" s="666">
        <f t="shared" si="21"/>
        <v>2.0000000000000004E-2</v>
      </c>
      <c r="Z61" s="667">
        <f>SUM(Z40:Z60)</f>
        <v>54590000</v>
      </c>
      <c r="AA61" s="666">
        <f t="shared" si="21"/>
        <v>2.0000000000000004E-2</v>
      </c>
      <c r="AB61" s="666"/>
      <c r="AC61" s="667">
        <f>SUM(AC40:AC60)</f>
        <v>34539333</v>
      </c>
      <c r="AD61" s="671">
        <f t="shared" si="21"/>
        <v>0.19040000000000007</v>
      </c>
      <c r="AE61" s="672">
        <f t="shared" si="21"/>
        <v>600490000</v>
      </c>
      <c r="AF61" s="655">
        <f t="shared" si="21"/>
        <v>0</v>
      </c>
      <c r="AG61" s="146">
        <f t="shared" si="21"/>
        <v>0</v>
      </c>
      <c r="AH61" s="146">
        <f t="shared" si="21"/>
        <v>0</v>
      </c>
      <c r="AI61" s="146">
        <f t="shared" si="21"/>
        <v>0</v>
      </c>
      <c r="AJ61" s="146">
        <f t="shared" si="21"/>
        <v>0</v>
      </c>
      <c r="AK61" s="146">
        <f t="shared" si="21"/>
        <v>0</v>
      </c>
      <c r="AL61" s="146">
        <f t="shared" si="21"/>
        <v>0</v>
      </c>
      <c r="AM61" s="146">
        <f t="shared" si="21"/>
        <v>0</v>
      </c>
      <c r="AN61" s="146">
        <f t="shared" si="21"/>
        <v>0</v>
      </c>
      <c r="AO61" s="146">
        <f t="shared" si="21"/>
        <v>0</v>
      </c>
      <c r="AP61" s="146">
        <f t="shared" si="21"/>
        <v>0</v>
      </c>
      <c r="AQ61" s="146">
        <f t="shared" si="21"/>
        <v>0</v>
      </c>
      <c r="AS61" s="665" t="s">
        <v>227</v>
      </c>
      <c r="AT61" s="666">
        <f t="shared" ref="AT61:BG61" si="22">SUM(AT40:AT60)</f>
        <v>0</v>
      </c>
      <c r="AU61" s="666">
        <f t="shared" si="22"/>
        <v>0</v>
      </c>
      <c r="AV61" s="666">
        <f t="shared" si="22"/>
        <v>1.0480000000000003E-2</v>
      </c>
      <c r="AW61" s="667">
        <f t="shared" si="22"/>
        <v>19535667</v>
      </c>
      <c r="AX61" s="666">
        <f t="shared" si="22"/>
        <v>1.9440000000000006E-2</v>
      </c>
      <c r="AY61" s="666"/>
      <c r="AZ61" s="667">
        <f t="shared" si="22"/>
        <v>54590000</v>
      </c>
      <c r="BA61" s="666">
        <f t="shared" si="22"/>
        <v>1.7280000000000007E-2</v>
      </c>
      <c r="BB61" s="667">
        <f t="shared" si="22"/>
        <v>54590000</v>
      </c>
      <c r="BC61" s="666">
        <f t="shared" si="22"/>
        <v>0</v>
      </c>
      <c r="BD61" s="666">
        <f t="shared" si="22"/>
        <v>49440000</v>
      </c>
      <c r="BE61" s="666">
        <f t="shared" si="22"/>
        <v>0</v>
      </c>
      <c r="BF61" s="666">
        <f t="shared" si="22"/>
        <v>0</v>
      </c>
      <c r="BG61" s="666">
        <f t="shared" si="22"/>
        <v>0</v>
      </c>
      <c r="BH61" s="666">
        <f>SUM(BH40:BH60)</f>
        <v>0</v>
      </c>
      <c r="BI61" s="666">
        <f t="shared" ref="BI61:CF61" si="23">SUM(BI40:BI60)</f>
        <v>0</v>
      </c>
      <c r="BJ61" s="666">
        <f t="shared" si="23"/>
        <v>0</v>
      </c>
      <c r="BK61" s="666">
        <f t="shared" si="23"/>
        <v>0</v>
      </c>
      <c r="BL61" s="666">
        <f t="shared" si="23"/>
        <v>0</v>
      </c>
      <c r="BM61" s="666">
        <f t="shared" si="23"/>
        <v>0</v>
      </c>
      <c r="BN61" s="666">
        <f t="shared" si="23"/>
        <v>0</v>
      </c>
      <c r="BO61" s="666">
        <f t="shared" si="23"/>
        <v>0</v>
      </c>
      <c r="BP61" s="666">
        <f t="shared" si="23"/>
        <v>0</v>
      </c>
      <c r="BQ61" s="666">
        <f t="shared" si="23"/>
        <v>0</v>
      </c>
      <c r="BR61" s="666">
        <f t="shared" si="23"/>
        <v>0</v>
      </c>
      <c r="BS61" s="669">
        <f t="shared" si="23"/>
        <v>4.720000000000002E-2</v>
      </c>
      <c r="BT61" s="670">
        <f t="shared" si="23"/>
        <v>178155667</v>
      </c>
      <c r="BU61" s="655">
        <f t="shared" si="23"/>
        <v>0</v>
      </c>
      <c r="BV61" s="146">
        <f t="shared" si="23"/>
        <v>0</v>
      </c>
      <c r="BW61" s="146">
        <f t="shared" si="23"/>
        <v>0</v>
      </c>
      <c r="BX61" s="146">
        <f t="shared" si="23"/>
        <v>0</v>
      </c>
      <c r="BY61" s="146">
        <f t="shared" si="23"/>
        <v>0</v>
      </c>
      <c r="BZ61" s="146">
        <f t="shared" si="23"/>
        <v>0</v>
      </c>
      <c r="CA61" s="146">
        <f>SUM(CA40:CA60)</f>
        <v>0</v>
      </c>
      <c r="CB61" s="146">
        <f t="shared" si="23"/>
        <v>0</v>
      </c>
      <c r="CC61" s="146">
        <f t="shared" si="23"/>
        <v>0</v>
      </c>
      <c r="CD61" s="146">
        <f t="shared" si="23"/>
        <v>0</v>
      </c>
      <c r="CE61" s="146">
        <f t="shared" si="23"/>
        <v>0</v>
      </c>
      <c r="CF61" s="146">
        <f t="shared" si="23"/>
        <v>0</v>
      </c>
    </row>
    <row r="66" spans="1:45">
      <c r="D66" s="277"/>
      <c r="F66" s="277"/>
      <c r="G66" s="277"/>
      <c r="H66" s="277"/>
      <c r="I66" s="277"/>
      <c r="J66" s="277"/>
      <c r="K66" s="277"/>
      <c r="L66" s="277"/>
      <c r="M66" s="277"/>
      <c r="N66" s="277"/>
      <c r="O66" s="277"/>
      <c r="P66" s="277"/>
      <c r="Q66" s="277"/>
      <c r="R66" s="277"/>
      <c r="S66" s="277"/>
      <c r="T66" s="277"/>
      <c r="U66" s="277"/>
      <c r="V66" s="277"/>
      <c r="W66" s="277"/>
      <c r="X66" s="277"/>
      <c r="AS66" s="459">
        <v>1351177000</v>
      </c>
    </row>
    <row r="67" spans="1:45">
      <c r="AS67" s="108">
        <v>182216361</v>
      </c>
    </row>
    <row r="68" spans="1:45">
      <c r="AS68" s="459">
        <f>AS66-AS67</f>
        <v>1168960639</v>
      </c>
    </row>
    <row r="69" spans="1:45">
      <c r="E69" s="387"/>
      <c r="F69" s="387"/>
      <c r="G69" s="387"/>
      <c r="H69" s="387"/>
      <c r="I69" s="387"/>
      <c r="J69" s="387"/>
      <c r="K69" s="387"/>
      <c r="L69" s="387"/>
      <c r="M69" s="387"/>
      <c r="N69" s="387"/>
      <c r="O69" s="387"/>
      <c r="P69" s="387"/>
      <c r="Q69" s="387"/>
      <c r="R69" s="387"/>
      <c r="S69" s="387"/>
      <c r="T69" s="387"/>
      <c r="U69" s="387"/>
      <c r="V69" s="387"/>
      <c r="W69" s="387"/>
      <c r="X69" s="387"/>
      <c r="Y69" s="387"/>
      <c r="Z69" s="387"/>
      <c r="AA69" s="387"/>
    </row>
    <row r="79" spans="1:45">
      <c r="A79" s="504" t="s">
        <v>232</v>
      </c>
      <c r="B79" s="504" t="s">
        <v>233</v>
      </c>
      <c r="C79" s="504" t="s">
        <v>234</v>
      </c>
    </row>
    <row r="80" spans="1:45" ht="75">
      <c r="A80" s="501">
        <v>33990000</v>
      </c>
      <c r="B80" s="315" t="s">
        <v>235</v>
      </c>
      <c r="C80" s="502">
        <v>4429000</v>
      </c>
    </row>
    <row r="81" spans="1:3" ht="60">
      <c r="A81" s="501">
        <v>56650000</v>
      </c>
      <c r="B81" s="315" t="s">
        <v>236</v>
      </c>
      <c r="C81" s="502">
        <v>7381667</v>
      </c>
    </row>
    <row r="82" spans="1:3" ht="60">
      <c r="A82" s="501">
        <v>56650000</v>
      </c>
      <c r="B82" s="315" t="s">
        <v>237</v>
      </c>
      <c r="C82" s="502">
        <v>7038333</v>
      </c>
    </row>
    <row r="83" spans="1:3" ht="60">
      <c r="A83" s="501">
        <v>56650000</v>
      </c>
      <c r="B83" s="315" t="s">
        <v>238</v>
      </c>
      <c r="C83" s="502">
        <v>6866667</v>
      </c>
    </row>
    <row r="84" spans="1:3" ht="60">
      <c r="A84" s="501">
        <v>56650000</v>
      </c>
      <c r="B84" s="315" t="s">
        <v>239</v>
      </c>
      <c r="C84" s="502">
        <v>7381667</v>
      </c>
    </row>
    <row r="85" spans="1:3" ht="60">
      <c r="A85" s="501">
        <v>56650000</v>
      </c>
      <c r="B85" s="315" t="s">
        <v>240</v>
      </c>
      <c r="C85" s="502">
        <v>8068333</v>
      </c>
    </row>
    <row r="86" spans="1:3" ht="60">
      <c r="A86" s="501">
        <v>56650000</v>
      </c>
      <c r="B86" s="315" t="s">
        <v>241</v>
      </c>
      <c r="C86" s="502">
        <v>6351667</v>
      </c>
    </row>
    <row r="87" spans="1:3" ht="60">
      <c r="A87" s="501">
        <v>56650000</v>
      </c>
      <c r="B87" s="315" t="s">
        <v>242</v>
      </c>
      <c r="C87" s="502">
        <v>7038333</v>
      </c>
    </row>
    <row r="88" spans="1:3" ht="60">
      <c r="A88" s="501">
        <v>56650000</v>
      </c>
      <c r="B88" s="315" t="s">
        <v>243</v>
      </c>
      <c r="C88" s="502">
        <v>7210000</v>
      </c>
    </row>
    <row r="89" spans="1:3" ht="60">
      <c r="A89" s="501">
        <v>56650000</v>
      </c>
      <c r="B89" s="315" t="s">
        <v>244</v>
      </c>
      <c r="C89" s="502">
        <v>5150000</v>
      </c>
    </row>
    <row r="90" spans="1:3" ht="45">
      <c r="A90" s="501">
        <v>56650000</v>
      </c>
      <c r="B90" s="315" t="s">
        <v>245</v>
      </c>
      <c r="C90" s="502">
        <v>7210000</v>
      </c>
    </row>
    <row r="91" spans="1:3">
      <c r="A91" s="503">
        <f>SUM(A80:A90)</f>
        <v>600490000</v>
      </c>
    </row>
    <row r="92" spans="1:3">
      <c r="A92" s="503"/>
      <c r="C92" s="503"/>
    </row>
    <row r="93" spans="1:3">
      <c r="A93" s="1023" t="s">
        <v>1165</v>
      </c>
      <c r="B93" s="1023"/>
      <c r="C93" s="503">
        <f>SUM(C80:C90)</f>
        <v>74125667</v>
      </c>
    </row>
    <row r="94" spans="1:3">
      <c r="B94" s="108" t="s">
        <v>246</v>
      </c>
      <c r="C94" s="503">
        <v>19535667</v>
      </c>
    </row>
    <row r="95" spans="1:3">
      <c r="B95" s="108" t="s">
        <v>247</v>
      </c>
      <c r="C95" s="503">
        <f>C93-C94</f>
        <v>54590000</v>
      </c>
    </row>
    <row r="97" spans="1:4">
      <c r="A97" s="1023" t="s">
        <v>1161</v>
      </c>
      <c r="B97" s="1023"/>
      <c r="C97" s="503">
        <v>128715667</v>
      </c>
    </row>
    <row r="98" spans="1:4">
      <c r="A98" s="1022" t="s">
        <v>246</v>
      </c>
      <c r="B98" s="1022"/>
      <c r="C98" s="503">
        <v>19535667</v>
      </c>
    </row>
    <row r="99" spans="1:4">
      <c r="A99" s="1022" t="s">
        <v>247</v>
      </c>
      <c r="B99" s="1022"/>
      <c r="C99" s="503">
        <v>54590000</v>
      </c>
    </row>
    <row r="100" spans="1:4">
      <c r="A100" s="1022" t="s">
        <v>1162</v>
      </c>
      <c r="B100" s="1022"/>
      <c r="C100" s="503">
        <f>C97-C98-C99</f>
        <v>54590000</v>
      </c>
    </row>
    <row r="102" spans="1:4">
      <c r="A102" s="1023" t="s">
        <v>1163</v>
      </c>
      <c r="B102" s="1023"/>
      <c r="C102" s="503">
        <v>178155667</v>
      </c>
    </row>
    <row r="103" spans="1:4">
      <c r="A103" s="1022" t="s">
        <v>246</v>
      </c>
      <c r="B103" s="1022"/>
      <c r="C103" s="503">
        <v>19535667</v>
      </c>
    </row>
    <row r="104" spans="1:4">
      <c r="A104" s="1022" t="s">
        <v>247</v>
      </c>
      <c r="B104" s="1022"/>
      <c r="C104" s="503">
        <v>54590000</v>
      </c>
    </row>
    <row r="105" spans="1:4">
      <c r="A105" s="1022" t="s">
        <v>1162</v>
      </c>
      <c r="B105" s="1022"/>
      <c r="C105" s="503">
        <v>54590000</v>
      </c>
    </row>
    <row r="106" spans="1:4">
      <c r="A106" s="1022" t="s">
        <v>1164</v>
      </c>
      <c r="B106" s="1022"/>
      <c r="C106" s="503">
        <f>C102-C103-C104-C105</f>
        <v>49440000</v>
      </c>
      <c r="D106" s="503"/>
    </row>
  </sheetData>
  <mergeCells count="88">
    <mergeCell ref="BU38:BZ38"/>
    <mergeCell ref="CA38:CF38"/>
    <mergeCell ref="AX38:AZ38"/>
    <mergeCell ref="BI38:BJ38"/>
    <mergeCell ref="BK38:BL38"/>
    <mergeCell ref="BM38:BN38"/>
    <mergeCell ref="BO38:BP38"/>
    <mergeCell ref="BQ38:BR38"/>
    <mergeCell ref="BS38:BT38"/>
    <mergeCell ref="AV38:AW38"/>
    <mergeCell ref="BA38:BB38"/>
    <mergeCell ref="BC38:BD38"/>
    <mergeCell ref="BE38:BF38"/>
    <mergeCell ref="BG38:BH38"/>
    <mergeCell ref="AT38:AU38"/>
    <mergeCell ref="M38:O38"/>
    <mergeCell ref="P38:Q38"/>
    <mergeCell ref="R38:S38"/>
    <mergeCell ref="T38:V38"/>
    <mergeCell ref="W38:X38"/>
    <mergeCell ref="Y38:Z38"/>
    <mergeCell ref="AA38:AC38"/>
    <mergeCell ref="AD38:AE38"/>
    <mergeCell ref="AF38:AK38"/>
    <mergeCell ref="AL38:AQ38"/>
    <mergeCell ref="AS38:AS39"/>
    <mergeCell ref="BU9:BZ9"/>
    <mergeCell ref="CA9:CF9"/>
    <mergeCell ref="B35:CA35"/>
    <mergeCell ref="B36:CA36"/>
    <mergeCell ref="A38:A39"/>
    <mergeCell ref="B38:C38"/>
    <mergeCell ref="D38:E38"/>
    <mergeCell ref="F38:H38"/>
    <mergeCell ref="I38:J38"/>
    <mergeCell ref="K38:L38"/>
    <mergeCell ref="BI9:BJ9"/>
    <mergeCell ref="BK9:BL9"/>
    <mergeCell ref="BM9:BN9"/>
    <mergeCell ref="BO9:BP9"/>
    <mergeCell ref="BQ9:BR9"/>
    <mergeCell ref="BS9:BT9"/>
    <mergeCell ref="BG9:BH9"/>
    <mergeCell ref="AA9:AC9"/>
    <mergeCell ref="AD9:AE9"/>
    <mergeCell ref="AF9:AK9"/>
    <mergeCell ref="AL9:AQ9"/>
    <mergeCell ref="AS9:AS10"/>
    <mergeCell ref="AT9:AU9"/>
    <mergeCell ref="AV9:AW9"/>
    <mergeCell ref="AX9:AZ9"/>
    <mergeCell ref="BA9:BB9"/>
    <mergeCell ref="BC9:BD9"/>
    <mergeCell ref="BE9:BF9"/>
    <mergeCell ref="Y9:Z9"/>
    <mergeCell ref="A9:A10"/>
    <mergeCell ref="B9:C9"/>
    <mergeCell ref="D9:E9"/>
    <mergeCell ref="F9:H9"/>
    <mergeCell ref="I9:J9"/>
    <mergeCell ref="K9:L9"/>
    <mergeCell ref="M9:O9"/>
    <mergeCell ref="P9:Q9"/>
    <mergeCell ref="R9:S9"/>
    <mergeCell ref="T9:V9"/>
    <mergeCell ref="W9:X9"/>
    <mergeCell ref="B7:CA7"/>
    <mergeCell ref="A1:BX1"/>
    <mergeCell ref="BY1:CA1"/>
    <mergeCell ref="A2:BX2"/>
    <mergeCell ref="BY2:CA2"/>
    <mergeCell ref="A3:BX3"/>
    <mergeCell ref="BY3:CA3"/>
    <mergeCell ref="A4:BX4"/>
    <mergeCell ref="BY4:CA4"/>
    <mergeCell ref="A5:AM5"/>
    <mergeCell ref="AO5:CA5"/>
    <mergeCell ref="B6:CA6"/>
    <mergeCell ref="A103:B103"/>
    <mergeCell ref="A104:B104"/>
    <mergeCell ref="A105:B105"/>
    <mergeCell ref="A106:B106"/>
    <mergeCell ref="A93:B93"/>
    <mergeCell ref="A97:B97"/>
    <mergeCell ref="A98:B98"/>
    <mergeCell ref="A99:B99"/>
    <mergeCell ref="A100:B100"/>
    <mergeCell ref="A102:B102"/>
  </mergeCells>
  <printOptions horizontalCentered="1"/>
  <pageMargins left="0.19685039370078741" right="0.19685039370078741" top="0.19685039370078741" bottom="0.19685039370078741" header="0" footer="0"/>
  <pageSetup scale="32" fitToWidth="100"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sheetPr>
  <dimension ref="A1:AX30"/>
  <sheetViews>
    <sheetView tabSelected="1" view="pageBreakPreview" topLeftCell="AI27" zoomScale="70" zoomScaleNormal="75" zoomScaleSheetLayoutView="70" workbookViewId="0">
      <selection activeCell="AT28" sqref="AT28:AX28"/>
    </sheetView>
  </sheetViews>
  <sheetFormatPr baseColWidth="10" defaultColWidth="10.85546875" defaultRowHeight="15"/>
  <cols>
    <col min="1" max="1" width="10.140625" style="108" customWidth="1"/>
    <col min="2" max="2" width="10" style="108" customWidth="1"/>
    <col min="3" max="3" width="17.28515625" style="108" customWidth="1"/>
    <col min="4" max="6" width="8.28515625" style="108" customWidth="1"/>
    <col min="7" max="7" width="14.7109375" style="108" customWidth="1"/>
    <col min="8" max="8" width="20.140625" style="108" customWidth="1"/>
    <col min="9" max="9" width="22.42578125" style="108" customWidth="1"/>
    <col min="10" max="10" width="26.5703125" style="108" customWidth="1"/>
    <col min="11" max="13" width="11" style="108" customWidth="1"/>
    <col min="14" max="14" width="11.7109375" style="108" customWidth="1"/>
    <col min="15" max="16" width="6.42578125" style="108" customWidth="1"/>
    <col min="17" max="17" width="7.7109375" style="108" bestFit="1" customWidth="1"/>
    <col min="18" max="19" width="6.42578125" style="108" customWidth="1"/>
    <col min="20" max="20" width="8.5703125" style="108" customWidth="1"/>
    <col min="21" max="21" width="14" style="126" customWidth="1"/>
    <col min="22" max="24" width="9.85546875" style="277" bestFit="1" customWidth="1"/>
    <col min="25" max="33" width="9.85546875" style="277" customWidth="1"/>
    <col min="34" max="34" width="5.85546875" style="277" customWidth="1"/>
    <col min="35" max="35" width="8.140625" style="277" bestFit="1" customWidth="1"/>
    <col min="36" max="36" width="6.5703125" style="277" customWidth="1"/>
    <col min="37" max="45" width="5.85546875" style="277" customWidth="1"/>
    <col min="46" max="46" width="9.5703125" style="277" customWidth="1"/>
    <col min="47" max="47" width="9.5703125" style="108" customWidth="1"/>
    <col min="48" max="48" width="107.85546875" style="108" customWidth="1"/>
    <col min="49" max="50" width="34.5703125" style="108" customWidth="1"/>
    <col min="51" max="16384" width="10.85546875" style="108"/>
  </cols>
  <sheetData>
    <row r="1" spans="1:50" ht="18.75" customHeight="1">
      <c r="A1" s="1061" t="s">
        <v>0</v>
      </c>
      <c r="B1" s="1062"/>
      <c r="C1" s="1062"/>
      <c r="D1" s="1062"/>
      <c r="E1" s="1062"/>
      <c r="F1" s="1062"/>
      <c r="G1" s="1062"/>
      <c r="H1" s="1062"/>
      <c r="I1" s="1062"/>
      <c r="J1" s="1062"/>
      <c r="K1" s="1062"/>
      <c r="L1" s="1062"/>
      <c r="M1" s="1062"/>
      <c r="N1" s="1062"/>
      <c r="O1" s="1062"/>
      <c r="P1" s="1062"/>
      <c r="Q1" s="1062"/>
      <c r="R1" s="1062"/>
      <c r="S1" s="1062"/>
      <c r="T1" s="1062"/>
      <c r="U1" s="1062"/>
      <c r="V1" s="1062"/>
      <c r="W1" s="1062"/>
      <c r="X1" s="1062"/>
      <c r="Y1" s="1062"/>
      <c r="Z1" s="1062"/>
      <c r="AA1" s="1062"/>
      <c r="AB1" s="1062"/>
      <c r="AC1" s="1062"/>
      <c r="AD1" s="1062"/>
      <c r="AE1" s="1062"/>
      <c r="AF1" s="1062"/>
      <c r="AG1" s="1062"/>
      <c r="AH1" s="1062"/>
      <c r="AI1" s="1062"/>
      <c r="AJ1" s="1062"/>
      <c r="AK1" s="1062"/>
      <c r="AL1" s="1062"/>
      <c r="AM1" s="1062"/>
      <c r="AN1" s="1062"/>
      <c r="AO1" s="1062"/>
      <c r="AP1" s="1062"/>
      <c r="AQ1" s="1062"/>
      <c r="AR1" s="1062"/>
      <c r="AS1" s="1062"/>
      <c r="AT1" s="1062"/>
      <c r="AU1" s="1062"/>
      <c r="AV1" s="1063"/>
      <c r="AW1" s="708" t="s">
        <v>1</v>
      </c>
      <c r="AX1" s="710"/>
    </row>
    <row r="2" spans="1:50" ht="18.75" customHeight="1">
      <c r="A2" s="1048" t="s">
        <v>2</v>
      </c>
      <c r="B2" s="1049"/>
      <c r="C2" s="1049"/>
      <c r="D2" s="1049"/>
      <c r="E2" s="1049"/>
      <c r="F2" s="1049"/>
      <c r="G2" s="1049"/>
      <c r="H2" s="1049"/>
      <c r="I2" s="1049"/>
      <c r="J2" s="1049"/>
      <c r="K2" s="1049"/>
      <c r="L2" s="1049"/>
      <c r="M2" s="1049"/>
      <c r="N2" s="1049"/>
      <c r="O2" s="1049"/>
      <c r="P2" s="1049"/>
      <c r="Q2" s="1049"/>
      <c r="R2" s="1049"/>
      <c r="S2" s="1049"/>
      <c r="T2" s="1049"/>
      <c r="U2" s="1049"/>
      <c r="V2" s="1049"/>
      <c r="W2" s="1049"/>
      <c r="X2" s="1049"/>
      <c r="Y2" s="1049"/>
      <c r="Z2" s="1049"/>
      <c r="AA2" s="1049"/>
      <c r="AB2" s="1049"/>
      <c r="AC2" s="1049"/>
      <c r="AD2" s="1049"/>
      <c r="AE2" s="1049"/>
      <c r="AF2" s="1049"/>
      <c r="AG2" s="1049"/>
      <c r="AH2" s="1049"/>
      <c r="AI2" s="1049"/>
      <c r="AJ2" s="1049"/>
      <c r="AK2" s="1049"/>
      <c r="AL2" s="1049"/>
      <c r="AM2" s="1049"/>
      <c r="AN2" s="1049"/>
      <c r="AO2" s="1049"/>
      <c r="AP2" s="1049"/>
      <c r="AQ2" s="1049"/>
      <c r="AR2" s="1049"/>
      <c r="AS2" s="1049"/>
      <c r="AT2" s="1049"/>
      <c r="AU2" s="1049"/>
      <c r="AV2" s="1050"/>
      <c r="AW2" s="714" t="s">
        <v>3</v>
      </c>
      <c r="AX2" s="716"/>
    </row>
    <row r="3" spans="1:50" ht="18" customHeight="1">
      <c r="A3" s="1051" t="s">
        <v>248</v>
      </c>
      <c r="B3" s="1052"/>
      <c r="C3" s="1052"/>
      <c r="D3" s="1052"/>
      <c r="E3" s="1052"/>
      <c r="F3" s="1052"/>
      <c r="G3" s="1052"/>
      <c r="H3" s="1052"/>
      <c r="I3" s="1052"/>
      <c r="J3" s="1052"/>
      <c r="K3" s="1052"/>
      <c r="L3" s="1052"/>
      <c r="M3" s="1052"/>
      <c r="N3" s="1052"/>
      <c r="O3" s="1052"/>
      <c r="P3" s="1052"/>
      <c r="Q3" s="1052"/>
      <c r="R3" s="1052"/>
      <c r="S3" s="1052"/>
      <c r="T3" s="1052"/>
      <c r="U3" s="1052"/>
      <c r="V3" s="1052"/>
      <c r="W3" s="1052"/>
      <c r="X3" s="1052"/>
      <c r="Y3" s="1052"/>
      <c r="Z3" s="1052"/>
      <c r="AA3" s="1052"/>
      <c r="AB3" s="1052"/>
      <c r="AC3" s="1052"/>
      <c r="AD3" s="1052"/>
      <c r="AE3" s="1052"/>
      <c r="AF3" s="1052"/>
      <c r="AG3" s="1052"/>
      <c r="AH3" s="1052"/>
      <c r="AI3" s="1052"/>
      <c r="AJ3" s="1052"/>
      <c r="AK3" s="1052"/>
      <c r="AL3" s="1052"/>
      <c r="AM3" s="1052"/>
      <c r="AN3" s="1052"/>
      <c r="AO3" s="1052"/>
      <c r="AP3" s="1052"/>
      <c r="AQ3" s="1052"/>
      <c r="AR3" s="1052"/>
      <c r="AS3" s="1052"/>
      <c r="AT3" s="1052"/>
      <c r="AU3" s="1052"/>
      <c r="AV3" s="1053"/>
      <c r="AW3" s="714" t="s">
        <v>5</v>
      </c>
      <c r="AX3" s="716"/>
    </row>
    <row r="4" spans="1:50" ht="18" customHeight="1">
      <c r="A4" s="1054"/>
      <c r="B4" s="1055"/>
      <c r="C4" s="1055"/>
      <c r="D4" s="1055"/>
      <c r="E4" s="1055"/>
      <c r="F4" s="1055"/>
      <c r="G4" s="1055"/>
      <c r="H4" s="1055"/>
      <c r="I4" s="1055"/>
      <c r="J4" s="1055"/>
      <c r="K4" s="1055"/>
      <c r="L4" s="1055"/>
      <c r="M4" s="1055"/>
      <c r="N4" s="1055"/>
      <c r="O4" s="1055"/>
      <c r="P4" s="1055"/>
      <c r="Q4" s="1055"/>
      <c r="R4" s="1055"/>
      <c r="S4" s="1055"/>
      <c r="T4" s="1055"/>
      <c r="U4" s="1055"/>
      <c r="V4" s="1055"/>
      <c r="W4" s="1055"/>
      <c r="X4" s="1055"/>
      <c r="Y4" s="1055"/>
      <c r="Z4" s="1055"/>
      <c r="AA4" s="1055"/>
      <c r="AB4" s="1055"/>
      <c r="AC4" s="1055"/>
      <c r="AD4" s="1055"/>
      <c r="AE4" s="1055"/>
      <c r="AF4" s="1055"/>
      <c r="AG4" s="1055"/>
      <c r="AH4" s="1055"/>
      <c r="AI4" s="1055"/>
      <c r="AJ4" s="1055"/>
      <c r="AK4" s="1055"/>
      <c r="AL4" s="1055"/>
      <c r="AM4" s="1055"/>
      <c r="AN4" s="1055"/>
      <c r="AO4" s="1055"/>
      <c r="AP4" s="1055"/>
      <c r="AQ4" s="1055"/>
      <c r="AR4" s="1055"/>
      <c r="AS4" s="1055"/>
      <c r="AT4" s="1055"/>
      <c r="AU4" s="1055"/>
      <c r="AV4" s="1056"/>
      <c r="AW4" s="1059" t="s">
        <v>249</v>
      </c>
      <c r="AX4" s="1060"/>
    </row>
    <row r="5" spans="1:50" ht="15" customHeight="1">
      <c r="A5" s="1150" t="s">
        <v>187</v>
      </c>
      <c r="B5" s="1151"/>
      <c r="C5" s="1151"/>
      <c r="D5" s="1151"/>
      <c r="E5" s="1151"/>
      <c r="F5" s="1151"/>
      <c r="G5" s="1151"/>
      <c r="H5" s="1151"/>
      <c r="I5" s="1151"/>
      <c r="J5" s="1151"/>
      <c r="K5" s="1151"/>
      <c r="L5" s="1151"/>
      <c r="M5" s="1151"/>
      <c r="N5" s="1151"/>
      <c r="O5" s="1151"/>
      <c r="P5" s="1151"/>
      <c r="Q5" s="1151"/>
      <c r="R5" s="1151"/>
      <c r="S5" s="1151"/>
      <c r="T5" s="1151"/>
      <c r="U5" s="1151"/>
      <c r="V5" s="1151"/>
      <c r="W5" s="1151"/>
      <c r="X5" s="1151"/>
      <c r="Y5" s="1151"/>
      <c r="Z5" s="1151"/>
      <c r="AA5" s="1151"/>
      <c r="AB5" s="1151"/>
      <c r="AC5" s="1151"/>
      <c r="AD5" s="1151"/>
      <c r="AE5" s="1151"/>
      <c r="AF5" s="1151"/>
      <c r="AG5" s="1152"/>
      <c r="AH5" s="1072" t="s">
        <v>13</v>
      </c>
      <c r="AI5" s="1073"/>
      <c r="AJ5" s="1073"/>
      <c r="AK5" s="1073"/>
      <c r="AL5" s="1073"/>
      <c r="AM5" s="1073"/>
      <c r="AN5" s="1073"/>
      <c r="AO5" s="1073"/>
      <c r="AP5" s="1073"/>
      <c r="AQ5" s="1073"/>
      <c r="AR5" s="1073"/>
      <c r="AS5" s="1073"/>
      <c r="AT5" s="1073"/>
      <c r="AU5" s="1074"/>
      <c r="AV5" s="1068" t="s">
        <v>250</v>
      </c>
      <c r="AW5" s="1068" t="s">
        <v>251</v>
      </c>
      <c r="AX5" s="1064" t="s">
        <v>252</v>
      </c>
    </row>
    <row r="6" spans="1:50" ht="15" customHeight="1">
      <c r="A6" s="1153" t="s">
        <v>9</v>
      </c>
      <c r="B6" s="1154"/>
      <c r="C6" s="1154"/>
      <c r="D6" s="1155">
        <v>44714</v>
      </c>
      <c r="E6" s="1156"/>
      <c r="F6" s="1154" t="s">
        <v>10</v>
      </c>
      <c r="G6" s="1154"/>
      <c r="H6" s="1067" t="s">
        <v>11</v>
      </c>
      <c r="I6" s="1067"/>
      <c r="J6" s="110"/>
      <c r="K6" s="1072"/>
      <c r="L6" s="1073"/>
      <c r="M6" s="1073"/>
      <c r="N6" s="1073"/>
      <c r="O6" s="1073"/>
      <c r="P6" s="1073"/>
      <c r="Q6" s="1073"/>
      <c r="R6" s="1073"/>
      <c r="S6" s="1073"/>
      <c r="T6" s="1073"/>
      <c r="U6" s="1073"/>
      <c r="V6" s="486"/>
      <c r="W6" s="486"/>
      <c r="X6" s="486"/>
      <c r="Y6" s="486"/>
      <c r="Z6" s="486"/>
      <c r="AA6" s="486"/>
      <c r="AB6" s="486"/>
      <c r="AC6" s="486"/>
      <c r="AD6" s="486"/>
      <c r="AE6" s="486"/>
      <c r="AF6" s="486"/>
      <c r="AG6" s="487"/>
      <c r="AH6" s="1075"/>
      <c r="AI6" s="1076"/>
      <c r="AJ6" s="1076"/>
      <c r="AK6" s="1076"/>
      <c r="AL6" s="1076"/>
      <c r="AM6" s="1076"/>
      <c r="AN6" s="1076"/>
      <c r="AO6" s="1076"/>
      <c r="AP6" s="1076"/>
      <c r="AQ6" s="1076"/>
      <c r="AR6" s="1076"/>
      <c r="AS6" s="1076"/>
      <c r="AT6" s="1076"/>
      <c r="AU6" s="1077"/>
      <c r="AV6" s="1069"/>
      <c r="AW6" s="1069"/>
      <c r="AX6" s="1065"/>
    </row>
    <row r="7" spans="1:50" ht="15" customHeight="1">
      <c r="A7" s="1153"/>
      <c r="B7" s="1154"/>
      <c r="C7" s="1154"/>
      <c r="D7" s="1156"/>
      <c r="E7" s="1156"/>
      <c r="F7" s="1154"/>
      <c r="G7" s="1154"/>
      <c r="H7" s="1067" t="s">
        <v>12</v>
      </c>
      <c r="I7" s="1067"/>
      <c r="J7" s="110"/>
      <c r="K7" s="1075"/>
      <c r="L7" s="1076"/>
      <c r="M7" s="1076"/>
      <c r="N7" s="1076"/>
      <c r="O7" s="1076"/>
      <c r="P7" s="1076"/>
      <c r="Q7" s="1076"/>
      <c r="R7" s="1076"/>
      <c r="S7" s="1076"/>
      <c r="T7" s="1076"/>
      <c r="U7" s="1076"/>
      <c r="V7" s="529"/>
      <c r="W7" s="529"/>
      <c r="X7" s="529"/>
      <c r="Y7" s="529"/>
      <c r="Z7" s="529"/>
      <c r="AA7" s="529"/>
      <c r="AB7" s="529"/>
      <c r="AC7" s="529"/>
      <c r="AD7" s="529"/>
      <c r="AE7" s="529"/>
      <c r="AF7" s="529"/>
      <c r="AG7" s="488"/>
      <c r="AH7" s="1075"/>
      <c r="AI7" s="1076"/>
      <c r="AJ7" s="1076"/>
      <c r="AK7" s="1076"/>
      <c r="AL7" s="1076"/>
      <c r="AM7" s="1076"/>
      <c r="AN7" s="1076"/>
      <c r="AO7" s="1076"/>
      <c r="AP7" s="1076"/>
      <c r="AQ7" s="1076"/>
      <c r="AR7" s="1076"/>
      <c r="AS7" s="1076"/>
      <c r="AT7" s="1076"/>
      <c r="AU7" s="1077"/>
      <c r="AV7" s="1069"/>
      <c r="AW7" s="1069"/>
      <c r="AX7" s="1065"/>
    </row>
    <row r="8" spans="1:50" ht="15" customHeight="1">
      <c r="A8" s="1153"/>
      <c r="B8" s="1154"/>
      <c r="C8" s="1154"/>
      <c r="D8" s="1156"/>
      <c r="E8" s="1156"/>
      <c r="F8" s="1154"/>
      <c r="G8" s="1154"/>
      <c r="H8" s="1067" t="s">
        <v>13</v>
      </c>
      <c r="I8" s="1067"/>
      <c r="J8" s="110" t="s">
        <v>14</v>
      </c>
      <c r="K8" s="1078"/>
      <c r="L8" s="1079"/>
      <c r="M8" s="1079"/>
      <c r="N8" s="1079"/>
      <c r="O8" s="1079"/>
      <c r="P8" s="1079"/>
      <c r="Q8" s="1079"/>
      <c r="R8" s="1079"/>
      <c r="S8" s="1079"/>
      <c r="T8" s="1079"/>
      <c r="U8" s="1079"/>
      <c r="V8" s="489"/>
      <c r="W8" s="489"/>
      <c r="X8" s="489"/>
      <c r="Y8" s="489"/>
      <c r="Z8" s="489"/>
      <c r="AA8" s="489"/>
      <c r="AB8" s="489"/>
      <c r="AC8" s="489"/>
      <c r="AD8" s="489"/>
      <c r="AE8" s="489"/>
      <c r="AF8" s="489"/>
      <c r="AG8" s="490"/>
      <c r="AH8" s="1075"/>
      <c r="AI8" s="1076"/>
      <c r="AJ8" s="1076"/>
      <c r="AK8" s="1076"/>
      <c r="AL8" s="1076"/>
      <c r="AM8" s="1076"/>
      <c r="AN8" s="1076"/>
      <c r="AO8" s="1076"/>
      <c r="AP8" s="1076"/>
      <c r="AQ8" s="1076"/>
      <c r="AR8" s="1076"/>
      <c r="AS8" s="1076"/>
      <c r="AT8" s="1076"/>
      <c r="AU8" s="1077"/>
      <c r="AV8" s="1069"/>
      <c r="AW8" s="1069"/>
      <c r="AX8" s="1065"/>
    </row>
    <row r="9" spans="1:50" ht="15" customHeight="1">
      <c r="A9" s="1147" t="s">
        <v>253</v>
      </c>
      <c r="B9" s="1148"/>
      <c r="C9" s="1149"/>
      <c r="D9" s="1080" t="s">
        <v>254</v>
      </c>
      <c r="E9" s="1081"/>
      <c r="F9" s="1081"/>
      <c r="G9" s="1081"/>
      <c r="H9" s="1081"/>
      <c r="I9" s="1081"/>
      <c r="J9" s="1081"/>
      <c r="K9" s="1082"/>
      <c r="L9" s="1082"/>
      <c r="M9" s="1082"/>
      <c r="N9" s="1082"/>
      <c r="O9" s="1082"/>
      <c r="P9" s="1082"/>
      <c r="Q9" s="1082"/>
      <c r="R9" s="1082"/>
      <c r="S9" s="1082"/>
      <c r="T9" s="1082"/>
      <c r="U9" s="1082"/>
      <c r="V9" s="1082"/>
      <c r="W9" s="1082"/>
      <c r="X9" s="1082"/>
      <c r="Y9" s="1082"/>
      <c r="Z9" s="1082"/>
      <c r="AA9" s="1082"/>
      <c r="AB9" s="1082"/>
      <c r="AC9" s="1082"/>
      <c r="AD9" s="1082"/>
      <c r="AE9" s="1082"/>
      <c r="AF9" s="1082"/>
      <c r="AG9" s="1083"/>
      <c r="AH9" s="1075"/>
      <c r="AI9" s="1076"/>
      <c r="AJ9" s="1076"/>
      <c r="AK9" s="1076"/>
      <c r="AL9" s="1076"/>
      <c r="AM9" s="1076"/>
      <c r="AN9" s="1076"/>
      <c r="AO9" s="1076"/>
      <c r="AP9" s="1076"/>
      <c r="AQ9" s="1076"/>
      <c r="AR9" s="1076"/>
      <c r="AS9" s="1076"/>
      <c r="AT9" s="1076"/>
      <c r="AU9" s="1077"/>
      <c r="AV9" s="1069"/>
      <c r="AW9" s="1069"/>
      <c r="AX9" s="1065"/>
    </row>
    <row r="10" spans="1:50" ht="15" customHeight="1" thickBot="1">
      <c r="A10" s="1118" t="s">
        <v>255</v>
      </c>
      <c r="B10" s="1119"/>
      <c r="C10" s="1120"/>
      <c r="D10" s="1121" t="s">
        <v>256</v>
      </c>
      <c r="E10" s="1082"/>
      <c r="F10" s="1082"/>
      <c r="G10" s="1082"/>
      <c r="H10" s="1082"/>
      <c r="I10" s="1082"/>
      <c r="J10" s="1082"/>
      <c r="K10" s="1082"/>
      <c r="L10" s="1082"/>
      <c r="M10" s="1082"/>
      <c r="N10" s="1082"/>
      <c r="O10" s="1082"/>
      <c r="P10" s="1082"/>
      <c r="Q10" s="1082"/>
      <c r="R10" s="1082"/>
      <c r="S10" s="1082"/>
      <c r="T10" s="1082"/>
      <c r="U10" s="1082"/>
      <c r="V10" s="1122"/>
      <c r="W10" s="1122"/>
      <c r="X10" s="1122"/>
      <c r="Y10" s="1122"/>
      <c r="Z10" s="1122"/>
      <c r="AA10" s="1122"/>
      <c r="AB10" s="1122"/>
      <c r="AC10" s="1122"/>
      <c r="AD10" s="1122"/>
      <c r="AE10" s="1122"/>
      <c r="AF10" s="1122"/>
      <c r="AG10" s="1123"/>
      <c r="AH10" s="1078"/>
      <c r="AI10" s="1079"/>
      <c r="AJ10" s="1079"/>
      <c r="AK10" s="1079"/>
      <c r="AL10" s="1079"/>
      <c r="AM10" s="1079"/>
      <c r="AN10" s="1079"/>
      <c r="AO10" s="1079"/>
      <c r="AP10" s="1079"/>
      <c r="AQ10" s="1079"/>
      <c r="AR10" s="1079"/>
      <c r="AS10" s="1079"/>
      <c r="AT10" s="1076"/>
      <c r="AU10" s="1077"/>
      <c r="AV10" s="1069"/>
      <c r="AW10" s="1069"/>
      <c r="AX10" s="1065"/>
    </row>
    <row r="11" spans="1:50" ht="39.950000000000003" customHeight="1">
      <c r="A11" s="1145" t="s">
        <v>257</v>
      </c>
      <c r="B11" s="1144"/>
      <c r="C11" s="1144"/>
      <c r="D11" s="1144"/>
      <c r="E11" s="1144"/>
      <c r="F11" s="1085"/>
      <c r="G11" s="1084" t="s">
        <v>258</v>
      </c>
      <c r="H11" s="1085"/>
      <c r="I11" s="1068" t="s">
        <v>259</v>
      </c>
      <c r="J11" s="1068" t="s">
        <v>260</v>
      </c>
      <c r="K11" s="1068" t="s">
        <v>261</v>
      </c>
      <c r="L11" s="1068" t="s">
        <v>262</v>
      </c>
      <c r="M11" s="1068" t="s">
        <v>263</v>
      </c>
      <c r="N11" s="1068" t="s">
        <v>264</v>
      </c>
      <c r="O11" s="1084" t="s">
        <v>265</v>
      </c>
      <c r="P11" s="1144"/>
      <c r="Q11" s="1144"/>
      <c r="R11" s="1144"/>
      <c r="S11" s="1085"/>
      <c r="T11" s="1068" t="s">
        <v>266</v>
      </c>
      <c r="U11" s="1142" t="s">
        <v>267</v>
      </c>
      <c r="V11" s="1096" t="s">
        <v>268</v>
      </c>
      <c r="W11" s="1097"/>
      <c r="X11" s="1097"/>
      <c r="Y11" s="1097"/>
      <c r="Z11" s="1097"/>
      <c r="AA11" s="1097"/>
      <c r="AB11" s="1097"/>
      <c r="AC11" s="1097"/>
      <c r="AD11" s="1097"/>
      <c r="AE11" s="1097"/>
      <c r="AF11" s="1097"/>
      <c r="AG11" s="1098"/>
      <c r="AH11" s="1089" t="s">
        <v>269</v>
      </c>
      <c r="AI11" s="1090"/>
      <c r="AJ11" s="1090"/>
      <c r="AK11" s="1090"/>
      <c r="AL11" s="1090"/>
      <c r="AM11" s="1090"/>
      <c r="AN11" s="1090"/>
      <c r="AO11" s="1090"/>
      <c r="AP11" s="1090"/>
      <c r="AQ11" s="1090"/>
      <c r="AR11" s="1090"/>
      <c r="AS11" s="1091"/>
      <c r="AT11" s="1057" t="s">
        <v>41</v>
      </c>
      <c r="AU11" s="1058"/>
      <c r="AV11" s="1070"/>
      <c r="AW11" s="1069"/>
      <c r="AX11" s="1065"/>
    </row>
    <row r="12" spans="1:50" ht="42.75">
      <c r="A12" s="399" t="s">
        <v>270</v>
      </c>
      <c r="B12" s="109" t="s">
        <v>271</v>
      </c>
      <c r="C12" s="109" t="s">
        <v>272</v>
      </c>
      <c r="D12" s="109" t="s">
        <v>273</v>
      </c>
      <c r="E12" s="109" t="s">
        <v>274</v>
      </c>
      <c r="F12" s="109" t="s">
        <v>275</v>
      </c>
      <c r="G12" s="109" t="s">
        <v>276</v>
      </c>
      <c r="H12" s="109" t="s">
        <v>277</v>
      </c>
      <c r="I12" s="1069"/>
      <c r="J12" s="1069"/>
      <c r="K12" s="1095"/>
      <c r="L12" s="1095"/>
      <c r="M12" s="1095"/>
      <c r="N12" s="1095"/>
      <c r="O12" s="109">
        <v>2020</v>
      </c>
      <c r="P12" s="109">
        <v>2021</v>
      </c>
      <c r="Q12" s="109">
        <v>2022</v>
      </c>
      <c r="R12" s="109">
        <v>2023</v>
      </c>
      <c r="S12" s="109">
        <v>2024</v>
      </c>
      <c r="T12" s="1095"/>
      <c r="U12" s="1143"/>
      <c r="V12" s="491" t="s">
        <v>30</v>
      </c>
      <c r="W12" s="492" t="s">
        <v>31</v>
      </c>
      <c r="X12" s="492" t="s">
        <v>32</v>
      </c>
      <c r="Y12" s="492" t="s">
        <v>8</v>
      </c>
      <c r="Z12" s="492" t="s">
        <v>33</v>
      </c>
      <c r="AA12" s="492" t="s">
        <v>34</v>
      </c>
      <c r="AB12" s="492" t="s">
        <v>35</v>
      </c>
      <c r="AC12" s="492" t="s">
        <v>36</v>
      </c>
      <c r="AD12" s="492" t="s">
        <v>37</v>
      </c>
      <c r="AE12" s="492" t="s">
        <v>38</v>
      </c>
      <c r="AF12" s="492" t="s">
        <v>39</v>
      </c>
      <c r="AG12" s="493" t="s">
        <v>40</v>
      </c>
      <c r="AH12" s="494" t="s">
        <v>30</v>
      </c>
      <c r="AI12" s="495" t="s">
        <v>31</v>
      </c>
      <c r="AJ12" s="495" t="s">
        <v>32</v>
      </c>
      <c r="AK12" s="495" t="s">
        <v>8</v>
      </c>
      <c r="AL12" s="495" t="s">
        <v>33</v>
      </c>
      <c r="AM12" s="495" t="s">
        <v>34</v>
      </c>
      <c r="AN12" s="495" t="s">
        <v>35</v>
      </c>
      <c r="AO12" s="495" t="s">
        <v>36</v>
      </c>
      <c r="AP12" s="495" t="s">
        <v>37</v>
      </c>
      <c r="AQ12" s="495" t="s">
        <v>38</v>
      </c>
      <c r="AR12" s="495" t="s">
        <v>39</v>
      </c>
      <c r="AS12" s="496" t="s">
        <v>40</v>
      </c>
      <c r="AT12" s="527" t="s">
        <v>278</v>
      </c>
      <c r="AU12" s="528" t="s">
        <v>279</v>
      </c>
      <c r="AV12" s="1071"/>
      <c r="AW12" s="1095"/>
      <c r="AX12" s="1066"/>
    </row>
    <row r="13" spans="1:50" s="611" customFormat="1" ht="271.5" customHeight="1">
      <c r="A13" s="595">
        <v>9</v>
      </c>
      <c r="B13" s="596"/>
      <c r="C13" s="596"/>
      <c r="D13" s="596">
        <v>29</v>
      </c>
      <c r="E13" s="596"/>
      <c r="F13" s="596"/>
      <c r="G13" s="597"/>
      <c r="H13" s="597"/>
      <c r="I13" s="597" t="s">
        <v>280</v>
      </c>
      <c r="J13" s="598" t="s">
        <v>281</v>
      </c>
      <c r="K13" s="599" t="s">
        <v>282</v>
      </c>
      <c r="L13" s="596">
        <v>26100</v>
      </c>
      <c r="M13" s="599" t="s">
        <v>283</v>
      </c>
      <c r="N13" s="599" t="s">
        <v>284</v>
      </c>
      <c r="O13" s="600">
        <v>2000</v>
      </c>
      <c r="P13" s="600">
        <v>7000</v>
      </c>
      <c r="Q13" s="600">
        <v>7000</v>
      </c>
      <c r="R13" s="600">
        <v>7000</v>
      </c>
      <c r="S13" s="600">
        <v>3100</v>
      </c>
      <c r="T13" s="601" t="s">
        <v>285</v>
      </c>
      <c r="U13" s="602" t="s">
        <v>286</v>
      </c>
      <c r="V13" s="603">
        <v>0</v>
      </c>
      <c r="W13" s="604">
        <v>500</v>
      </c>
      <c r="X13" s="604">
        <v>700</v>
      </c>
      <c r="Y13" s="604">
        <v>700</v>
      </c>
      <c r="Z13" s="604">
        <v>700</v>
      </c>
      <c r="AA13" s="604">
        <v>700</v>
      </c>
      <c r="AB13" s="604">
        <v>700</v>
      </c>
      <c r="AC13" s="604">
        <v>700</v>
      </c>
      <c r="AD13" s="604">
        <v>700</v>
      </c>
      <c r="AE13" s="604">
        <v>700</v>
      </c>
      <c r="AF13" s="604">
        <v>700</v>
      </c>
      <c r="AG13" s="605">
        <v>200</v>
      </c>
      <c r="AH13" s="603">
        <v>0</v>
      </c>
      <c r="AI13" s="606">
        <v>531</v>
      </c>
      <c r="AJ13" s="604">
        <v>950</v>
      </c>
      <c r="AK13" s="604">
        <v>740</v>
      </c>
      <c r="AL13" s="1187">
        <v>922</v>
      </c>
      <c r="AM13" s="604">
        <v>0</v>
      </c>
      <c r="AN13" s="604">
        <v>0</v>
      </c>
      <c r="AO13" s="604">
        <v>0</v>
      </c>
      <c r="AP13" s="604">
        <v>0</v>
      </c>
      <c r="AQ13" s="604">
        <v>0</v>
      </c>
      <c r="AR13" s="604">
        <v>0</v>
      </c>
      <c r="AS13" s="605">
        <v>0</v>
      </c>
      <c r="AT13" s="603">
        <f>SUM(AH13:AR13)</f>
        <v>3143</v>
      </c>
      <c r="AU13" s="607">
        <f>AT13/Q13</f>
        <v>0.44900000000000001</v>
      </c>
      <c r="AV13" s="691" t="s">
        <v>1193</v>
      </c>
      <c r="AW13" s="609" t="s">
        <v>66</v>
      </c>
      <c r="AX13" s="610" t="s">
        <v>66</v>
      </c>
    </row>
    <row r="14" spans="1:50" s="611" customFormat="1" ht="327.75" customHeight="1">
      <c r="A14" s="595">
        <v>10</v>
      </c>
      <c r="B14" s="596"/>
      <c r="C14" s="596"/>
      <c r="D14" s="596"/>
      <c r="E14" s="596"/>
      <c r="F14" s="596"/>
      <c r="G14" s="597"/>
      <c r="H14" s="612"/>
      <c r="I14" s="677" t="s">
        <v>287</v>
      </c>
      <c r="J14" s="613" t="s">
        <v>288</v>
      </c>
      <c r="K14" s="599" t="s">
        <v>282</v>
      </c>
      <c r="L14" s="596">
        <v>100</v>
      </c>
      <c r="M14" s="599" t="s">
        <v>289</v>
      </c>
      <c r="N14" s="599" t="s">
        <v>290</v>
      </c>
      <c r="O14" s="600">
        <v>18</v>
      </c>
      <c r="P14" s="600">
        <v>25</v>
      </c>
      <c r="Q14" s="600">
        <v>25</v>
      </c>
      <c r="R14" s="600">
        <v>22</v>
      </c>
      <c r="S14" s="600">
        <v>10</v>
      </c>
      <c r="T14" s="601" t="s">
        <v>285</v>
      </c>
      <c r="U14" s="602" t="s">
        <v>291</v>
      </c>
      <c r="V14" s="614">
        <v>0</v>
      </c>
      <c r="W14" s="615">
        <v>1.0400000000000003E-2</v>
      </c>
      <c r="X14" s="615">
        <v>2.0000000000000004E-2</v>
      </c>
      <c r="Y14" s="615">
        <v>2.0000000000000004E-2</v>
      </c>
      <c r="Z14" s="615">
        <v>2.0000000000000004E-2</v>
      </c>
      <c r="AA14" s="615">
        <v>2.0000000000000004E-2</v>
      </c>
      <c r="AB14" s="615">
        <v>2.0000000000000004E-2</v>
      </c>
      <c r="AC14" s="615">
        <v>2.0000000000000004E-2</v>
      </c>
      <c r="AD14" s="615">
        <v>2.0000000000000004E-2</v>
      </c>
      <c r="AE14" s="615">
        <v>2.0000000000000004E-2</v>
      </c>
      <c r="AF14" s="615">
        <v>2.0000000000000004E-2</v>
      </c>
      <c r="AG14" s="616">
        <v>9.6000000000000026E-3</v>
      </c>
      <c r="AH14" s="603">
        <f>'Avance PDD'!O5</f>
        <v>0</v>
      </c>
      <c r="AI14" s="615">
        <f>'Avance PDD'!P5</f>
        <v>0.52400000000000013</v>
      </c>
      <c r="AJ14" s="615">
        <f>'Avance PDD'!Q5</f>
        <v>0.97200000000000031</v>
      </c>
      <c r="AK14" s="615">
        <f>'Avance PDD'!R5</f>
        <v>0.86400000000000032</v>
      </c>
      <c r="AL14" s="1188">
        <f>'Avance PDD'!S5</f>
        <v>1.0000000000000002</v>
      </c>
      <c r="AM14" s="604"/>
      <c r="AN14" s="604"/>
      <c r="AO14" s="604"/>
      <c r="AP14" s="604"/>
      <c r="AQ14" s="604"/>
      <c r="AR14" s="604"/>
      <c r="AS14" s="605"/>
      <c r="AT14" s="617">
        <f>SUM(AH14:AS14)</f>
        <v>3.3600000000000012</v>
      </c>
      <c r="AU14" s="607">
        <f t="shared" ref="AU14:AU26" si="0">AT14/Q14</f>
        <v>0.13440000000000005</v>
      </c>
      <c r="AV14" s="608" t="s">
        <v>1211</v>
      </c>
      <c r="AW14" s="609"/>
      <c r="AX14" s="618"/>
    </row>
    <row r="15" spans="1:50" s="611" customFormat="1" ht="30" customHeight="1">
      <c r="A15" s="595">
        <v>10</v>
      </c>
      <c r="B15" s="596"/>
      <c r="C15" s="596"/>
      <c r="D15" s="596">
        <v>42</v>
      </c>
      <c r="E15" s="596"/>
      <c r="F15" s="596"/>
      <c r="G15" s="597"/>
      <c r="H15" s="612"/>
      <c r="I15" s="597" t="s">
        <v>96</v>
      </c>
      <c r="J15" s="613" t="s">
        <v>292</v>
      </c>
      <c r="K15" s="599" t="s">
        <v>282</v>
      </c>
      <c r="L15" s="596">
        <v>13</v>
      </c>
      <c r="M15" s="599" t="s">
        <v>293</v>
      </c>
      <c r="N15" s="599" t="s">
        <v>294</v>
      </c>
      <c r="O15" s="600">
        <v>1</v>
      </c>
      <c r="P15" s="600">
        <v>4</v>
      </c>
      <c r="Q15" s="600">
        <v>4</v>
      </c>
      <c r="R15" s="600">
        <v>4</v>
      </c>
      <c r="S15" s="600">
        <v>0</v>
      </c>
      <c r="T15" s="601" t="s">
        <v>285</v>
      </c>
      <c r="U15" s="602" t="s">
        <v>295</v>
      </c>
      <c r="V15" s="603">
        <v>0</v>
      </c>
      <c r="W15" s="604">
        <v>0</v>
      </c>
      <c r="X15" s="604">
        <v>0</v>
      </c>
      <c r="Y15" s="604">
        <v>0</v>
      </c>
      <c r="Z15" s="604">
        <v>0</v>
      </c>
      <c r="AA15" s="604">
        <v>0</v>
      </c>
      <c r="AB15" s="604">
        <v>0</v>
      </c>
      <c r="AC15" s="604">
        <v>1</v>
      </c>
      <c r="AD15" s="604">
        <v>0</v>
      </c>
      <c r="AE15" s="604">
        <v>2</v>
      </c>
      <c r="AF15" s="604">
        <v>0</v>
      </c>
      <c r="AG15" s="605">
        <v>1</v>
      </c>
      <c r="AH15" s="603">
        <v>0</v>
      </c>
      <c r="AI15" s="604">
        <v>0</v>
      </c>
      <c r="AJ15" s="604">
        <v>0</v>
      </c>
      <c r="AK15" s="604">
        <v>0</v>
      </c>
      <c r="AL15" s="604">
        <v>0</v>
      </c>
      <c r="AM15" s="604"/>
      <c r="AN15" s="604"/>
      <c r="AO15" s="604"/>
      <c r="AP15" s="604"/>
      <c r="AQ15" s="604"/>
      <c r="AR15" s="604"/>
      <c r="AS15" s="605"/>
      <c r="AT15" s="603">
        <f t="shared" ref="AT15:AT26" si="1">SUM(AH15:AS15)</f>
        <v>0</v>
      </c>
      <c r="AU15" s="619">
        <f t="shared" si="0"/>
        <v>0</v>
      </c>
      <c r="AV15" s="608" t="s">
        <v>296</v>
      </c>
      <c r="AW15" s="609"/>
      <c r="AX15" s="618"/>
    </row>
    <row r="16" spans="1:50" s="611" customFormat="1" ht="324.75" customHeight="1">
      <c r="A16" s="595"/>
      <c r="B16" s="596"/>
      <c r="C16" s="596"/>
      <c r="D16" s="596"/>
      <c r="E16" s="596"/>
      <c r="F16" s="596" t="s">
        <v>14</v>
      </c>
      <c r="G16" s="597"/>
      <c r="H16" s="612"/>
      <c r="I16" s="677" t="s">
        <v>1194</v>
      </c>
      <c r="J16" s="613" t="s">
        <v>297</v>
      </c>
      <c r="K16" s="599" t="s">
        <v>282</v>
      </c>
      <c r="L16" s="596" t="s">
        <v>298</v>
      </c>
      <c r="M16" s="599" t="s">
        <v>299</v>
      </c>
      <c r="N16" s="599" t="s">
        <v>290</v>
      </c>
      <c r="O16" s="600"/>
      <c r="P16" s="600"/>
      <c r="Q16" s="600">
        <v>10000</v>
      </c>
      <c r="R16" s="600"/>
      <c r="S16" s="600"/>
      <c r="T16" s="601" t="s">
        <v>285</v>
      </c>
      <c r="U16" s="602" t="s">
        <v>300</v>
      </c>
      <c r="V16" s="603">
        <v>0</v>
      </c>
      <c r="W16" s="604">
        <v>800</v>
      </c>
      <c r="X16" s="604">
        <v>932</v>
      </c>
      <c r="Y16" s="604">
        <v>934</v>
      </c>
      <c r="Z16" s="604">
        <v>934</v>
      </c>
      <c r="AA16" s="604">
        <v>932</v>
      </c>
      <c r="AB16" s="604">
        <v>934</v>
      </c>
      <c r="AC16" s="604">
        <v>934</v>
      </c>
      <c r="AD16" s="604">
        <v>932</v>
      </c>
      <c r="AE16" s="604">
        <v>934</v>
      </c>
      <c r="AF16" s="604">
        <v>934</v>
      </c>
      <c r="AG16" s="605">
        <v>800</v>
      </c>
      <c r="AH16" s="603">
        <v>0</v>
      </c>
      <c r="AI16" s="604">
        <v>422</v>
      </c>
      <c r="AJ16" s="604">
        <v>1172</v>
      </c>
      <c r="AK16" s="604">
        <v>869</v>
      </c>
      <c r="AL16" s="604">
        <v>1113</v>
      </c>
      <c r="AM16" s="604"/>
      <c r="AN16" s="604"/>
      <c r="AO16" s="604"/>
      <c r="AP16" s="604"/>
      <c r="AQ16" s="604"/>
      <c r="AR16" s="604"/>
      <c r="AS16" s="605"/>
      <c r="AT16" s="603">
        <f t="shared" si="1"/>
        <v>3576</v>
      </c>
      <c r="AU16" s="619">
        <f>AT16/Q16</f>
        <v>0.35759999999999997</v>
      </c>
      <c r="AV16" s="608" t="s">
        <v>1208</v>
      </c>
      <c r="AW16" s="620" t="s">
        <v>1195</v>
      </c>
      <c r="AX16" s="621" t="s">
        <v>1166</v>
      </c>
    </row>
    <row r="17" spans="1:50" s="611" customFormat="1" ht="291" customHeight="1">
      <c r="A17" s="595"/>
      <c r="B17" s="596"/>
      <c r="C17" s="596"/>
      <c r="D17" s="596"/>
      <c r="E17" s="596"/>
      <c r="F17" s="596" t="s">
        <v>14</v>
      </c>
      <c r="G17" s="597"/>
      <c r="H17" s="612"/>
      <c r="I17" s="677" t="s">
        <v>1194</v>
      </c>
      <c r="J17" s="613" t="s">
        <v>230</v>
      </c>
      <c r="K17" s="599" t="s">
        <v>282</v>
      </c>
      <c r="L17" s="596" t="s">
        <v>298</v>
      </c>
      <c r="M17" s="599" t="s">
        <v>301</v>
      </c>
      <c r="N17" s="599" t="s">
        <v>290</v>
      </c>
      <c r="O17" s="600"/>
      <c r="P17" s="600"/>
      <c r="Q17" s="600">
        <v>4000</v>
      </c>
      <c r="R17" s="600"/>
      <c r="S17" s="600"/>
      <c r="T17" s="601" t="s">
        <v>285</v>
      </c>
      <c r="U17" s="602" t="s">
        <v>302</v>
      </c>
      <c r="V17" s="603">
        <v>0</v>
      </c>
      <c r="W17" s="604">
        <v>250</v>
      </c>
      <c r="X17" s="604">
        <v>388</v>
      </c>
      <c r="Y17" s="604">
        <v>389</v>
      </c>
      <c r="Z17" s="604">
        <v>389</v>
      </c>
      <c r="AA17" s="604">
        <v>389</v>
      </c>
      <c r="AB17" s="604">
        <v>389</v>
      </c>
      <c r="AC17" s="604">
        <v>389</v>
      </c>
      <c r="AD17" s="604">
        <v>389</v>
      </c>
      <c r="AE17" s="604">
        <v>389</v>
      </c>
      <c r="AF17" s="604">
        <v>389</v>
      </c>
      <c r="AG17" s="605">
        <v>250</v>
      </c>
      <c r="AH17" s="603">
        <v>0</v>
      </c>
      <c r="AI17" s="604">
        <v>165</v>
      </c>
      <c r="AJ17" s="604">
        <v>370</v>
      </c>
      <c r="AK17" s="604">
        <v>279</v>
      </c>
      <c r="AL17" s="604">
        <v>456</v>
      </c>
      <c r="AM17" s="604"/>
      <c r="AN17" s="604"/>
      <c r="AO17" s="604"/>
      <c r="AP17" s="604"/>
      <c r="AQ17" s="604"/>
      <c r="AR17" s="604"/>
      <c r="AS17" s="605"/>
      <c r="AT17" s="603">
        <f t="shared" si="1"/>
        <v>1270</v>
      </c>
      <c r="AU17" s="619">
        <f>AT17/Q17</f>
        <v>0.3175</v>
      </c>
      <c r="AV17" s="608" t="s">
        <v>1207</v>
      </c>
      <c r="AW17" s="620" t="s">
        <v>1196</v>
      </c>
      <c r="AX17" s="621" t="s">
        <v>1197</v>
      </c>
    </row>
    <row r="18" spans="1:50" s="611" customFormat="1" ht="108" customHeight="1">
      <c r="A18" s="595"/>
      <c r="B18" s="596"/>
      <c r="C18" s="596"/>
      <c r="D18" s="596"/>
      <c r="E18" s="596"/>
      <c r="F18" s="596" t="s">
        <v>14</v>
      </c>
      <c r="G18" s="597"/>
      <c r="H18" s="612"/>
      <c r="I18" s="597" t="s">
        <v>1194</v>
      </c>
      <c r="J18" s="613" t="s">
        <v>303</v>
      </c>
      <c r="K18" s="599" t="s">
        <v>282</v>
      </c>
      <c r="L18" s="596" t="s">
        <v>298</v>
      </c>
      <c r="M18" s="599" t="s">
        <v>304</v>
      </c>
      <c r="N18" s="599" t="s">
        <v>305</v>
      </c>
      <c r="O18" s="600"/>
      <c r="P18" s="600"/>
      <c r="Q18" s="600">
        <v>2</v>
      </c>
      <c r="R18" s="600"/>
      <c r="S18" s="600"/>
      <c r="T18" s="601" t="s">
        <v>306</v>
      </c>
      <c r="U18" s="602" t="s">
        <v>307</v>
      </c>
      <c r="V18" s="603">
        <v>0</v>
      </c>
      <c r="W18" s="604">
        <v>1</v>
      </c>
      <c r="X18" s="604">
        <v>0</v>
      </c>
      <c r="Y18" s="604">
        <v>0</v>
      </c>
      <c r="Z18" s="604">
        <v>0</v>
      </c>
      <c r="AA18" s="604">
        <v>0</v>
      </c>
      <c r="AB18" s="604">
        <v>0</v>
      </c>
      <c r="AC18" s="604">
        <v>1</v>
      </c>
      <c r="AD18" s="604">
        <v>0</v>
      </c>
      <c r="AE18" s="604">
        <v>0</v>
      </c>
      <c r="AF18" s="604">
        <v>0</v>
      </c>
      <c r="AG18" s="605">
        <v>0</v>
      </c>
      <c r="AH18" s="603">
        <v>0</v>
      </c>
      <c r="AI18" s="604">
        <v>1</v>
      </c>
      <c r="AJ18" s="604">
        <v>0</v>
      </c>
      <c r="AK18" s="604">
        <v>0</v>
      </c>
      <c r="AL18" s="604">
        <v>0</v>
      </c>
      <c r="AM18" s="604"/>
      <c r="AN18" s="604"/>
      <c r="AO18" s="604"/>
      <c r="AP18" s="604"/>
      <c r="AQ18" s="604"/>
      <c r="AR18" s="604"/>
      <c r="AS18" s="605"/>
      <c r="AT18" s="603">
        <f t="shared" si="1"/>
        <v>1</v>
      </c>
      <c r="AU18" s="619">
        <f t="shared" si="0"/>
        <v>0.5</v>
      </c>
      <c r="AV18" s="608" t="s">
        <v>308</v>
      </c>
      <c r="AW18" s="609"/>
      <c r="AX18" s="618"/>
    </row>
    <row r="19" spans="1:50" s="611" customFormat="1" ht="129.75" customHeight="1">
      <c r="A19" s="595"/>
      <c r="B19" s="596"/>
      <c r="C19" s="596"/>
      <c r="D19" s="596"/>
      <c r="E19" s="596"/>
      <c r="F19" s="596" t="s">
        <v>14</v>
      </c>
      <c r="G19" s="597"/>
      <c r="H19" s="612"/>
      <c r="I19" s="597" t="s">
        <v>1194</v>
      </c>
      <c r="J19" s="613" t="s">
        <v>309</v>
      </c>
      <c r="K19" s="599" t="s">
        <v>282</v>
      </c>
      <c r="L19" s="596" t="s">
        <v>298</v>
      </c>
      <c r="M19" s="599" t="s">
        <v>310</v>
      </c>
      <c r="N19" s="599" t="s">
        <v>311</v>
      </c>
      <c r="O19" s="600"/>
      <c r="P19" s="600"/>
      <c r="Q19" s="600">
        <v>2</v>
      </c>
      <c r="R19" s="600"/>
      <c r="S19" s="600"/>
      <c r="T19" s="601" t="s">
        <v>306</v>
      </c>
      <c r="U19" s="602" t="s">
        <v>312</v>
      </c>
      <c r="V19" s="603">
        <v>0</v>
      </c>
      <c r="W19" s="604">
        <v>0</v>
      </c>
      <c r="X19" s="604">
        <v>0</v>
      </c>
      <c r="Y19" s="604">
        <v>0</v>
      </c>
      <c r="Z19" s="604">
        <v>0</v>
      </c>
      <c r="AA19" s="604">
        <v>1</v>
      </c>
      <c r="AB19" s="604">
        <v>0</v>
      </c>
      <c r="AC19" s="604">
        <v>0</v>
      </c>
      <c r="AD19" s="604">
        <v>0</v>
      </c>
      <c r="AE19" s="604">
        <v>0</v>
      </c>
      <c r="AF19" s="604">
        <v>0</v>
      </c>
      <c r="AG19" s="605">
        <v>1</v>
      </c>
      <c r="AH19" s="603">
        <v>0</v>
      </c>
      <c r="AI19" s="606">
        <v>0</v>
      </c>
      <c r="AJ19" s="604">
        <v>0</v>
      </c>
      <c r="AK19" s="604">
        <v>0</v>
      </c>
      <c r="AL19" s="604">
        <v>0</v>
      </c>
      <c r="AM19" s="604"/>
      <c r="AN19" s="604"/>
      <c r="AO19" s="604"/>
      <c r="AP19" s="604"/>
      <c r="AQ19" s="604"/>
      <c r="AR19" s="604"/>
      <c r="AS19" s="605"/>
      <c r="AT19" s="603">
        <f t="shared" si="1"/>
        <v>0</v>
      </c>
      <c r="AU19" s="619">
        <f t="shared" si="0"/>
        <v>0</v>
      </c>
      <c r="AV19" s="608" t="s">
        <v>313</v>
      </c>
      <c r="AW19" s="609"/>
      <c r="AX19" s="618"/>
    </row>
    <row r="20" spans="1:50" s="611" customFormat="1" ht="154.5" customHeight="1">
      <c r="A20" s="595"/>
      <c r="B20" s="596"/>
      <c r="C20" s="596"/>
      <c r="D20" s="596"/>
      <c r="E20" s="596"/>
      <c r="F20" s="596" t="s">
        <v>14</v>
      </c>
      <c r="G20" s="597"/>
      <c r="H20" s="612"/>
      <c r="I20" s="597" t="s">
        <v>144</v>
      </c>
      <c r="J20" s="613" t="s">
        <v>314</v>
      </c>
      <c r="K20" s="599" t="s">
        <v>282</v>
      </c>
      <c r="L20" s="596" t="s">
        <v>298</v>
      </c>
      <c r="M20" s="599" t="s">
        <v>304</v>
      </c>
      <c r="N20" s="599" t="s">
        <v>315</v>
      </c>
      <c r="O20" s="600"/>
      <c r="P20" s="600"/>
      <c r="Q20" s="600">
        <v>4</v>
      </c>
      <c r="R20" s="600"/>
      <c r="S20" s="600"/>
      <c r="T20" s="601" t="s">
        <v>316</v>
      </c>
      <c r="U20" s="602" t="s">
        <v>317</v>
      </c>
      <c r="V20" s="603">
        <v>0</v>
      </c>
      <c r="W20" s="604">
        <v>0</v>
      </c>
      <c r="X20" s="604">
        <v>1</v>
      </c>
      <c r="Y20" s="604">
        <v>0</v>
      </c>
      <c r="Z20" s="604">
        <v>0</v>
      </c>
      <c r="AA20" s="604">
        <v>1</v>
      </c>
      <c r="AB20" s="604">
        <v>0</v>
      </c>
      <c r="AC20" s="604">
        <v>0</v>
      </c>
      <c r="AD20" s="604">
        <v>1</v>
      </c>
      <c r="AE20" s="604">
        <v>0</v>
      </c>
      <c r="AF20" s="604">
        <v>0</v>
      </c>
      <c r="AG20" s="605">
        <v>1</v>
      </c>
      <c r="AH20" s="603">
        <v>0</v>
      </c>
      <c r="AI20" s="604">
        <v>0</v>
      </c>
      <c r="AJ20" s="604">
        <v>1</v>
      </c>
      <c r="AK20" s="604">
        <v>0</v>
      </c>
      <c r="AL20" s="604">
        <v>0</v>
      </c>
      <c r="AM20" s="604"/>
      <c r="AN20" s="604"/>
      <c r="AO20" s="604"/>
      <c r="AP20" s="604"/>
      <c r="AQ20" s="604"/>
      <c r="AR20" s="604"/>
      <c r="AS20" s="605"/>
      <c r="AT20" s="603">
        <f t="shared" si="1"/>
        <v>1</v>
      </c>
      <c r="AU20" s="619">
        <f t="shared" si="0"/>
        <v>0.25</v>
      </c>
      <c r="AV20" s="608" t="s">
        <v>1198</v>
      </c>
      <c r="AW20" s="609"/>
      <c r="AX20" s="618"/>
    </row>
    <row r="21" spans="1:50" s="611" customFormat="1" ht="226.5" customHeight="1">
      <c r="A21" s="595"/>
      <c r="B21" s="596"/>
      <c r="C21" s="596"/>
      <c r="D21" s="596"/>
      <c r="E21" s="596"/>
      <c r="F21" s="596" t="s">
        <v>14</v>
      </c>
      <c r="G21" s="597"/>
      <c r="H21" s="612"/>
      <c r="I21" s="597" t="s">
        <v>144</v>
      </c>
      <c r="J21" s="613" t="s">
        <v>318</v>
      </c>
      <c r="K21" s="599" t="s">
        <v>319</v>
      </c>
      <c r="L21" s="596" t="s">
        <v>298</v>
      </c>
      <c r="M21" s="599" t="s">
        <v>320</v>
      </c>
      <c r="N21" s="599" t="s">
        <v>321</v>
      </c>
      <c r="O21" s="600"/>
      <c r="P21" s="600"/>
      <c r="Q21" s="600">
        <v>1</v>
      </c>
      <c r="R21" s="600"/>
      <c r="S21" s="600"/>
      <c r="T21" s="601" t="s">
        <v>322</v>
      </c>
      <c r="U21" s="622" t="s">
        <v>1199</v>
      </c>
      <c r="V21" s="603">
        <v>0</v>
      </c>
      <c r="W21" s="604">
        <v>0</v>
      </c>
      <c r="X21" s="604">
        <v>0</v>
      </c>
      <c r="Y21" s="604">
        <v>0</v>
      </c>
      <c r="Z21" s="604">
        <v>0</v>
      </c>
      <c r="AA21" s="604">
        <v>0</v>
      </c>
      <c r="AB21" s="604">
        <v>0</v>
      </c>
      <c r="AC21" s="604">
        <v>0</v>
      </c>
      <c r="AD21" s="604">
        <v>1</v>
      </c>
      <c r="AE21" s="604">
        <v>0</v>
      </c>
      <c r="AF21" s="604">
        <v>0</v>
      </c>
      <c r="AG21" s="605">
        <v>0</v>
      </c>
      <c r="AH21" s="603">
        <v>0</v>
      </c>
      <c r="AI21" s="604">
        <v>0</v>
      </c>
      <c r="AJ21" s="604">
        <v>0</v>
      </c>
      <c r="AK21" s="604">
        <v>0</v>
      </c>
      <c r="AL21" s="604">
        <v>0</v>
      </c>
      <c r="AM21" s="604"/>
      <c r="AN21" s="604"/>
      <c r="AO21" s="604"/>
      <c r="AP21" s="604"/>
      <c r="AQ21" s="604"/>
      <c r="AR21" s="604"/>
      <c r="AS21" s="605"/>
      <c r="AT21" s="603">
        <f t="shared" si="1"/>
        <v>0</v>
      </c>
      <c r="AU21" s="619">
        <f t="shared" si="0"/>
        <v>0</v>
      </c>
      <c r="AV21" s="692" t="s">
        <v>313</v>
      </c>
      <c r="AW21" s="609"/>
      <c r="AX21" s="618"/>
    </row>
    <row r="22" spans="1:50" s="611" customFormat="1" ht="226.5" customHeight="1">
      <c r="A22" s="595"/>
      <c r="B22" s="596"/>
      <c r="C22" s="596"/>
      <c r="D22" s="596"/>
      <c r="E22" s="596"/>
      <c r="F22" s="596" t="s">
        <v>14</v>
      </c>
      <c r="G22" s="597"/>
      <c r="H22" s="612"/>
      <c r="I22" s="597" t="s">
        <v>144</v>
      </c>
      <c r="J22" s="623" t="s">
        <v>323</v>
      </c>
      <c r="K22" s="599" t="s">
        <v>319</v>
      </c>
      <c r="L22" s="596" t="s">
        <v>298</v>
      </c>
      <c r="M22" s="599" t="s">
        <v>320</v>
      </c>
      <c r="N22" s="599" t="s">
        <v>1200</v>
      </c>
      <c r="O22" s="600"/>
      <c r="P22" s="600"/>
      <c r="Q22" s="600">
        <v>1</v>
      </c>
      <c r="R22" s="600"/>
      <c r="S22" s="600"/>
      <c r="T22" s="601" t="s">
        <v>322</v>
      </c>
      <c r="U22" s="602" t="s">
        <v>324</v>
      </c>
      <c r="V22" s="603">
        <v>0</v>
      </c>
      <c r="W22" s="604">
        <v>0</v>
      </c>
      <c r="X22" s="604">
        <v>0</v>
      </c>
      <c r="Y22" s="604">
        <v>0</v>
      </c>
      <c r="Z22" s="604">
        <v>0</v>
      </c>
      <c r="AA22" s="604">
        <v>0</v>
      </c>
      <c r="AB22" s="604">
        <v>0</v>
      </c>
      <c r="AC22" s="604">
        <v>0</v>
      </c>
      <c r="AD22" s="604">
        <v>1</v>
      </c>
      <c r="AE22" s="604">
        <v>0</v>
      </c>
      <c r="AF22" s="604">
        <v>0</v>
      </c>
      <c r="AG22" s="605">
        <v>0</v>
      </c>
      <c r="AH22" s="603">
        <v>0</v>
      </c>
      <c r="AI22" s="604">
        <v>0</v>
      </c>
      <c r="AJ22" s="604">
        <v>0</v>
      </c>
      <c r="AK22" s="604">
        <v>0</v>
      </c>
      <c r="AL22" s="604">
        <v>0</v>
      </c>
      <c r="AM22" s="604"/>
      <c r="AN22" s="604"/>
      <c r="AO22" s="604"/>
      <c r="AP22" s="604"/>
      <c r="AQ22" s="604"/>
      <c r="AR22" s="604"/>
      <c r="AS22" s="605"/>
      <c r="AT22" s="603">
        <f t="shared" si="1"/>
        <v>0</v>
      </c>
      <c r="AU22" s="619">
        <f t="shared" si="0"/>
        <v>0</v>
      </c>
      <c r="AV22" s="692" t="s">
        <v>313</v>
      </c>
      <c r="AW22" s="609"/>
      <c r="AX22" s="618"/>
    </row>
    <row r="23" spans="1:50" s="611" customFormat="1" ht="245.25" customHeight="1">
      <c r="A23" s="595"/>
      <c r="B23" s="596"/>
      <c r="C23" s="596"/>
      <c r="D23" s="596"/>
      <c r="E23" s="596"/>
      <c r="F23" s="596"/>
      <c r="G23" s="597"/>
      <c r="H23" s="612"/>
      <c r="I23" s="1195" t="s">
        <v>144</v>
      </c>
      <c r="J23" s="613" t="s">
        <v>325</v>
      </c>
      <c r="K23" s="599" t="s">
        <v>319</v>
      </c>
      <c r="L23" s="596" t="s">
        <v>298</v>
      </c>
      <c r="M23" s="599" t="s">
        <v>326</v>
      </c>
      <c r="N23" s="599" t="s">
        <v>327</v>
      </c>
      <c r="O23" s="600"/>
      <c r="P23" s="600"/>
      <c r="Q23" s="600">
        <v>1</v>
      </c>
      <c r="R23" s="600"/>
      <c r="S23" s="600"/>
      <c r="T23" s="601" t="s">
        <v>322</v>
      </c>
      <c r="U23" s="602" t="s">
        <v>1201</v>
      </c>
      <c r="V23" s="603">
        <v>0</v>
      </c>
      <c r="W23" s="604">
        <v>0</v>
      </c>
      <c r="X23" s="604">
        <v>1</v>
      </c>
      <c r="Y23" s="604">
        <v>0</v>
      </c>
      <c r="Z23" s="604">
        <v>0</v>
      </c>
      <c r="AA23" s="604">
        <v>0</v>
      </c>
      <c r="AB23" s="604">
        <v>0</v>
      </c>
      <c r="AC23" s="604">
        <v>0</v>
      </c>
      <c r="AD23" s="604">
        <v>0</v>
      </c>
      <c r="AE23" s="604">
        <v>0</v>
      </c>
      <c r="AF23" s="604">
        <v>0</v>
      </c>
      <c r="AG23" s="605">
        <v>0</v>
      </c>
      <c r="AH23" s="603">
        <v>0</v>
      </c>
      <c r="AI23" s="604">
        <v>0</v>
      </c>
      <c r="AJ23" s="624">
        <v>0.5</v>
      </c>
      <c r="AK23" s="624">
        <v>0.3</v>
      </c>
      <c r="AL23" s="604" t="s">
        <v>328</v>
      </c>
      <c r="AM23" s="624"/>
      <c r="AN23" s="604"/>
      <c r="AO23" s="604"/>
      <c r="AP23" s="604"/>
      <c r="AQ23" s="604"/>
      <c r="AR23" s="604"/>
      <c r="AS23" s="605"/>
      <c r="AT23" s="617">
        <f t="shared" si="1"/>
        <v>0.8</v>
      </c>
      <c r="AU23" s="619">
        <f t="shared" si="0"/>
        <v>0.8</v>
      </c>
      <c r="AV23" s="608" t="s">
        <v>1209</v>
      </c>
      <c r="AW23" s="609" t="s">
        <v>1202</v>
      </c>
      <c r="AX23" s="621" t="s">
        <v>1203</v>
      </c>
    </row>
    <row r="24" spans="1:50" s="611" customFormat="1" ht="294.75" customHeight="1">
      <c r="A24" s="595"/>
      <c r="B24" s="596"/>
      <c r="C24" s="596"/>
      <c r="D24" s="596"/>
      <c r="E24" s="596"/>
      <c r="F24" s="596"/>
      <c r="G24" s="597" t="s">
        <v>329</v>
      </c>
      <c r="H24" s="612" t="s">
        <v>256</v>
      </c>
      <c r="I24" s="625" t="s">
        <v>330</v>
      </c>
      <c r="J24" s="626" t="s">
        <v>331</v>
      </c>
      <c r="K24" s="599" t="s">
        <v>319</v>
      </c>
      <c r="L24" s="596"/>
      <c r="M24" s="599" t="s">
        <v>289</v>
      </c>
      <c r="N24" s="627" t="s">
        <v>332</v>
      </c>
      <c r="O24" s="600"/>
      <c r="P24" s="600"/>
      <c r="Q24" s="628">
        <v>1</v>
      </c>
      <c r="R24" s="600"/>
      <c r="S24" s="600"/>
      <c r="T24" s="601"/>
      <c r="U24" s="602" t="s">
        <v>333</v>
      </c>
      <c r="V24" s="603">
        <v>0</v>
      </c>
      <c r="W24" s="604">
        <v>0</v>
      </c>
      <c r="X24" s="629">
        <v>0.25</v>
      </c>
      <c r="Y24" s="604">
        <v>0</v>
      </c>
      <c r="Z24" s="604">
        <v>0</v>
      </c>
      <c r="AA24" s="629">
        <v>0.25</v>
      </c>
      <c r="AB24" s="604">
        <v>0</v>
      </c>
      <c r="AC24" s="604">
        <v>0</v>
      </c>
      <c r="AD24" s="629">
        <v>0.25</v>
      </c>
      <c r="AE24" s="604">
        <v>0</v>
      </c>
      <c r="AF24" s="604">
        <v>0</v>
      </c>
      <c r="AG24" s="629">
        <v>0.25</v>
      </c>
      <c r="AH24" s="603">
        <v>0</v>
      </c>
      <c r="AI24" s="604">
        <v>0</v>
      </c>
      <c r="AJ24" s="629">
        <v>0.25</v>
      </c>
      <c r="AK24" s="604">
        <v>0</v>
      </c>
      <c r="AL24" s="604">
        <v>0</v>
      </c>
      <c r="AM24" s="604"/>
      <c r="AN24" s="604"/>
      <c r="AO24" s="604"/>
      <c r="AP24" s="604"/>
      <c r="AQ24" s="604"/>
      <c r="AR24" s="604"/>
      <c r="AS24" s="605"/>
      <c r="AT24" s="1196">
        <f t="shared" si="1"/>
        <v>0.25</v>
      </c>
      <c r="AU24" s="619">
        <f t="shared" si="0"/>
        <v>0.25</v>
      </c>
      <c r="AV24" s="630" t="s">
        <v>1204</v>
      </c>
      <c r="AW24" s="609"/>
      <c r="AX24" s="618"/>
    </row>
    <row r="25" spans="1:50" s="611" customFormat="1" ht="57" customHeight="1">
      <c r="A25" s="595"/>
      <c r="B25" s="596"/>
      <c r="C25" s="596"/>
      <c r="D25" s="596"/>
      <c r="E25" s="596"/>
      <c r="F25" s="596"/>
      <c r="G25" s="597" t="s">
        <v>329</v>
      </c>
      <c r="H25" s="612" t="s">
        <v>256</v>
      </c>
      <c r="I25" s="625" t="s">
        <v>334</v>
      </c>
      <c r="J25" s="626" t="s">
        <v>335</v>
      </c>
      <c r="K25" s="599" t="s">
        <v>319</v>
      </c>
      <c r="L25" s="596"/>
      <c r="M25" s="599" t="s">
        <v>289</v>
      </c>
      <c r="N25" s="627" t="s">
        <v>336</v>
      </c>
      <c r="O25" s="600"/>
      <c r="P25" s="600"/>
      <c r="Q25" s="628">
        <v>1</v>
      </c>
      <c r="R25" s="600"/>
      <c r="S25" s="600"/>
      <c r="T25" s="601"/>
      <c r="U25" s="602" t="s">
        <v>337</v>
      </c>
      <c r="V25" s="603">
        <v>0</v>
      </c>
      <c r="W25" s="604">
        <v>0</v>
      </c>
      <c r="X25" s="631">
        <v>0</v>
      </c>
      <c r="Y25" s="604">
        <v>0</v>
      </c>
      <c r="Z25" s="604">
        <v>0</v>
      </c>
      <c r="AA25" s="631">
        <v>0</v>
      </c>
      <c r="AB25" s="604">
        <v>1</v>
      </c>
      <c r="AC25" s="604">
        <v>0</v>
      </c>
      <c r="AD25" s="631">
        <v>0</v>
      </c>
      <c r="AE25" s="604">
        <v>0</v>
      </c>
      <c r="AF25" s="604">
        <v>0</v>
      </c>
      <c r="AG25" s="605">
        <v>0</v>
      </c>
      <c r="AH25" s="603">
        <v>0</v>
      </c>
      <c r="AI25" s="604">
        <v>0</v>
      </c>
      <c r="AJ25" s="604">
        <v>0</v>
      </c>
      <c r="AK25" s="604">
        <v>0</v>
      </c>
      <c r="AL25" s="604">
        <v>0</v>
      </c>
      <c r="AM25" s="604"/>
      <c r="AN25" s="604"/>
      <c r="AO25" s="604"/>
      <c r="AP25" s="604"/>
      <c r="AQ25" s="604"/>
      <c r="AR25" s="604"/>
      <c r="AS25" s="605"/>
      <c r="AT25" s="603">
        <f t="shared" si="1"/>
        <v>0</v>
      </c>
      <c r="AU25" s="619">
        <f t="shared" si="0"/>
        <v>0</v>
      </c>
      <c r="AV25" s="693" t="s">
        <v>313</v>
      </c>
      <c r="AW25" s="609"/>
      <c r="AX25" s="618"/>
    </row>
    <row r="26" spans="1:50" s="611" customFormat="1" ht="408.75" customHeight="1">
      <c r="A26" s="632"/>
      <c r="B26" s="633"/>
      <c r="C26" s="633"/>
      <c r="D26" s="633"/>
      <c r="E26" s="633"/>
      <c r="F26" s="633"/>
      <c r="G26" s="634" t="s">
        <v>329</v>
      </c>
      <c r="H26" s="635" t="s">
        <v>256</v>
      </c>
      <c r="I26" s="636" t="s">
        <v>338</v>
      </c>
      <c r="J26" s="637" t="s">
        <v>339</v>
      </c>
      <c r="K26" s="638" t="s">
        <v>319</v>
      </c>
      <c r="L26" s="633" t="s">
        <v>298</v>
      </c>
      <c r="M26" s="638" t="s">
        <v>340</v>
      </c>
      <c r="N26" s="639" t="s">
        <v>341</v>
      </c>
      <c r="O26" s="640"/>
      <c r="P26" s="640"/>
      <c r="Q26" s="641">
        <v>4</v>
      </c>
      <c r="R26" s="640"/>
      <c r="S26" s="640"/>
      <c r="T26" s="642" t="s">
        <v>316</v>
      </c>
      <c r="U26" s="643" t="s">
        <v>1205</v>
      </c>
      <c r="V26" s="644">
        <v>0</v>
      </c>
      <c r="W26" s="645">
        <v>0</v>
      </c>
      <c r="X26" s="646">
        <v>1</v>
      </c>
      <c r="Y26" s="645">
        <v>0</v>
      </c>
      <c r="Z26" s="645">
        <v>0</v>
      </c>
      <c r="AA26" s="646">
        <v>1</v>
      </c>
      <c r="AB26" s="645">
        <v>0</v>
      </c>
      <c r="AC26" s="645">
        <v>0</v>
      </c>
      <c r="AD26" s="646">
        <v>1</v>
      </c>
      <c r="AE26" s="645">
        <v>0</v>
      </c>
      <c r="AF26" s="645">
        <v>0</v>
      </c>
      <c r="AG26" s="647">
        <v>1</v>
      </c>
      <c r="AH26" s="644">
        <v>0</v>
      </c>
      <c r="AI26" s="645">
        <v>0</v>
      </c>
      <c r="AJ26" s="645">
        <v>1</v>
      </c>
      <c r="AK26" s="645">
        <v>0</v>
      </c>
      <c r="AL26" s="645">
        <v>0</v>
      </c>
      <c r="AM26" s="645"/>
      <c r="AN26" s="645"/>
      <c r="AO26" s="645"/>
      <c r="AP26" s="645"/>
      <c r="AQ26" s="645"/>
      <c r="AR26" s="645"/>
      <c r="AS26" s="647"/>
      <c r="AT26" s="644">
        <f t="shared" si="1"/>
        <v>1</v>
      </c>
      <c r="AU26" s="648">
        <f t="shared" si="0"/>
        <v>0.25</v>
      </c>
      <c r="AV26" s="694" t="s">
        <v>1167</v>
      </c>
      <c r="AW26" s="649"/>
      <c r="AX26" s="650"/>
    </row>
    <row r="27" spans="1:50">
      <c r="A27" s="1114" t="s">
        <v>95</v>
      </c>
      <c r="B27" s="1115"/>
      <c r="C27" s="1115"/>
      <c r="D27" s="1115"/>
      <c r="E27" s="1115"/>
      <c r="F27" s="1115"/>
      <c r="G27" s="1115"/>
      <c r="H27" s="1115"/>
      <c r="I27" s="1115"/>
      <c r="J27" s="1115"/>
      <c r="K27" s="1115"/>
      <c r="L27" s="1115"/>
      <c r="M27" s="1115"/>
      <c r="N27" s="1115"/>
      <c r="O27" s="1115"/>
      <c r="P27" s="1115"/>
      <c r="Q27" s="1115"/>
      <c r="R27" s="1115"/>
      <c r="S27" s="1115"/>
      <c r="T27" s="1115"/>
      <c r="U27" s="1115"/>
      <c r="V27" s="1115"/>
      <c r="W27" s="1115"/>
      <c r="X27" s="1115"/>
      <c r="Y27" s="1115"/>
      <c r="Z27" s="1115"/>
      <c r="AA27" s="1115"/>
      <c r="AB27" s="1115"/>
      <c r="AC27" s="1115"/>
      <c r="AD27" s="1115"/>
      <c r="AE27" s="1115"/>
      <c r="AF27" s="1115"/>
      <c r="AG27" s="1115"/>
      <c r="AH27" s="1115"/>
      <c r="AI27" s="1115"/>
      <c r="AJ27" s="1115"/>
      <c r="AK27" s="1115"/>
      <c r="AL27" s="1115"/>
      <c r="AM27" s="1115"/>
      <c r="AN27" s="1115"/>
      <c r="AO27" s="1115"/>
      <c r="AP27" s="1115"/>
      <c r="AQ27" s="1115"/>
      <c r="AR27" s="1115"/>
      <c r="AS27" s="1115"/>
      <c r="AT27" s="1115"/>
      <c r="AU27" s="1115"/>
      <c r="AV27" s="1115"/>
      <c r="AW27" s="1115"/>
      <c r="AX27" s="1116"/>
    </row>
    <row r="28" spans="1:50" ht="78.75" customHeight="1">
      <c r="A28" s="1133" t="s">
        <v>342</v>
      </c>
      <c r="B28" s="1134"/>
      <c r="C28" s="1135"/>
      <c r="D28" s="1092" t="s">
        <v>343</v>
      </c>
      <c r="E28" s="1093"/>
      <c r="F28" s="1093"/>
      <c r="G28" s="1093"/>
      <c r="H28" s="1093"/>
      <c r="I28" s="1094"/>
      <c r="J28" s="1102" t="s">
        <v>1206</v>
      </c>
      <c r="K28" s="1103"/>
      <c r="L28" s="1103"/>
      <c r="M28" s="1103"/>
      <c r="N28" s="1103"/>
      <c r="O28" s="1104"/>
      <c r="P28" s="1092" t="s">
        <v>343</v>
      </c>
      <c r="Q28" s="1093"/>
      <c r="R28" s="1093"/>
      <c r="S28" s="1093"/>
      <c r="T28" s="1093"/>
      <c r="U28" s="1094"/>
      <c r="V28" s="1099" t="s">
        <v>343</v>
      </c>
      <c r="W28" s="1100"/>
      <c r="X28" s="1100"/>
      <c r="Y28" s="1100"/>
      <c r="Z28" s="1100"/>
      <c r="AA28" s="1100"/>
      <c r="AB28" s="1100"/>
      <c r="AC28" s="1101"/>
      <c r="AD28" s="1099" t="s">
        <v>343</v>
      </c>
      <c r="AE28" s="1100"/>
      <c r="AF28" s="1100"/>
      <c r="AG28" s="1100"/>
      <c r="AH28" s="1100"/>
      <c r="AI28" s="1100"/>
      <c r="AJ28" s="1100"/>
      <c r="AK28" s="1100"/>
      <c r="AL28" s="1100"/>
      <c r="AM28" s="1100"/>
      <c r="AN28" s="1100"/>
      <c r="AO28" s="1101"/>
      <c r="AP28" s="1124" t="s">
        <v>344</v>
      </c>
      <c r="AQ28" s="1125"/>
      <c r="AR28" s="1125"/>
      <c r="AS28" s="1126"/>
      <c r="AT28" s="1092" t="s">
        <v>345</v>
      </c>
      <c r="AU28" s="1093"/>
      <c r="AV28" s="1093"/>
      <c r="AW28" s="1093"/>
      <c r="AX28" s="1146"/>
    </row>
    <row r="29" spans="1:50" ht="50.25" customHeight="1">
      <c r="A29" s="1136"/>
      <c r="B29" s="1137"/>
      <c r="C29" s="1138"/>
      <c r="D29" s="1092" t="s">
        <v>346</v>
      </c>
      <c r="E29" s="1093"/>
      <c r="F29" s="1093"/>
      <c r="G29" s="1093"/>
      <c r="H29" s="1093"/>
      <c r="I29" s="1094"/>
      <c r="J29" s="1105"/>
      <c r="K29" s="1106"/>
      <c r="L29" s="1106"/>
      <c r="M29" s="1106"/>
      <c r="N29" s="1106"/>
      <c r="O29" s="1107"/>
      <c r="P29" s="1092" t="s">
        <v>347</v>
      </c>
      <c r="Q29" s="1093"/>
      <c r="R29" s="1093"/>
      <c r="S29" s="1093"/>
      <c r="T29" s="1093"/>
      <c r="U29" s="1094"/>
      <c r="V29" s="1099" t="s">
        <v>348</v>
      </c>
      <c r="W29" s="1100"/>
      <c r="X29" s="1100"/>
      <c r="Y29" s="1100"/>
      <c r="Z29" s="1100"/>
      <c r="AA29" s="1100"/>
      <c r="AB29" s="1100"/>
      <c r="AC29" s="1101"/>
      <c r="AD29" s="1099" t="s">
        <v>349</v>
      </c>
      <c r="AE29" s="1100"/>
      <c r="AF29" s="1100"/>
      <c r="AG29" s="1100"/>
      <c r="AH29" s="1100"/>
      <c r="AI29" s="1100"/>
      <c r="AJ29" s="1100"/>
      <c r="AK29" s="1100"/>
      <c r="AL29" s="1100"/>
      <c r="AM29" s="1100"/>
      <c r="AN29" s="1100"/>
      <c r="AO29" s="1101"/>
      <c r="AP29" s="1127"/>
      <c r="AQ29" s="1128"/>
      <c r="AR29" s="1128"/>
      <c r="AS29" s="1129"/>
      <c r="AT29" s="1092" t="s">
        <v>350</v>
      </c>
      <c r="AU29" s="1093"/>
      <c r="AV29" s="1093"/>
      <c r="AW29" s="1093"/>
      <c r="AX29" s="1146"/>
    </row>
    <row r="30" spans="1:50" ht="32.25" customHeight="1">
      <c r="A30" s="1139"/>
      <c r="B30" s="1140"/>
      <c r="C30" s="1141"/>
      <c r="D30" s="1111" t="s">
        <v>351</v>
      </c>
      <c r="E30" s="1112"/>
      <c r="F30" s="1112"/>
      <c r="G30" s="1112"/>
      <c r="H30" s="1112"/>
      <c r="I30" s="1113"/>
      <c r="J30" s="1108"/>
      <c r="K30" s="1109"/>
      <c r="L30" s="1109"/>
      <c r="M30" s="1109"/>
      <c r="N30" s="1109"/>
      <c r="O30" s="1110"/>
      <c r="P30" s="1111" t="s">
        <v>352</v>
      </c>
      <c r="Q30" s="1112"/>
      <c r="R30" s="1112"/>
      <c r="S30" s="1112"/>
      <c r="T30" s="1112"/>
      <c r="U30" s="1113"/>
      <c r="V30" s="1086" t="s">
        <v>353</v>
      </c>
      <c r="W30" s="1087"/>
      <c r="X30" s="1087"/>
      <c r="Y30" s="1087"/>
      <c r="Z30" s="1087"/>
      <c r="AA30" s="1087"/>
      <c r="AB30" s="1087"/>
      <c r="AC30" s="1088"/>
      <c r="AD30" s="1086" t="s">
        <v>354</v>
      </c>
      <c r="AE30" s="1087"/>
      <c r="AF30" s="1087"/>
      <c r="AG30" s="1087"/>
      <c r="AH30" s="1087"/>
      <c r="AI30" s="1087"/>
      <c r="AJ30" s="1087"/>
      <c r="AK30" s="1087"/>
      <c r="AL30" s="1087"/>
      <c r="AM30" s="1087"/>
      <c r="AN30" s="1087"/>
      <c r="AO30" s="1088"/>
      <c r="AP30" s="1130"/>
      <c r="AQ30" s="1131"/>
      <c r="AR30" s="1131"/>
      <c r="AS30" s="1132"/>
      <c r="AT30" s="1111" t="s">
        <v>355</v>
      </c>
      <c r="AU30" s="1112"/>
      <c r="AV30" s="1112"/>
      <c r="AW30" s="1112"/>
      <c r="AX30" s="1117"/>
    </row>
  </sheetData>
  <mergeCells count="56">
    <mergeCell ref="AT29:AX29"/>
    <mergeCell ref="AT28:AX28"/>
    <mergeCell ref="A9:C9"/>
    <mergeCell ref="A5:AG5"/>
    <mergeCell ref="A6:C8"/>
    <mergeCell ref="D6:E8"/>
    <mergeCell ref="F6:G8"/>
    <mergeCell ref="H6:I6"/>
    <mergeCell ref="AT30:AX30"/>
    <mergeCell ref="A10:C10"/>
    <mergeCell ref="D10:AG10"/>
    <mergeCell ref="AP28:AS30"/>
    <mergeCell ref="AW5:AW12"/>
    <mergeCell ref="A28:C30"/>
    <mergeCell ref="D28:I28"/>
    <mergeCell ref="L11:L12"/>
    <mergeCell ref="U11:U12"/>
    <mergeCell ref="O11:S11"/>
    <mergeCell ref="T11:T12"/>
    <mergeCell ref="N11:N12"/>
    <mergeCell ref="A11:F11"/>
    <mergeCell ref="D30:I30"/>
    <mergeCell ref="AD28:AO28"/>
    <mergeCell ref="AD29:AO29"/>
    <mergeCell ref="AD30:AO30"/>
    <mergeCell ref="AH11:AS11"/>
    <mergeCell ref="P28:U28"/>
    <mergeCell ref="I11:I12"/>
    <mergeCell ref="J11:J12"/>
    <mergeCell ref="K11:K12"/>
    <mergeCell ref="V11:AG11"/>
    <mergeCell ref="V29:AC29"/>
    <mergeCell ref="V30:AC30"/>
    <mergeCell ref="J28:O30"/>
    <mergeCell ref="P29:U29"/>
    <mergeCell ref="P30:U30"/>
    <mergeCell ref="V28:AC28"/>
    <mergeCell ref="M11:M12"/>
    <mergeCell ref="D29:I29"/>
    <mergeCell ref="A27:AX27"/>
    <mergeCell ref="A2:AV2"/>
    <mergeCell ref="A3:AV4"/>
    <mergeCell ref="AT11:AU11"/>
    <mergeCell ref="AW1:AX1"/>
    <mergeCell ref="AW2:AX2"/>
    <mergeCell ref="AW3:AX3"/>
    <mergeCell ref="AW4:AX4"/>
    <mergeCell ref="A1:AV1"/>
    <mergeCell ref="AX5:AX12"/>
    <mergeCell ref="H7:I7"/>
    <mergeCell ref="H8:I8"/>
    <mergeCell ref="AV5:AV12"/>
    <mergeCell ref="AH5:AU10"/>
    <mergeCell ref="K6:U8"/>
    <mergeCell ref="D9:AG9"/>
    <mergeCell ref="G11:H11"/>
  </mergeCells>
  <printOptions horizontalCentered="1"/>
  <pageMargins left="0.19685039370078741" right="0.19685039370078741" top="0.19685039370078741" bottom="0.19685039370078741" header="0" footer="0"/>
  <pageSetup scale="21" fitToHeight="0" orientation="landscape" r:id="rId1"/>
  <rowBreaks count="1" manualBreakCount="1">
    <brk id="23" max="49" man="1"/>
  </row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4D11D-579C-487E-AFC2-33AD5CC2C440}">
  <sheetPr>
    <pageSetUpPr fitToPage="1"/>
  </sheetPr>
  <dimension ref="A1:K9"/>
  <sheetViews>
    <sheetView zoomScale="75" zoomScaleNormal="75" workbookViewId="0">
      <selection activeCell="U7" sqref="U7"/>
    </sheetView>
  </sheetViews>
  <sheetFormatPr baseColWidth="10" defaultColWidth="11.42578125" defaultRowHeight="15"/>
  <cols>
    <col min="1" max="1" width="8.85546875" style="157" bestFit="1" customWidth="1"/>
    <col min="2" max="2" width="11.42578125" style="50"/>
    <col min="3" max="3" width="55.7109375" style="50" customWidth="1"/>
    <col min="4" max="4" width="13.7109375" style="50" hidden="1" customWidth="1"/>
    <col min="5" max="5" width="15.28515625" style="50" hidden="1" customWidth="1"/>
    <col min="6" max="6" width="21.140625" style="50" customWidth="1"/>
    <col min="7" max="8" width="15.28515625" style="50" hidden="1" customWidth="1"/>
    <col min="9" max="9" width="16.42578125" style="50" hidden="1" customWidth="1"/>
    <col min="10" max="10" width="13.5703125" style="157" customWidth="1"/>
    <col min="11" max="11" width="14.42578125" style="157" customWidth="1"/>
    <col min="12" max="16384" width="11.42578125" style="50"/>
  </cols>
  <sheetData>
    <row r="1" spans="1:11" ht="15.75" thickBot="1">
      <c r="A1" s="1157" t="s">
        <v>356</v>
      </c>
      <c r="B1" s="1158"/>
      <c r="C1" s="1158"/>
      <c r="D1" s="1158"/>
      <c r="E1" s="1158"/>
      <c r="F1" s="1158"/>
      <c r="G1" s="1158"/>
      <c r="H1" s="1158"/>
      <c r="I1" s="1159"/>
    </row>
    <row r="2" spans="1:11" ht="45">
      <c r="A2" s="178" t="s">
        <v>357</v>
      </c>
      <c r="B2" s="179" t="s">
        <v>358</v>
      </c>
      <c r="C2" s="179" t="s">
        <v>359</v>
      </c>
      <c r="D2" s="179">
        <v>2020</v>
      </c>
      <c r="E2" s="179">
        <v>2021</v>
      </c>
      <c r="F2" s="180">
        <v>2022</v>
      </c>
      <c r="G2" s="179">
        <v>2023</v>
      </c>
      <c r="H2" s="179">
        <v>2024</v>
      </c>
      <c r="I2" s="181" t="s">
        <v>360</v>
      </c>
      <c r="J2" s="156" t="s">
        <v>361</v>
      </c>
      <c r="K2" s="156" t="s">
        <v>362</v>
      </c>
    </row>
    <row r="3" spans="1:11" ht="30">
      <c r="A3" s="190">
        <v>7673</v>
      </c>
      <c r="B3" s="191">
        <v>1</v>
      </c>
      <c r="C3" s="315" t="s">
        <v>363</v>
      </c>
      <c r="D3" s="182">
        <v>104564466</v>
      </c>
      <c r="E3" s="182">
        <v>2363000000</v>
      </c>
      <c r="F3" s="314">
        <v>2401870787.1600008</v>
      </c>
      <c r="G3" s="182">
        <v>2491086000</v>
      </c>
      <c r="H3" s="182">
        <v>2219930000</v>
      </c>
      <c r="I3" s="192">
        <v>9680517466</v>
      </c>
      <c r="J3" s="189">
        <f>+F3/F7</f>
        <v>0.44272002261274546</v>
      </c>
      <c r="K3" s="195">
        <v>0.3</v>
      </c>
    </row>
    <row r="4" spans="1:11" ht="45">
      <c r="A4" s="190">
        <v>7673</v>
      </c>
      <c r="B4" s="191">
        <v>2</v>
      </c>
      <c r="C4" s="315" t="s">
        <v>364</v>
      </c>
      <c r="D4" s="182">
        <v>120000000</v>
      </c>
      <c r="E4" s="182">
        <v>727850000</v>
      </c>
      <c r="F4" s="314">
        <v>184761500</v>
      </c>
      <c r="G4" s="182">
        <v>700000000</v>
      </c>
      <c r="H4" s="182">
        <v>0</v>
      </c>
      <c r="I4" s="192">
        <v>1732612000</v>
      </c>
      <c r="J4" s="189">
        <f>+F4/F7</f>
        <v>3.4055793465344236E-2</v>
      </c>
      <c r="K4" s="195">
        <v>0.1</v>
      </c>
    </row>
    <row r="5" spans="1:11" ht="60">
      <c r="A5" s="190">
        <v>7673</v>
      </c>
      <c r="B5" s="191">
        <v>3</v>
      </c>
      <c r="C5" s="315" t="s">
        <v>365</v>
      </c>
      <c r="D5" s="182">
        <v>97776667</v>
      </c>
      <c r="E5" s="182">
        <v>900135000</v>
      </c>
      <c r="F5" s="314">
        <v>1608626712.8399997</v>
      </c>
      <c r="G5" s="182">
        <v>725114000</v>
      </c>
      <c r="H5" s="182">
        <v>746870000</v>
      </c>
      <c r="I5" s="192">
        <v>3978455667</v>
      </c>
      <c r="J5" s="189">
        <f>+F5/F7</f>
        <v>0.29650689724490564</v>
      </c>
      <c r="K5" s="195">
        <v>0.25</v>
      </c>
    </row>
    <row r="6" spans="1:11" ht="60">
      <c r="A6" s="190">
        <v>7673</v>
      </c>
      <c r="B6" s="191">
        <v>4</v>
      </c>
      <c r="C6" s="315" t="s">
        <v>366</v>
      </c>
      <c r="D6" s="182">
        <v>0</v>
      </c>
      <c r="E6" s="182">
        <v>0</v>
      </c>
      <c r="F6" s="314">
        <v>1230000000</v>
      </c>
      <c r="G6" s="182">
        <v>0</v>
      </c>
      <c r="H6" s="182"/>
      <c r="I6" s="192">
        <v>1230000000</v>
      </c>
      <c r="J6" s="189">
        <f>+F6/F7</f>
        <v>0.22671728667700472</v>
      </c>
      <c r="K6" s="195">
        <v>0.35</v>
      </c>
    </row>
    <row r="7" spans="1:11">
      <c r="A7" s="1160" t="s">
        <v>41</v>
      </c>
      <c r="B7" s="1161"/>
      <c r="C7" s="1161"/>
      <c r="D7" s="183">
        <v>322341133</v>
      </c>
      <c r="E7" s="183">
        <v>3990985000</v>
      </c>
      <c r="F7" s="183">
        <f>SUM(F3:F6)</f>
        <v>5425259000</v>
      </c>
      <c r="G7" s="183">
        <v>3916200000</v>
      </c>
      <c r="H7" s="183">
        <v>2966800000</v>
      </c>
      <c r="I7" s="184">
        <v>16621585133</v>
      </c>
      <c r="J7" s="196">
        <f>SUM(J3:J6)</f>
        <v>1</v>
      </c>
      <c r="K7" s="196">
        <f>SUM(K3:K6)</f>
        <v>1</v>
      </c>
    </row>
    <row r="8" spans="1:11">
      <c r="A8" s="1160" t="s">
        <v>367</v>
      </c>
      <c r="B8" s="1161"/>
      <c r="C8" s="1161"/>
      <c r="D8" s="185"/>
      <c r="E8" s="185"/>
      <c r="F8" s="183">
        <v>5425259000</v>
      </c>
      <c r="G8" s="185"/>
      <c r="H8" s="185"/>
      <c r="I8" s="193"/>
    </row>
    <row r="9" spans="1:11" ht="15.75" thickBot="1">
      <c r="A9" s="1162" t="s">
        <v>368</v>
      </c>
      <c r="B9" s="1163"/>
      <c r="C9" s="1163"/>
      <c r="D9" s="186"/>
      <c r="E9" s="186"/>
      <c r="F9" s="187">
        <v>0</v>
      </c>
      <c r="G9" s="186"/>
      <c r="H9" s="186"/>
      <c r="I9" s="194"/>
    </row>
  </sheetData>
  <mergeCells count="4">
    <mergeCell ref="A1:I1"/>
    <mergeCell ref="A7:C7"/>
    <mergeCell ref="A8:C8"/>
    <mergeCell ref="A9:C9"/>
  </mergeCells>
  <conditionalFormatting sqref="F9">
    <cfRule type="cellIs" dxfId="0" priority="1" operator="lessThan">
      <formula>0</formula>
    </cfRule>
  </conditionalFormatting>
  <printOptions horizontalCentered="1"/>
  <pageMargins left="0.19685039370078741" right="0.19685039370078741" top="0.19685039370078741" bottom="0.19685039370078741" header="0" footer="0"/>
  <pageSetup scale="91" fitToHeight="0"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0285D-3F4B-47FA-A11D-96046964CD7B}">
  <sheetPr filterMode="1">
    <tabColor rgb="FF92D050"/>
    <pageSetUpPr fitToPage="1"/>
  </sheetPr>
  <dimension ref="A1:BB104"/>
  <sheetViews>
    <sheetView topLeftCell="AE57" zoomScale="75" zoomScaleNormal="75" workbookViewId="0">
      <selection activeCell="AX75" sqref="AX75"/>
    </sheetView>
  </sheetViews>
  <sheetFormatPr baseColWidth="10" defaultColWidth="11.42578125" defaultRowHeight="15"/>
  <cols>
    <col min="9" max="10" width="15.5703125" bestFit="1" customWidth="1"/>
    <col min="17" max="17" width="11.42578125" customWidth="1"/>
    <col min="18" max="26" width="11.42578125" hidden="1" customWidth="1"/>
    <col min="27" max="27" width="17.42578125" customWidth="1"/>
    <col min="28" max="28" width="17.85546875" bestFit="1" customWidth="1"/>
    <col min="29" max="33" width="11.42578125" customWidth="1"/>
    <col min="34" max="34" width="11.42578125" style="283" customWidth="1"/>
    <col min="35" max="38" width="16.85546875" style="283" bestFit="1" customWidth="1"/>
    <col min="39" max="39" width="16.42578125" style="283" bestFit="1" customWidth="1"/>
    <col min="40" max="41" width="16.85546875" style="283" bestFit="1" customWidth="1"/>
    <col min="42" max="42" width="16.42578125" style="283" bestFit="1" customWidth="1"/>
    <col min="43" max="44" width="16.85546875" style="283" bestFit="1" customWidth="1"/>
    <col min="45" max="46" width="17.140625" style="283" bestFit="1" customWidth="1"/>
    <col min="47" max="47" width="18.5703125" style="309" bestFit="1" customWidth="1"/>
    <col min="48" max="48" width="18.7109375" style="283" bestFit="1" customWidth="1"/>
    <col min="49" max="49" width="12" style="283" bestFit="1" customWidth="1"/>
    <col min="50" max="50" width="15.7109375" style="283" bestFit="1" customWidth="1"/>
    <col min="51" max="53" width="11.42578125" style="283"/>
    <col min="54" max="54" width="19" style="282" bestFit="1" customWidth="1"/>
  </cols>
  <sheetData>
    <row r="1" spans="1:54" ht="76.5">
      <c r="A1" s="216" t="s">
        <v>369</v>
      </c>
      <c r="B1" s="216" t="s">
        <v>370</v>
      </c>
      <c r="C1" s="216" t="s">
        <v>371</v>
      </c>
      <c r="D1" s="216" t="s">
        <v>372</v>
      </c>
      <c r="E1" s="217" t="s">
        <v>373</v>
      </c>
      <c r="F1" s="216" t="s">
        <v>374</v>
      </c>
      <c r="G1" s="216" t="s">
        <v>375</v>
      </c>
      <c r="H1" s="216" t="s">
        <v>376</v>
      </c>
      <c r="I1" s="216" t="s">
        <v>377</v>
      </c>
      <c r="J1" s="218" t="s">
        <v>273</v>
      </c>
      <c r="K1" s="218" t="s">
        <v>378</v>
      </c>
      <c r="L1" s="218" t="s">
        <v>379</v>
      </c>
      <c r="M1" s="218" t="s">
        <v>380</v>
      </c>
      <c r="N1" s="218" t="s">
        <v>381</v>
      </c>
      <c r="O1" s="218" t="s">
        <v>382</v>
      </c>
      <c r="P1" s="218" t="s">
        <v>383</v>
      </c>
      <c r="Q1" s="218" t="s">
        <v>384</v>
      </c>
      <c r="R1" s="218" t="s">
        <v>385</v>
      </c>
      <c r="S1" s="218" t="s">
        <v>386</v>
      </c>
      <c r="T1" s="218" t="s">
        <v>387</v>
      </c>
      <c r="U1" s="218" t="s">
        <v>388</v>
      </c>
      <c r="V1" s="218" t="s">
        <v>389</v>
      </c>
      <c r="W1" s="218" t="s">
        <v>390</v>
      </c>
      <c r="X1" s="219" t="s">
        <v>391</v>
      </c>
      <c r="Y1" s="218" t="s">
        <v>392</v>
      </c>
      <c r="Z1" s="218" t="s">
        <v>393</v>
      </c>
      <c r="AA1" s="220" t="s">
        <v>394</v>
      </c>
      <c r="AB1" s="220" t="s">
        <v>395</v>
      </c>
      <c r="AC1" s="221" t="s">
        <v>396</v>
      </c>
      <c r="AD1" s="221" t="s">
        <v>397</v>
      </c>
      <c r="AE1" s="222"/>
      <c r="AF1" s="222"/>
      <c r="AG1" s="222"/>
      <c r="AH1" s="316"/>
      <c r="AI1" s="351" t="s">
        <v>62</v>
      </c>
      <c r="AJ1" s="351" t="s">
        <v>63</v>
      </c>
      <c r="AK1" s="351" t="s">
        <v>398</v>
      </c>
      <c r="AL1" s="351" t="s">
        <v>399</v>
      </c>
      <c r="AM1" s="351" t="s">
        <v>400</v>
      </c>
      <c r="AN1" s="351" t="s">
        <v>401</v>
      </c>
      <c r="AO1" s="351" t="s">
        <v>402</v>
      </c>
      <c r="AP1" s="351" t="s">
        <v>403</v>
      </c>
      <c r="AQ1" s="351" t="s">
        <v>404</v>
      </c>
      <c r="AR1" s="351" t="s">
        <v>405</v>
      </c>
      <c r="AS1" s="351" t="s">
        <v>406</v>
      </c>
      <c r="AT1" s="351" t="s">
        <v>407</v>
      </c>
      <c r="AU1" s="309" t="s">
        <v>232</v>
      </c>
      <c r="AX1" s="283" t="s">
        <v>408</v>
      </c>
      <c r="AY1" s="283" t="s">
        <v>409</v>
      </c>
      <c r="AZ1" s="283" t="s">
        <v>410</v>
      </c>
      <c r="BA1" s="283" t="s">
        <v>411</v>
      </c>
    </row>
    <row r="2" spans="1:54">
      <c r="A2" s="223" t="s">
        <v>412</v>
      </c>
      <c r="B2" s="224" t="s">
        <v>413</v>
      </c>
      <c r="C2" s="224" t="s">
        <v>413</v>
      </c>
      <c r="D2" s="224">
        <v>362</v>
      </c>
      <c r="E2" s="225">
        <v>362</v>
      </c>
      <c r="F2" s="226">
        <v>7673</v>
      </c>
      <c r="G2" s="223" t="s">
        <v>414</v>
      </c>
      <c r="H2" s="223" t="s">
        <v>415</v>
      </c>
      <c r="I2" s="223" t="s">
        <v>416</v>
      </c>
      <c r="J2" s="223" t="s">
        <v>417</v>
      </c>
      <c r="K2" s="223" t="s">
        <v>418</v>
      </c>
      <c r="L2" s="223" t="s">
        <v>419</v>
      </c>
      <c r="M2" s="223" t="s">
        <v>420</v>
      </c>
      <c r="N2" s="223" t="s">
        <v>421</v>
      </c>
      <c r="O2" s="223" t="s">
        <v>422</v>
      </c>
      <c r="P2" s="223" t="s">
        <v>423</v>
      </c>
      <c r="Q2" s="227">
        <v>1</v>
      </c>
      <c r="R2" s="223" t="s">
        <v>424</v>
      </c>
      <c r="S2" s="223" t="s">
        <v>425</v>
      </c>
      <c r="T2" s="224">
        <v>80111620</v>
      </c>
      <c r="U2" s="228" t="s">
        <v>426</v>
      </c>
      <c r="V2" s="224">
        <v>1</v>
      </c>
      <c r="W2" s="224">
        <v>1</v>
      </c>
      <c r="X2" s="224">
        <v>330</v>
      </c>
      <c r="Y2" s="229" t="s">
        <v>427</v>
      </c>
      <c r="Z2" s="230" t="s">
        <v>428</v>
      </c>
      <c r="AA2" s="318">
        <v>69608000</v>
      </c>
      <c r="AB2" s="231">
        <v>6328000</v>
      </c>
      <c r="AC2" s="230" t="s">
        <v>429</v>
      </c>
      <c r="AD2" s="230" t="s">
        <v>430</v>
      </c>
      <c r="AE2" s="232"/>
      <c r="AF2" s="233"/>
      <c r="AG2" s="234"/>
      <c r="AH2" s="284"/>
      <c r="AI2" s="342">
        <f>AB2/30*10</f>
        <v>2109333.3333333335</v>
      </c>
      <c r="AJ2" s="342">
        <f>AB2</f>
        <v>6328000</v>
      </c>
      <c r="AK2" s="342">
        <v>6328000</v>
      </c>
      <c r="AL2" s="342">
        <v>6328000</v>
      </c>
      <c r="AM2" s="312">
        <v>6328000</v>
      </c>
      <c r="AN2" s="312">
        <v>6328000</v>
      </c>
      <c r="AO2" s="312">
        <v>6328000</v>
      </c>
      <c r="AP2" s="312">
        <v>6328000</v>
      </c>
      <c r="AQ2" s="312">
        <v>6328000</v>
      </c>
      <c r="AR2" s="312">
        <v>6328000</v>
      </c>
      <c r="AS2" s="312">
        <v>6328000</v>
      </c>
      <c r="AT2" s="312">
        <f>AB2/30*20</f>
        <v>4218666.666666667</v>
      </c>
      <c r="AU2" s="309">
        <f>SUM(AI2:AT2)</f>
        <v>69608000</v>
      </c>
      <c r="AV2" s="286">
        <f>+AU2-AA2</f>
        <v>0</v>
      </c>
      <c r="AX2" s="283">
        <f>+AU2</f>
        <v>69608000</v>
      </c>
      <c r="AY2" s="283">
        <v>0</v>
      </c>
      <c r="AZ2" s="283">
        <v>0</v>
      </c>
      <c r="BA2" s="283">
        <v>0</v>
      </c>
      <c r="BB2" s="282">
        <f>SUM(AX2:BA2)</f>
        <v>69608000</v>
      </c>
    </row>
    <row r="3" spans="1:54">
      <c r="A3" s="223" t="s">
        <v>412</v>
      </c>
      <c r="B3" s="224" t="s">
        <v>413</v>
      </c>
      <c r="C3" s="224" t="s">
        <v>413</v>
      </c>
      <c r="D3" s="224">
        <v>363</v>
      </c>
      <c r="E3" s="225">
        <v>363</v>
      </c>
      <c r="F3" s="226">
        <v>7673</v>
      </c>
      <c r="G3" s="223" t="s">
        <v>414</v>
      </c>
      <c r="H3" s="223" t="s">
        <v>415</v>
      </c>
      <c r="I3" s="223" t="s">
        <v>416</v>
      </c>
      <c r="J3" s="223" t="s">
        <v>417</v>
      </c>
      <c r="K3" s="223" t="s">
        <v>418</v>
      </c>
      <c r="L3" s="223" t="s">
        <v>419</v>
      </c>
      <c r="M3" s="223" t="s">
        <v>420</v>
      </c>
      <c r="N3" s="223" t="s">
        <v>421</v>
      </c>
      <c r="O3" s="223" t="s">
        <v>422</v>
      </c>
      <c r="P3" s="223" t="s">
        <v>423</v>
      </c>
      <c r="Q3" s="227">
        <v>1</v>
      </c>
      <c r="R3" s="223" t="s">
        <v>424</v>
      </c>
      <c r="S3" s="223" t="s">
        <v>425</v>
      </c>
      <c r="T3" s="224">
        <v>80111620</v>
      </c>
      <c r="U3" s="237" t="s">
        <v>426</v>
      </c>
      <c r="V3" s="224">
        <v>1</v>
      </c>
      <c r="W3" s="224">
        <v>1</v>
      </c>
      <c r="X3" s="224">
        <v>330</v>
      </c>
      <c r="Y3" s="229" t="s">
        <v>427</v>
      </c>
      <c r="Z3" s="230" t="s">
        <v>428</v>
      </c>
      <c r="AA3" s="318">
        <v>69608000</v>
      </c>
      <c r="AB3" s="231">
        <v>6328000</v>
      </c>
      <c r="AC3" s="230" t="s">
        <v>429</v>
      </c>
      <c r="AD3" s="230" t="s">
        <v>430</v>
      </c>
      <c r="AE3" s="232"/>
      <c r="AF3" s="233"/>
      <c r="AG3" s="234"/>
      <c r="AH3" s="284"/>
      <c r="AI3" s="342">
        <f t="shared" ref="AI3:AI52" si="0">AB3/30*10</f>
        <v>2109333.3333333335</v>
      </c>
      <c r="AJ3" s="342">
        <f t="shared" ref="AJ3:AJ52" si="1">AB3</f>
        <v>6328000</v>
      </c>
      <c r="AK3" s="342">
        <v>6328000</v>
      </c>
      <c r="AL3" s="342">
        <v>6328000</v>
      </c>
      <c r="AM3" s="312">
        <v>6328000</v>
      </c>
      <c r="AN3" s="312">
        <v>6328000</v>
      </c>
      <c r="AO3" s="312">
        <v>6328000</v>
      </c>
      <c r="AP3" s="312">
        <v>6328000</v>
      </c>
      <c r="AQ3" s="312">
        <v>6328000</v>
      </c>
      <c r="AR3" s="312">
        <v>6328000</v>
      </c>
      <c r="AS3" s="312">
        <v>6328000</v>
      </c>
      <c r="AT3" s="312">
        <f t="shared" ref="AT3:AT52" si="2">AB3/30*20</f>
        <v>4218666.666666667</v>
      </c>
      <c r="AU3" s="309">
        <f t="shared" ref="AU3:AU71" si="3">SUM(AI3:AT3)</f>
        <v>69608000</v>
      </c>
      <c r="AV3" s="286">
        <f t="shared" ref="AV3:AV71" si="4">+AU3-AA3</f>
        <v>0</v>
      </c>
      <c r="AX3" s="283">
        <f t="shared" ref="AX3:AX31" si="5">+AU3</f>
        <v>69608000</v>
      </c>
      <c r="AY3" s="283">
        <v>0</v>
      </c>
      <c r="AZ3" s="283">
        <v>0</v>
      </c>
      <c r="BA3" s="283">
        <v>0</v>
      </c>
      <c r="BB3" s="282">
        <f t="shared" ref="BB3:BB71" si="6">SUM(AX3:BA3)</f>
        <v>69608000</v>
      </c>
    </row>
    <row r="4" spans="1:54">
      <c r="A4" s="223" t="s">
        <v>412</v>
      </c>
      <c r="B4" s="224" t="s">
        <v>413</v>
      </c>
      <c r="C4" s="224" t="s">
        <v>413</v>
      </c>
      <c r="D4" s="224">
        <v>364</v>
      </c>
      <c r="E4" s="225">
        <v>364</v>
      </c>
      <c r="F4" s="226">
        <v>7673</v>
      </c>
      <c r="G4" s="223" t="s">
        <v>414</v>
      </c>
      <c r="H4" s="223" t="s">
        <v>415</v>
      </c>
      <c r="I4" s="223" t="s">
        <v>416</v>
      </c>
      <c r="J4" s="223" t="s">
        <v>417</v>
      </c>
      <c r="K4" s="223" t="s">
        <v>418</v>
      </c>
      <c r="L4" s="223" t="s">
        <v>419</v>
      </c>
      <c r="M4" s="223" t="s">
        <v>420</v>
      </c>
      <c r="N4" s="223" t="s">
        <v>421</v>
      </c>
      <c r="O4" s="223" t="s">
        <v>422</v>
      </c>
      <c r="P4" s="223" t="s">
        <v>423</v>
      </c>
      <c r="Q4" s="227">
        <v>1</v>
      </c>
      <c r="R4" s="223" t="s">
        <v>424</v>
      </c>
      <c r="S4" s="223" t="s">
        <v>425</v>
      </c>
      <c r="T4" s="224">
        <v>80111620</v>
      </c>
      <c r="U4" s="223" t="s">
        <v>431</v>
      </c>
      <c r="V4" s="224">
        <v>1</v>
      </c>
      <c r="W4" s="224">
        <v>1</v>
      </c>
      <c r="X4" s="224">
        <v>330</v>
      </c>
      <c r="Y4" s="229" t="s">
        <v>427</v>
      </c>
      <c r="Z4" s="230" t="s">
        <v>428</v>
      </c>
      <c r="AA4" s="318">
        <v>69608000</v>
      </c>
      <c r="AB4" s="231">
        <v>6328000</v>
      </c>
      <c r="AC4" s="230" t="s">
        <v>432</v>
      </c>
      <c r="AD4" s="230" t="s">
        <v>430</v>
      </c>
      <c r="AE4" s="238"/>
      <c r="AF4" s="233"/>
      <c r="AG4" s="236"/>
      <c r="AH4" s="285"/>
      <c r="AI4" s="342">
        <f t="shared" si="0"/>
        <v>2109333.3333333335</v>
      </c>
      <c r="AJ4" s="342">
        <f t="shared" si="1"/>
        <v>6328000</v>
      </c>
      <c r="AK4" s="342">
        <v>6328000</v>
      </c>
      <c r="AL4" s="342">
        <v>6328000</v>
      </c>
      <c r="AM4" s="312">
        <v>6328000</v>
      </c>
      <c r="AN4" s="312">
        <v>6328000</v>
      </c>
      <c r="AO4" s="312">
        <v>6328000</v>
      </c>
      <c r="AP4" s="312">
        <v>6328000</v>
      </c>
      <c r="AQ4" s="312">
        <v>6328000</v>
      </c>
      <c r="AR4" s="312">
        <v>6328000</v>
      </c>
      <c r="AS4" s="312">
        <v>6328000</v>
      </c>
      <c r="AT4" s="312">
        <f t="shared" si="2"/>
        <v>4218666.666666667</v>
      </c>
      <c r="AU4" s="309">
        <f t="shared" si="3"/>
        <v>69608000</v>
      </c>
      <c r="AV4" s="286">
        <f t="shared" si="4"/>
        <v>0</v>
      </c>
      <c r="AX4" s="283">
        <f t="shared" si="5"/>
        <v>69608000</v>
      </c>
      <c r="AY4" s="283">
        <v>0</v>
      </c>
      <c r="AZ4" s="283">
        <v>0</v>
      </c>
      <c r="BA4" s="283">
        <v>0</v>
      </c>
      <c r="BB4" s="282">
        <f t="shared" si="6"/>
        <v>69608000</v>
      </c>
    </row>
    <row r="5" spans="1:54">
      <c r="A5" s="223" t="s">
        <v>412</v>
      </c>
      <c r="B5" s="224" t="s">
        <v>413</v>
      </c>
      <c r="C5" s="224" t="s">
        <v>413</v>
      </c>
      <c r="D5" s="224">
        <v>365</v>
      </c>
      <c r="E5" s="225">
        <v>365</v>
      </c>
      <c r="F5" s="226">
        <v>7673</v>
      </c>
      <c r="G5" s="223" t="s">
        <v>414</v>
      </c>
      <c r="H5" s="223" t="s">
        <v>415</v>
      </c>
      <c r="I5" s="223" t="s">
        <v>416</v>
      </c>
      <c r="J5" s="223" t="s">
        <v>417</v>
      </c>
      <c r="K5" s="223" t="s">
        <v>418</v>
      </c>
      <c r="L5" s="223" t="s">
        <v>419</v>
      </c>
      <c r="M5" s="223" t="s">
        <v>420</v>
      </c>
      <c r="N5" s="223" t="s">
        <v>421</v>
      </c>
      <c r="O5" s="223" t="s">
        <v>422</v>
      </c>
      <c r="P5" s="223" t="s">
        <v>423</v>
      </c>
      <c r="Q5" s="227">
        <v>1</v>
      </c>
      <c r="R5" s="223" t="s">
        <v>433</v>
      </c>
      <c r="S5" s="223" t="s">
        <v>434</v>
      </c>
      <c r="T5" s="224">
        <v>80111620</v>
      </c>
      <c r="U5" s="223" t="s">
        <v>435</v>
      </c>
      <c r="V5" s="224">
        <v>1</v>
      </c>
      <c r="W5" s="224">
        <v>1</v>
      </c>
      <c r="X5" s="224">
        <v>330</v>
      </c>
      <c r="Y5" s="229" t="s">
        <v>427</v>
      </c>
      <c r="Z5" s="230" t="s">
        <v>428</v>
      </c>
      <c r="AA5" s="318">
        <v>69608000</v>
      </c>
      <c r="AB5" s="231">
        <v>6328000</v>
      </c>
      <c r="AC5" s="230" t="s">
        <v>436</v>
      </c>
      <c r="AD5" s="230" t="s">
        <v>430</v>
      </c>
      <c r="AE5" s="232"/>
      <c r="AF5" s="233"/>
      <c r="AG5" s="234"/>
      <c r="AH5" s="284"/>
      <c r="AI5" s="342">
        <f t="shared" si="0"/>
        <v>2109333.3333333335</v>
      </c>
      <c r="AJ5" s="342">
        <f t="shared" si="1"/>
        <v>6328000</v>
      </c>
      <c r="AK5" s="342">
        <v>6328000</v>
      </c>
      <c r="AL5" s="342">
        <v>6328000</v>
      </c>
      <c r="AM5" s="312">
        <v>6328000</v>
      </c>
      <c r="AN5" s="312">
        <v>6328000</v>
      </c>
      <c r="AO5" s="312">
        <v>6328000</v>
      </c>
      <c r="AP5" s="312">
        <v>6328000</v>
      </c>
      <c r="AQ5" s="312">
        <v>6328000</v>
      </c>
      <c r="AR5" s="312">
        <v>6328000</v>
      </c>
      <c r="AS5" s="312">
        <v>6328000</v>
      </c>
      <c r="AT5" s="312">
        <f t="shared" si="2"/>
        <v>4218666.666666667</v>
      </c>
      <c r="AU5" s="309">
        <f t="shared" si="3"/>
        <v>69608000</v>
      </c>
      <c r="AV5" s="286">
        <f t="shared" si="4"/>
        <v>0</v>
      </c>
      <c r="AX5" s="283">
        <f t="shared" si="5"/>
        <v>69608000</v>
      </c>
      <c r="AY5" s="283">
        <v>0</v>
      </c>
      <c r="AZ5" s="283">
        <v>0</v>
      </c>
      <c r="BA5" s="283">
        <v>0</v>
      </c>
      <c r="BB5" s="282">
        <f t="shared" si="6"/>
        <v>69608000</v>
      </c>
    </row>
    <row r="6" spans="1:54">
      <c r="A6" s="223" t="s">
        <v>412</v>
      </c>
      <c r="B6" s="224" t="s">
        <v>413</v>
      </c>
      <c r="C6" s="224" t="s">
        <v>413</v>
      </c>
      <c r="D6" s="224">
        <v>366</v>
      </c>
      <c r="E6" s="225">
        <v>366</v>
      </c>
      <c r="F6" s="226">
        <v>7673</v>
      </c>
      <c r="G6" s="223" t="s">
        <v>414</v>
      </c>
      <c r="H6" s="223" t="s">
        <v>415</v>
      </c>
      <c r="I6" s="223" t="s">
        <v>416</v>
      </c>
      <c r="J6" s="223" t="s">
        <v>417</v>
      </c>
      <c r="K6" s="223" t="s">
        <v>418</v>
      </c>
      <c r="L6" s="223" t="s">
        <v>419</v>
      </c>
      <c r="M6" s="223" t="s">
        <v>420</v>
      </c>
      <c r="N6" s="223" t="s">
        <v>421</v>
      </c>
      <c r="O6" s="223" t="s">
        <v>422</v>
      </c>
      <c r="P6" s="223" t="s">
        <v>423</v>
      </c>
      <c r="Q6" s="227">
        <v>1</v>
      </c>
      <c r="R6" s="223" t="s">
        <v>424</v>
      </c>
      <c r="S6" s="223" t="s">
        <v>425</v>
      </c>
      <c r="T6" s="224">
        <v>80111620</v>
      </c>
      <c r="U6" s="228" t="s">
        <v>437</v>
      </c>
      <c r="V6" s="224">
        <v>1</v>
      </c>
      <c r="W6" s="224">
        <v>1</v>
      </c>
      <c r="X6" s="224">
        <v>360</v>
      </c>
      <c r="Y6" s="229" t="s">
        <v>427</v>
      </c>
      <c r="Z6" s="230" t="s">
        <v>428</v>
      </c>
      <c r="AA6" s="318">
        <v>80340000</v>
      </c>
      <c r="AB6" s="231">
        <v>6695000</v>
      </c>
      <c r="AC6" s="230" t="s">
        <v>438</v>
      </c>
      <c r="AD6" s="230" t="s">
        <v>430</v>
      </c>
      <c r="AE6" s="232"/>
      <c r="AF6" s="233"/>
      <c r="AG6" s="234"/>
      <c r="AH6" s="284"/>
      <c r="AI6" s="342">
        <v>6695000</v>
      </c>
      <c r="AJ6" s="342">
        <f t="shared" si="1"/>
        <v>6695000</v>
      </c>
      <c r="AK6" s="342">
        <v>6695000</v>
      </c>
      <c r="AL6" s="342">
        <v>6695000</v>
      </c>
      <c r="AM6" s="312">
        <v>6695000</v>
      </c>
      <c r="AN6" s="312">
        <v>6695000</v>
      </c>
      <c r="AO6" s="312">
        <v>6695000</v>
      </c>
      <c r="AP6" s="312">
        <v>6695000</v>
      </c>
      <c r="AQ6" s="312">
        <v>6695000</v>
      </c>
      <c r="AR6" s="312">
        <v>6695000</v>
      </c>
      <c r="AS6" s="312">
        <v>6695000</v>
      </c>
      <c r="AT6" s="312">
        <f>AB6/30*30</f>
        <v>6695000</v>
      </c>
      <c r="AU6" s="309">
        <f t="shared" si="3"/>
        <v>80340000</v>
      </c>
      <c r="AV6" s="286">
        <f t="shared" si="4"/>
        <v>0</v>
      </c>
      <c r="AX6" s="283">
        <f t="shared" si="5"/>
        <v>80340000</v>
      </c>
      <c r="AY6" s="283">
        <v>0</v>
      </c>
      <c r="AZ6" s="283">
        <v>0</v>
      </c>
      <c r="BA6" s="283">
        <v>0</v>
      </c>
      <c r="BB6" s="282">
        <f t="shared" si="6"/>
        <v>80340000</v>
      </c>
    </row>
    <row r="7" spans="1:54">
      <c r="A7" s="223" t="s">
        <v>412</v>
      </c>
      <c r="B7" s="224" t="s">
        <v>413</v>
      </c>
      <c r="C7" s="224" t="s">
        <v>413</v>
      </c>
      <c r="D7" s="224">
        <v>367</v>
      </c>
      <c r="E7" s="225">
        <v>367</v>
      </c>
      <c r="F7" s="226">
        <v>7673</v>
      </c>
      <c r="G7" s="223" t="s">
        <v>414</v>
      </c>
      <c r="H7" s="223" t="s">
        <v>415</v>
      </c>
      <c r="I7" s="223" t="s">
        <v>416</v>
      </c>
      <c r="J7" s="223" t="s">
        <v>417</v>
      </c>
      <c r="K7" s="223" t="s">
        <v>418</v>
      </c>
      <c r="L7" s="223" t="s">
        <v>419</v>
      </c>
      <c r="M7" s="223" t="s">
        <v>420</v>
      </c>
      <c r="N7" s="223" t="s">
        <v>421</v>
      </c>
      <c r="O7" s="223" t="s">
        <v>422</v>
      </c>
      <c r="P7" s="223" t="s">
        <v>423</v>
      </c>
      <c r="Q7" s="227">
        <v>1</v>
      </c>
      <c r="R7" s="223" t="s">
        <v>424</v>
      </c>
      <c r="S7" s="223" t="s">
        <v>425</v>
      </c>
      <c r="T7" s="224">
        <v>80111620</v>
      </c>
      <c r="U7" s="237" t="s">
        <v>439</v>
      </c>
      <c r="V7" s="224">
        <v>1</v>
      </c>
      <c r="W7" s="224">
        <v>1</v>
      </c>
      <c r="X7" s="224">
        <v>360</v>
      </c>
      <c r="Y7" s="229" t="s">
        <v>427</v>
      </c>
      <c r="Z7" s="230" t="s">
        <v>428</v>
      </c>
      <c r="AA7" s="318">
        <v>80340000</v>
      </c>
      <c r="AB7" s="231">
        <v>6695000</v>
      </c>
      <c r="AC7" s="230" t="s">
        <v>440</v>
      </c>
      <c r="AD7" s="230" t="s">
        <v>430</v>
      </c>
      <c r="AE7" s="232"/>
      <c r="AF7" s="233"/>
      <c r="AG7" s="234"/>
      <c r="AH7" s="284"/>
      <c r="AI7" s="342">
        <v>6695000</v>
      </c>
      <c r="AJ7" s="342">
        <f t="shared" si="1"/>
        <v>6695000</v>
      </c>
      <c r="AK7" s="342">
        <v>6695000</v>
      </c>
      <c r="AL7" s="342">
        <v>6695000</v>
      </c>
      <c r="AM7" s="312">
        <v>6695000</v>
      </c>
      <c r="AN7" s="312">
        <v>6695000</v>
      </c>
      <c r="AO7" s="312">
        <v>6695000</v>
      </c>
      <c r="AP7" s="312">
        <v>6695000</v>
      </c>
      <c r="AQ7" s="312">
        <v>6695000</v>
      </c>
      <c r="AR7" s="312">
        <v>6695000</v>
      </c>
      <c r="AS7" s="312">
        <v>6695000</v>
      </c>
      <c r="AT7" s="312">
        <v>6695000</v>
      </c>
      <c r="AU7" s="309">
        <f t="shared" si="3"/>
        <v>80340000</v>
      </c>
      <c r="AV7" s="286">
        <f t="shared" si="4"/>
        <v>0</v>
      </c>
      <c r="AX7" s="283">
        <f t="shared" si="5"/>
        <v>80340000</v>
      </c>
      <c r="AY7" s="283">
        <v>0</v>
      </c>
      <c r="AZ7" s="283">
        <v>0</v>
      </c>
      <c r="BA7" s="283">
        <v>0</v>
      </c>
      <c r="BB7" s="282">
        <f t="shared" si="6"/>
        <v>80340000</v>
      </c>
    </row>
    <row r="8" spans="1:54">
      <c r="A8" s="223" t="s">
        <v>412</v>
      </c>
      <c r="B8" s="224" t="s">
        <v>413</v>
      </c>
      <c r="C8" s="224" t="s">
        <v>413</v>
      </c>
      <c r="D8" s="224">
        <v>368</v>
      </c>
      <c r="E8" s="225">
        <v>368</v>
      </c>
      <c r="F8" s="226">
        <v>7673</v>
      </c>
      <c r="G8" s="223" t="s">
        <v>414</v>
      </c>
      <c r="H8" s="223" t="s">
        <v>415</v>
      </c>
      <c r="I8" s="223" t="s">
        <v>416</v>
      </c>
      <c r="J8" s="223" t="s">
        <v>417</v>
      </c>
      <c r="K8" s="223" t="s">
        <v>418</v>
      </c>
      <c r="L8" s="223" t="s">
        <v>419</v>
      </c>
      <c r="M8" s="223" t="s">
        <v>420</v>
      </c>
      <c r="N8" s="223" t="s">
        <v>421</v>
      </c>
      <c r="O8" s="223" t="s">
        <v>422</v>
      </c>
      <c r="P8" s="223" t="s">
        <v>423</v>
      </c>
      <c r="Q8" s="227">
        <v>1</v>
      </c>
      <c r="R8" s="223" t="s">
        <v>441</v>
      </c>
      <c r="S8" s="223" t="s">
        <v>442</v>
      </c>
      <c r="T8" s="224">
        <v>80111620</v>
      </c>
      <c r="U8" s="223" t="s">
        <v>443</v>
      </c>
      <c r="V8" s="224">
        <v>1</v>
      </c>
      <c r="W8" s="224">
        <v>1</v>
      </c>
      <c r="X8" s="224">
        <v>330</v>
      </c>
      <c r="Y8" s="229" t="s">
        <v>427</v>
      </c>
      <c r="Z8" s="230" t="s">
        <v>428</v>
      </c>
      <c r="AA8" s="318">
        <v>39655000</v>
      </c>
      <c r="AB8" s="231">
        <v>3605000</v>
      </c>
      <c r="AC8" s="230" t="s">
        <v>444</v>
      </c>
      <c r="AD8" s="230" t="s">
        <v>430</v>
      </c>
      <c r="AE8" s="232"/>
      <c r="AF8" s="233"/>
      <c r="AG8" s="234"/>
      <c r="AH8" s="284"/>
      <c r="AI8" s="342">
        <f t="shared" si="0"/>
        <v>1201666.6666666667</v>
      </c>
      <c r="AJ8" s="342">
        <f t="shared" si="1"/>
        <v>3605000</v>
      </c>
      <c r="AK8" s="342">
        <v>3605000</v>
      </c>
      <c r="AL8" s="312">
        <v>3605000</v>
      </c>
      <c r="AM8" s="312">
        <v>3605000</v>
      </c>
      <c r="AN8" s="312">
        <v>3605000</v>
      </c>
      <c r="AO8" s="312">
        <v>3605000</v>
      </c>
      <c r="AP8" s="312">
        <v>3605000</v>
      </c>
      <c r="AQ8" s="312">
        <v>3605000</v>
      </c>
      <c r="AR8" s="312">
        <v>3605000</v>
      </c>
      <c r="AS8" s="312">
        <v>3605000</v>
      </c>
      <c r="AT8" s="312">
        <f t="shared" si="2"/>
        <v>2403333.3333333335</v>
      </c>
      <c r="AU8" s="309">
        <f t="shared" si="3"/>
        <v>39655000.000000007</v>
      </c>
      <c r="AV8" s="286">
        <f t="shared" si="4"/>
        <v>0</v>
      </c>
      <c r="AX8" s="283">
        <f t="shared" si="5"/>
        <v>39655000.000000007</v>
      </c>
      <c r="AY8" s="283">
        <v>0</v>
      </c>
      <c r="AZ8" s="283">
        <v>0</v>
      </c>
      <c r="BA8" s="283">
        <v>0</v>
      </c>
      <c r="BB8" s="282">
        <f t="shared" si="6"/>
        <v>39655000.000000007</v>
      </c>
    </row>
    <row r="9" spans="1:54">
      <c r="A9" s="223" t="s">
        <v>412</v>
      </c>
      <c r="B9" s="224" t="s">
        <v>413</v>
      </c>
      <c r="C9" s="224" t="s">
        <v>413</v>
      </c>
      <c r="D9" s="224">
        <v>369</v>
      </c>
      <c r="E9" s="225">
        <v>369</v>
      </c>
      <c r="F9" s="226">
        <v>7673</v>
      </c>
      <c r="G9" s="223" t="s">
        <v>414</v>
      </c>
      <c r="H9" s="223" t="s">
        <v>415</v>
      </c>
      <c r="I9" s="223" t="s">
        <v>416</v>
      </c>
      <c r="J9" s="223" t="s">
        <v>417</v>
      </c>
      <c r="K9" s="223" t="s">
        <v>418</v>
      </c>
      <c r="L9" s="223" t="s">
        <v>419</v>
      </c>
      <c r="M9" s="223" t="s">
        <v>420</v>
      </c>
      <c r="N9" s="223" t="s">
        <v>421</v>
      </c>
      <c r="O9" s="223" t="s">
        <v>422</v>
      </c>
      <c r="P9" s="223" t="s">
        <v>423</v>
      </c>
      <c r="Q9" s="227">
        <v>1</v>
      </c>
      <c r="R9" s="223" t="s">
        <v>441</v>
      </c>
      <c r="S9" s="223" t="s">
        <v>442</v>
      </c>
      <c r="T9" s="224">
        <v>80111620</v>
      </c>
      <c r="U9" s="223" t="s">
        <v>443</v>
      </c>
      <c r="V9" s="224">
        <v>1</v>
      </c>
      <c r="W9" s="224">
        <v>1</v>
      </c>
      <c r="X9" s="224">
        <v>330</v>
      </c>
      <c r="Y9" s="229" t="s">
        <v>427</v>
      </c>
      <c r="Z9" s="230" t="s">
        <v>428</v>
      </c>
      <c r="AA9" s="318">
        <v>39655000</v>
      </c>
      <c r="AB9" s="231">
        <v>3605000</v>
      </c>
      <c r="AC9" s="230" t="s">
        <v>444</v>
      </c>
      <c r="AD9" s="230" t="s">
        <v>430</v>
      </c>
      <c r="AE9" s="232"/>
      <c r="AF9" s="233"/>
      <c r="AG9" s="234"/>
      <c r="AH9" s="284"/>
      <c r="AI9" s="342">
        <f t="shared" si="0"/>
        <v>1201666.6666666667</v>
      </c>
      <c r="AJ9" s="342">
        <f t="shared" si="1"/>
        <v>3605000</v>
      </c>
      <c r="AK9" s="342">
        <v>3605000</v>
      </c>
      <c r="AL9" s="312">
        <v>3605000</v>
      </c>
      <c r="AM9" s="312">
        <v>3605000</v>
      </c>
      <c r="AN9" s="312">
        <v>3605000</v>
      </c>
      <c r="AO9" s="312">
        <v>3605000</v>
      </c>
      <c r="AP9" s="312">
        <v>3605000</v>
      </c>
      <c r="AQ9" s="312">
        <v>3605000</v>
      </c>
      <c r="AR9" s="312">
        <v>3605000</v>
      </c>
      <c r="AS9" s="312">
        <v>3605000</v>
      </c>
      <c r="AT9" s="312">
        <f t="shared" si="2"/>
        <v>2403333.3333333335</v>
      </c>
      <c r="AU9" s="309">
        <f t="shared" si="3"/>
        <v>39655000.000000007</v>
      </c>
      <c r="AV9" s="286">
        <f t="shared" si="4"/>
        <v>0</v>
      </c>
      <c r="AX9" s="283">
        <f t="shared" si="5"/>
        <v>39655000.000000007</v>
      </c>
      <c r="AY9" s="283">
        <v>0</v>
      </c>
      <c r="AZ9" s="283">
        <v>0</v>
      </c>
      <c r="BA9" s="283">
        <v>0</v>
      </c>
      <c r="BB9" s="282">
        <f t="shared" si="6"/>
        <v>39655000.000000007</v>
      </c>
    </row>
    <row r="10" spans="1:54">
      <c r="A10" s="223" t="s">
        <v>412</v>
      </c>
      <c r="B10" s="224" t="s">
        <v>413</v>
      </c>
      <c r="C10" s="224" t="s">
        <v>413</v>
      </c>
      <c r="D10" s="224">
        <v>370</v>
      </c>
      <c r="E10" s="225">
        <v>370</v>
      </c>
      <c r="F10" s="226">
        <v>7673</v>
      </c>
      <c r="G10" s="223" t="s">
        <v>414</v>
      </c>
      <c r="H10" s="223" t="s">
        <v>415</v>
      </c>
      <c r="I10" s="223" t="s">
        <v>416</v>
      </c>
      <c r="J10" s="223" t="s">
        <v>417</v>
      </c>
      <c r="K10" s="223" t="s">
        <v>418</v>
      </c>
      <c r="L10" s="223" t="s">
        <v>419</v>
      </c>
      <c r="M10" s="223" t="s">
        <v>420</v>
      </c>
      <c r="N10" s="223" t="s">
        <v>421</v>
      </c>
      <c r="O10" s="223" t="s">
        <v>422</v>
      </c>
      <c r="P10" s="223" t="s">
        <v>423</v>
      </c>
      <c r="Q10" s="227">
        <v>1</v>
      </c>
      <c r="R10" s="223" t="s">
        <v>441</v>
      </c>
      <c r="S10" s="223" t="s">
        <v>442</v>
      </c>
      <c r="T10" s="224">
        <v>80111620</v>
      </c>
      <c r="U10" s="223" t="s">
        <v>443</v>
      </c>
      <c r="V10" s="224">
        <v>1</v>
      </c>
      <c r="W10" s="224">
        <v>1</v>
      </c>
      <c r="X10" s="224">
        <v>330</v>
      </c>
      <c r="Y10" s="229" t="s">
        <v>427</v>
      </c>
      <c r="Z10" s="230" t="s">
        <v>428</v>
      </c>
      <c r="AA10" s="318">
        <v>39655000</v>
      </c>
      <c r="AB10" s="231">
        <v>3605000</v>
      </c>
      <c r="AC10" s="230" t="s">
        <v>444</v>
      </c>
      <c r="AD10" s="230" t="s">
        <v>430</v>
      </c>
      <c r="AE10" s="232"/>
      <c r="AF10" s="233"/>
      <c r="AG10" s="234"/>
      <c r="AH10" s="284"/>
      <c r="AI10" s="342">
        <f t="shared" si="0"/>
        <v>1201666.6666666667</v>
      </c>
      <c r="AJ10" s="342">
        <f t="shared" si="1"/>
        <v>3605000</v>
      </c>
      <c r="AK10" s="342">
        <v>3605000</v>
      </c>
      <c r="AL10" s="312">
        <v>3605000</v>
      </c>
      <c r="AM10" s="312">
        <v>3605000</v>
      </c>
      <c r="AN10" s="312">
        <v>3605000</v>
      </c>
      <c r="AO10" s="312">
        <v>3605000</v>
      </c>
      <c r="AP10" s="312">
        <v>3605000</v>
      </c>
      <c r="AQ10" s="312">
        <v>3605000</v>
      </c>
      <c r="AR10" s="312">
        <v>3605000</v>
      </c>
      <c r="AS10" s="312">
        <v>3605000</v>
      </c>
      <c r="AT10" s="312">
        <f t="shared" si="2"/>
        <v>2403333.3333333335</v>
      </c>
      <c r="AU10" s="309">
        <f t="shared" si="3"/>
        <v>39655000.000000007</v>
      </c>
      <c r="AV10" s="286">
        <f t="shared" si="4"/>
        <v>0</v>
      </c>
      <c r="AX10" s="283">
        <f t="shared" si="5"/>
        <v>39655000.000000007</v>
      </c>
      <c r="AY10" s="283">
        <v>0</v>
      </c>
      <c r="AZ10" s="283">
        <v>0</v>
      </c>
      <c r="BA10" s="283">
        <v>0</v>
      </c>
      <c r="BB10" s="282">
        <f t="shared" si="6"/>
        <v>39655000.000000007</v>
      </c>
    </row>
    <row r="11" spans="1:54">
      <c r="A11" s="223" t="s">
        <v>412</v>
      </c>
      <c r="B11" s="224" t="s">
        <v>413</v>
      </c>
      <c r="C11" s="224" t="s">
        <v>413</v>
      </c>
      <c r="D11" s="224">
        <v>371</v>
      </c>
      <c r="E11" s="225">
        <v>371</v>
      </c>
      <c r="F11" s="226">
        <v>7673</v>
      </c>
      <c r="G11" s="223" t="s">
        <v>414</v>
      </c>
      <c r="H11" s="223" t="s">
        <v>415</v>
      </c>
      <c r="I11" s="223" t="s">
        <v>416</v>
      </c>
      <c r="J11" s="223" t="s">
        <v>417</v>
      </c>
      <c r="K11" s="223" t="s">
        <v>418</v>
      </c>
      <c r="L11" s="223" t="s">
        <v>419</v>
      </c>
      <c r="M11" s="223" t="s">
        <v>420</v>
      </c>
      <c r="N11" s="223" t="s">
        <v>421</v>
      </c>
      <c r="O11" s="223" t="s">
        <v>422</v>
      </c>
      <c r="P11" s="223" t="s">
        <v>423</v>
      </c>
      <c r="Q11" s="227">
        <v>1</v>
      </c>
      <c r="R11" s="223" t="s">
        <v>441</v>
      </c>
      <c r="S11" s="223" t="s">
        <v>442</v>
      </c>
      <c r="T11" s="224">
        <v>80111620</v>
      </c>
      <c r="U11" s="223" t="s">
        <v>443</v>
      </c>
      <c r="V11" s="224">
        <v>1</v>
      </c>
      <c r="W11" s="224">
        <v>1</v>
      </c>
      <c r="X11" s="224">
        <v>330</v>
      </c>
      <c r="Y11" s="229" t="s">
        <v>427</v>
      </c>
      <c r="Z11" s="230" t="s">
        <v>428</v>
      </c>
      <c r="AA11" s="318">
        <v>39655000</v>
      </c>
      <c r="AB11" s="231">
        <v>3605000</v>
      </c>
      <c r="AC11" s="230" t="s">
        <v>444</v>
      </c>
      <c r="AD11" s="230" t="s">
        <v>430</v>
      </c>
      <c r="AE11" s="232"/>
      <c r="AF11" s="233"/>
      <c r="AG11" s="234"/>
      <c r="AH11" s="284"/>
      <c r="AI11" s="342">
        <f t="shared" si="0"/>
        <v>1201666.6666666667</v>
      </c>
      <c r="AJ11" s="342">
        <f t="shared" si="1"/>
        <v>3605000</v>
      </c>
      <c r="AK11" s="342">
        <v>3605000</v>
      </c>
      <c r="AL11" s="312">
        <v>3605000</v>
      </c>
      <c r="AM11" s="312">
        <v>3605000</v>
      </c>
      <c r="AN11" s="312">
        <v>3605000</v>
      </c>
      <c r="AO11" s="312">
        <v>3605000</v>
      </c>
      <c r="AP11" s="312">
        <v>3605000</v>
      </c>
      <c r="AQ11" s="312">
        <v>3605000</v>
      </c>
      <c r="AR11" s="312">
        <v>3605000</v>
      </c>
      <c r="AS11" s="312">
        <v>3605000</v>
      </c>
      <c r="AT11" s="312">
        <f t="shared" si="2"/>
        <v>2403333.3333333335</v>
      </c>
      <c r="AU11" s="309">
        <f t="shared" si="3"/>
        <v>39655000.000000007</v>
      </c>
      <c r="AV11" s="286">
        <f t="shared" si="4"/>
        <v>0</v>
      </c>
      <c r="AX11" s="283">
        <f t="shared" si="5"/>
        <v>39655000.000000007</v>
      </c>
      <c r="AY11" s="283">
        <v>0</v>
      </c>
      <c r="AZ11" s="283">
        <v>0</v>
      </c>
      <c r="BA11" s="283">
        <v>0</v>
      </c>
      <c r="BB11" s="282">
        <f t="shared" si="6"/>
        <v>39655000.000000007</v>
      </c>
    </row>
    <row r="12" spans="1:54">
      <c r="A12" s="223" t="s">
        <v>412</v>
      </c>
      <c r="B12" s="224" t="s">
        <v>413</v>
      </c>
      <c r="C12" s="224" t="s">
        <v>413</v>
      </c>
      <c r="D12" s="224">
        <v>372</v>
      </c>
      <c r="E12" s="225">
        <v>372</v>
      </c>
      <c r="F12" s="226">
        <v>7673</v>
      </c>
      <c r="G12" s="223" t="s">
        <v>414</v>
      </c>
      <c r="H12" s="223" t="s">
        <v>415</v>
      </c>
      <c r="I12" s="223" t="s">
        <v>416</v>
      </c>
      <c r="J12" s="223" t="s">
        <v>417</v>
      </c>
      <c r="K12" s="223" t="s">
        <v>418</v>
      </c>
      <c r="L12" s="223" t="s">
        <v>419</v>
      </c>
      <c r="M12" s="223" t="s">
        <v>420</v>
      </c>
      <c r="N12" s="223" t="s">
        <v>421</v>
      </c>
      <c r="O12" s="223" t="s">
        <v>422</v>
      </c>
      <c r="P12" s="223" t="s">
        <v>423</v>
      </c>
      <c r="Q12" s="227">
        <v>1</v>
      </c>
      <c r="R12" s="223" t="s">
        <v>441</v>
      </c>
      <c r="S12" s="223" t="s">
        <v>442</v>
      </c>
      <c r="T12" s="224">
        <v>80111620</v>
      </c>
      <c r="U12" s="223" t="s">
        <v>443</v>
      </c>
      <c r="V12" s="224">
        <v>1</v>
      </c>
      <c r="W12" s="224">
        <v>1</v>
      </c>
      <c r="X12" s="224">
        <v>330</v>
      </c>
      <c r="Y12" s="229" t="s">
        <v>427</v>
      </c>
      <c r="Z12" s="230" t="s">
        <v>428</v>
      </c>
      <c r="AA12" s="318">
        <v>39655000</v>
      </c>
      <c r="AB12" s="231">
        <v>3605000</v>
      </c>
      <c r="AC12" s="230" t="s">
        <v>444</v>
      </c>
      <c r="AD12" s="230" t="s">
        <v>430</v>
      </c>
      <c r="AE12" s="232"/>
      <c r="AF12" s="233"/>
      <c r="AG12" s="234"/>
      <c r="AH12" s="284"/>
      <c r="AI12" s="342">
        <f t="shared" si="0"/>
        <v>1201666.6666666667</v>
      </c>
      <c r="AJ12" s="342">
        <f t="shared" si="1"/>
        <v>3605000</v>
      </c>
      <c r="AK12" s="342">
        <v>3605000</v>
      </c>
      <c r="AL12" s="342">
        <v>3605000</v>
      </c>
      <c r="AM12" s="312">
        <v>3605000</v>
      </c>
      <c r="AN12" s="312">
        <v>3605000</v>
      </c>
      <c r="AO12" s="312">
        <v>3605000</v>
      </c>
      <c r="AP12" s="312">
        <v>3605000</v>
      </c>
      <c r="AQ12" s="312">
        <v>3605000</v>
      </c>
      <c r="AR12" s="312">
        <v>3605000</v>
      </c>
      <c r="AS12" s="312">
        <v>3605000</v>
      </c>
      <c r="AT12" s="312">
        <f t="shared" si="2"/>
        <v>2403333.3333333335</v>
      </c>
      <c r="AU12" s="309">
        <f t="shared" si="3"/>
        <v>39655000.000000007</v>
      </c>
      <c r="AV12" s="286">
        <f t="shared" si="4"/>
        <v>0</v>
      </c>
      <c r="AX12" s="283">
        <f t="shared" si="5"/>
        <v>39655000.000000007</v>
      </c>
      <c r="AY12" s="283">
        <v>0</v>
      </c>
      <c r="AZ12" s="283">
        <v>0</v>
      </c>
      <c r="BA12" s="283">
        <v>0</v>
      </c>
      <c r="BB12" s="282">
        <f t="shared" si="6"/>
        <v>39655000.000000007</v>
      </c>
    </row>
    <row r="13" spans="1:54">
      <c r="A13" s="223" t="s">
        <v>412</v>
      </c>
      <c r="B13" s="224" t="s">
        <v>413</v>
      </c>
      <c r="C13" s="224" t="s">
        <v>413</v>
      </c>
      <c r="D13" s="224">
        <v>373</v>
      </c>
      <c r="E13" s="225">
        <v>373</v>
      </c>
      <c r="F13" s="226">
        <v>7673</v>
      </c>
      <c r="G13" s="223" t="s">
        <v>414</v>
      </c>
      <c r="H13" s="223" t="s">
        <v>415</v>
      </c>
      <c r="I13" s="223" t="s">
        <v>416</v>
      </c>
      <c r="J13" s="223" t="s">
        <v>417</v>
      </c>
      <c r="K13" s="223" t="s">
        <v>418</v>
      </c>
      <c r="L13" s="223" t="s">
        <v>419</v>
      </c>
      <c r="M13" s="223" t="s">
        <v>420</v>
      </c>
      <c r="N13" s="223" t="s">
        <v>421</v>
      </c>
      <c r="O13" s="223" t="s">
        <v>422</v>
      </c>
      <c r="P13" s="223" t="s">
        <v>423</v>
      </c>
      <c r="Q13" s="227">
        <v>1</v>
      </c>
      <c r="R13" s="223" t="s">
        <v>441</v>
      </c>
      <c r="S13" s="223" t="s">
        <v>442</v>
      </c>
      <c r="T13" s="224">
        <v>80111620</v>
      </c>
      <c r="U13" s="223" t="s">
        <v>443</v>
      </c>
      <c r="V13" s="224">
        <v>1</v>
      </c>
      <c r="W13" s="224">
        <v>1</v>
      </c>
      <c r="X13" s="224">
        <v>330</v>
      </c>
      <c r="Y13" s="229" t="s">
        <v>427</v>
      </c>
      <c r="Z13" s="230" t="s">
        <v>428</v>
      </c>
      <c r="AA13" s="318">
        <v>39655000</v>
      </c>
      <c r="AB13" s="231">
        <v>3605000</v>
      </c>
      <c r="AC13" s="230" t="s">
        <v>444</v>
      </c>
      <c r="AD13" s="230" t="s">
        <v>430</v>
      </c>
      <c r="AE13" s="232"/>
      <c r="AF13" s="233"/>
      <c r="AG13" s="234"/>
      <c r="AH13" s="284"/>
      <c r="AI13" s="342">
        <f t="shared" si="0"/>
        <v>1201666.6666666667</v>
      </c>
      <c r="AJ13" s="342">
        <f t="shared" si="1"/>
        <v>3605000</v>
      </c>
      <c r="AK13" s="342">
        <v>3605000</v>
      </c>
      <c r="AL13" s="342">
        <v>3605000</v>
      </c>
      <c r="AM13" s="312">
        <v>3605000</v>
      </c>
      <c r="AN13" s="312">
        <v>3605000</v>
      </c>
      <c r="AO13" s="312">
        <v>3605000</v>
      </c>
      <c r="AP13" s="312">
        <v>3605000</v>
      </c>
      <c r="AQ13" s="312">
        <v>3605000</v>
      </c>
      <c r="AR13" s="312">
        <v>3605000</v>
      </c>
      <c r="AS13" s="312">
        <v>3605000</v>
      </c>
      <c r="AT13" s="312">
        <f t="shared" si="2"/>
        <v>2403333.3333333335</v>
      </c>
      <c r="AU13" s="309">
        <f t="shared" si="3"/>
        <v>39655000.000000007</v>
      </c>
      <c r="AV13" s="286">
        <f t="shared" si="4"/>
        <v>0</v>
      </c>
      <c r="AX13" s="283">
        <f t="shared" si="5"/>
        <v>39655000.000000007</v>
      </c>
      <c r="AY13" s="283">
        <v>0</v>
      </c>
      <c r="AZ13" s="283">
        <v>0</v>
      </c>
      <c r="BA13" s="283">
        <v>0</v>
      </c>
      <c r="BB13" s="282">
        <f t="shared" si="6"/>
        <v>39655000.000000007</v>
      </c>
    </row>
    <row r="14" spans="1:54">
      <c r="A14" s="223" t="s">
        <v>412</v>
      </c>
      <c r="B14" s="224" t="s">
        <v>413</v>
      </c>
      <c r="C14" s="224" t="s">
        <v>413</v>
      </c>
      <c r="D14" s="224">
        <v>374</v>
      </c>
      <c r="E14" s="225">
        <v>374</v>
      </c>
      <c r="F14" s="226">
        <v>7673</v>
      </c>
      <c r="G14" s="223" t="s">
        <v>414</v>
      </c>
      <c r="H14" s="223" t="s">
        <v>415</v>
      </c>
      <c r="I14" s="223" t="s">
        <v>416</v>
      </c>
      <c r="J14" s="223" t="s">
        <v>417</v>
      </c>
      <c r="K14" s="223" t="s">
        <v>418</v>
      </c>
      <c r="L14" s="223" t="s">
        <v>419</v>
      </c>
      <c r="M14" s="223" t="s">
        <v>420</v>
      </c>
      <c r="N14" s="223" t="s">
        <v>421</v>
      </c>
      <c r="O14" s="223" t="s">
        <v>422</v>
      </c>
      <c r="P14" s="223" t="s">
        <v>423</v>
      </c>
      <c r="Q14" s="227">
        <v>1</v>
      </c>
      <c r="R14" s="223" t="s">
        <v>441</v>
      </c>
      <c r="S14" s="223" t="s">
        <v>442</v>
      </c>
      <c r="T14" s="224">
        <v>80111620</v>
      </c>
      <c r="U14" s="223" t="s">
        <v>443</v>
      </c>
      <c r="V14" s="224">
        <v>1</v>
      </c>
      <c r="W14" s="224">
        <v>1</v>
      </c>
      <c r="X14" s="224">
        <v>330</v>
      </c>
      <c r="Y14" s="229" t="s">
        <v>427</v>
      </c>
      <c r="Z14" s="230" t="s">
        <v>428</v>
      </c>
      <c r="AA14" s="318">
        <v>39655000</v>
      </c>
      <c r="AB14" s="231">
        <v>3605000</v>
      </c>
      <c r="AC14" s="230" t="s">
        <v>444</v>
      </c>
      <c r="AD14" s="230" t="s">
        <v>430</v>
      </c>
      <c r="AE14" s="232"/>
      <c r="AF14" s="233"/>
      <c r="AG14" s="234"/>
      <c r="AH14" s="284"/>
      <c r="AI14" s="342">
        <f t="shared" si="0"/>
        <v>1201666.6666666667</v>
      </c>
      <c r="AJ14" s="342">
        <f t="shared" si="1"/>
        <v>3605000</v>
      </c>
      <c r="AK14" s="342">
        <v>3605000</v>
      </c>
      <c r="AL14" s="342">
        <v>3605000</v>
      </c>
      <c r="AM14" s="312">
        <v>3605000</v>
      </c>
      <c r="AN14" s="312">
        <v>3605000</v>
      </c>
      <c r="AO14" s="312">
        <v>3605000</v>
      </c>
      <c r="AP14" s="312">
        <v>3605000</v>
      </c>
      <c r="AQ14" s="312">
        <v>3605000</v>
      </c>
      <c r="AR14" s="312">
        <v>3605000</v>
      </c>
      <c r="AS14" s="312">
        <v>3605000</v>
      </c>
      <c r="AT14" s="312">
        <f t="shared" si="2"/>
        <v>2403333.3333333335</v>
      </c>
      <c r="AU14" s="309">
        <f t="shared" si="3"/>
        <v>39655000.000000007</v>
      </c>
      <c r="AV14" s="286">
        <f t="shared" si="4"/>
        <v>0</v>
      </c>
      <c r="AX14" s="283">
        <f t="shared" si="5"/>
        <v>39655000.000000007</v>
      </c>
      <c r="AY14" s="283">
        <v>0</v>
      </c>
      <c r="AZ14" s="283">
        <v>0</v>
      </c>
      <c r="BA14" s="283">
        <v>0</v>
      </c>
      <c r="BB14" s="282">
        <f t="shared" si="6"/>
        <v>39655000.000000007</v>
      </c>
    </row>
    <row r="15" spans="1:54">
      <c r="A15" s="223" t="s">
        <v>412</v>
      </c>
      <c r="B15" s="224" t="s">
        <v>413</v>
      </c>
      <c r="C15" s="224" t="s">
        <v>413</v>
      </c>
      <c r="D15" s="224">
        <v>375</v>
      </c>
      <c r="E15" s="225">
        <v>375</v>
      </c>
      <c r="F15" s="226">
        <v>7673</v>
      </c>
      <c r="G15" s="223" t="s">
        <v>414</v>
      </c>
      <c r="H15" s="223" t="s">
        <v>415</v>
      </c>
      <c r="I15" s="223" t="s">
        <v>416</v>
      </c>
      <c r="J15" s="223" t="s">
        <v>417</v>
      </c>
      <c r="K15" s="223" t="s">
        <v>418</v>
      </c>
      <c r="L15" s="223" t="s">
        <v>419</v>
      </c>
      <c r="M15" s="223" t="s">
        <v>420</v>
      </c>
      <c r="N15" s="223" t="s">
        <v>421</v>
      </c>
      <c r="O15" s="223" t="s">
        <v>422</v>
      </c>
      <c r="P15" s="223" t="s">
        <v>423</v>
      </c>
      <c r="Q15" s="227">
        <v>1</v>
      </c>
      <c r="R15" s="223" t="s">
        <v>441</v>
      </c>
      <c r="S15" s="223" t="s">
        <v>442</v>
      </c>
      <c r="T15" s="224">
        <v>80111620</v>
      </c>
      <c r="U15" s="223" t="s">
        <v>443</v>
      </c>
      <c r="V15" s="224">
        <v>1</v>
      </c>
      <c r="W15" s="224">
        <v>1</v>
      </c>
      <c r="X15" s="224">
        <v>330</v>
      </c>
      <c r="Y15" s="229" t="s">
        <v>427</v>
      </c>
      <c r="Z15" s="230" t="s">
        <v>428</v>
      </c>
      <c r="AA15" s="318">
        <v>39655000</v>
      </c>
      <c r="AB15" s="231">
        <v>3605000</v>
      </c>
      <c r="AC15" s="230" t="s">
        <v>444</v>
      </c>
      <c r="AD15" s="230" t="s">
        <v>430</v>
      </c>
      <c r="AE15" s="232"/>
      <c r="AF15" s="233"/>
      <c r="AG15" s="234"/>
      <c r="AH15" s="284"/>
      <c r="AI15" s="342">
        <f t="shared" si="0"/>
        <v>1201666.6666666667</v>
      </c>
      <c r="AJ15" s="342">
        <f t="shared" si="1"/>
        <v>3605000</v>
      </c>
      <c r="AK15" s="342">
        <v>3605000</v>
      </c>
      <c r="AL15" s="342">
        <v>3605000</v>
      </c>
      <c r="AM15" s="312">
        <v>3605000</v>
      </c>
      <c r="AN15" s="312">
        <v>3605000</v>
      </c>
      <c r="AO15" s="312">
        <v>3605000</v>
      </c>
      <c r="AP15" s="312">
        <v>3605000</v>
      </c>
      <c r="AQ15" s="312">
        <v>3605000</v>
      </c>
      <c r="AR15" s="312">
        <v>3605000</v>
      </c>
      <c r="AS15" s="312">
        <v>3605000</v>
      </c>
      <c r="AT15" s="312">
        <f t="shared" si="2"/>
        <v>2403333.3333333335</v>
      </c>
      <c r="AU15" s="309">
        <f t="shared" si="3"/>
        <v>39655000.000000007</v>
      </c>
      <c r="AV15" s="286">
        <f t="shared" si="4"/>
        <v>0</v>
      </c>
      <c r="AX15" s="283">
        <f t="shared" si="5"/>
        <v>39655000.000000007</v>
      </c>
      <c r="AY15" s="283">
        <v>0</v>
      </c>
      <c r="AZ15" s="283">
        <v>0</v>
      </c>
      <c r="BA15" s="283">
        <v>0</v>
      </c>
      <c r="BB15" s="282">
        <f t="shared" si="6"/>
        <v>39655000.000000007</v>
      </c>
    </row>
    <row r="16" spans="1:54">
      <c r="A16" s="223" t="s">
        <v>412</v>
      </c>
      <c r="B16" s="224" t="s">
        <v>413</v>
      </c>
      <c r="C16" s="224" t="s">
        <v>413</v>
      </c>
      <c r="D16" s="224">
        <v>376</v>
      </c>
      <c r="E16" s="225">
        <v>376</v>
      </c>
      <c r="F16" s="226">
        <v>7673</v>
      </c>
      <c r="G16" s="223" t="s">
        <v>414</v>
      </c>
      <c r="H16" s="223" t="s">
        <v>415</v>
      </c>
      <c r="I16" s="223" t="s">
        <v>416</v>
      </c>
      <c r="J16" s="223" t="s">
        <v>417</v>
      </c>
      <c r="K16" s="223" t="s">
        <v>418</v>
      </c>
      <c r="L16" s="223" t="s">
        <v>419</v>
      </c>
      <c r="M16" s="223" t="s">
        <v>420</v>
      </c>
      <c r="N16" s="223" t="s">
        <v>421</v>
      </c>
      <c r="O16" s="223" t="s">
        <v>422</v>
      </c>
      <c r="P16" s="223" t="s">
        <v>423</v>
      </c>
      <c r="Q16" s="227">
        <v>1</v>
      </c>
      <c r="R16" s="223" t="s">
        <v>441</v>
      </c>
      <c r="S16" s="223" t="s">
        <v>442</v>
      </c>
      <c r="T16" s="224">
        <v>80111620</v>
      </c>
      <c r="U16" s="223" t="s">
        <v>443</v>
      </c>
      <c r="V16" s="224">
        <v>1</v>
      </c>
      <c r="W16" s="224">
        <v>1</v>
      </c>
      <c r="X16" s="224">
        <v>330</v>
      </c>
      <c r="Y16" s="229" t="s">
        <v>427</v>
      </c>
      <c r="Z16" s="230" t="s">
        <v>428</v>
      </c>
      <c r="AA16" s="318">
        <v>39655000</v>
      </c>
      <c r="AB16" s="231">
        <v>3605000</v>
      </c>
      <c r="AC16" s="230" t="s">
        <v>444</v>
      </c>
      <c r="AD16" s="230" t="s">
        <v>430</v>
      </c>
      <c r="AE16" s="232"/>
      <c r="AF16" s="233"/>
      <c r="AG16" s="234"/>
      <c r="AH16" s="284"/>
      <c r="AI16" s="342">
        <f t="shared" si="0"/>
        <v>1201666.6666666667</v>
      </c>
      <c r="AJ16" s="342">
        <f t="shared" si="1"/>
        <v>3605000</v>
      </c>
      <c r="AK16" s="342">
        <v>3605000</v>
      </c>
      <c r="AL16" s="342">
        <v>3605000</v>
      </c>
      <c r="AM16" s="312">
        <v>3605000</v>
      </c>
      <c r="AN16" s="312">
        <v>3605000</v>
      </c>
      <c r="AO16" s="312">
        <v>3605000</v>
      </c>
      <c r="AP16" s="312">
        <v>3605000</v>
      </c>
      <c r="AQ16" s="312">
        <v>3605000</v>
      </c>
      <c r="AR16" s="312">
        <v>3605000</v>
      </c>
      <c r="AS16" s="312">
        <v>3605000</v>
      </c>
      <c r="AT16" s="312">
        <f t="shared" si="2"/>
        <v>2403333.3333333335</v>
      </c>
      <c r="AU16" s="309">
        <f t="shared" si="3"/>
        <v>39655000.000000007</v>
      </c>
      <c r="AV16" s="286">
        <f t="shared" si="4"/>
        <v>0</v>
      </c>
      <c r="AX16" s="283">
        <f t="shared" si="5"/>
        <v>39655000.000000007</v>
      </c>
      <c r="AY16" s="283">
        <v>0</v>
      </c>
      <c r="AZ16" s="283">
        <v>0</v>
      </c>
      <c r="BA16" s="283">
        <v>0</v>
      </c>
      <c r="BB16" s="282">
        <f t="shared" si="6"/>
        <v>39655000.000000007</v>
      </c>
    </row>
    <row r="17" spans="1:54">
      <c r="A17" s="223" t="s">
        <v>412</v>
      </c>
      <c r="B17" s="224" t="s">
        <v>413</v>
      </c>
      <c r="C17" s="224" t="s">
        <v>413</v>
      </c>
      <c r="D17" s="224">
        <v>377</v>
      </c>
      <c r="E17" s="225">
        <v>377</v>
      </c>
      <c r="F17" s="226">
        <v>7673</v>
      </c>
      <c r="G17" s="223" t="s">
        <v>414</v>
      </c>
      <c r="H17" s="223" t="s">
        <v>415</v>
      </c>
      <c r="I17" s="223" t="s">
        <v>416</v>
      </c>
      <c r="J17" s="223" t="s">
        <v>417</v>
      </c>
      <c r="K17" s="223" t="s">
        <v>418</v>
      </c>
      <c r="L17" s="223" t="s">
        <v>419</v>
      </c>
      <c r="M17" s="223" t="s">
        <v>420</v>
      </c>
      <c r="N17" s="223" t="s">
        <v>421</v>
      </c>
      <c r="O17" s="223" t="s">
        <v>422</v>
      </c>
      <c r="P17" s="223" t="s">
        <v>423</v>
      </c>
      <c r="Q17" s="227">
        <v>1</v>
      </c>
      <c r="R17" s="223" t="s">
        <v>441</v>
      </c>
      <c r="S17" s="223" t="s">
        <v>442</v>
      </c>
      <c r="T17" s="224">
        <v>80111620</v>
      </c>
      <c r="U17" s="223" t="s">
        <v>443</v>
      </c>
      <c r="V17" s="224">
        <v>1</v>
      </c>
      <c r="W17" s="224">
        <v>1</v>
      </c>
      <c r="X17" s="224">
        <v>330</v>
      </c>
      <c r="Y17" s="229" t="s">
        <v>427</v>
      </c>
      <c r="Z17" s="230" t="s">
        <v>428</v>
      </c>
      <c r="AA17" s="318">
        <v>39655000</v>
      </c>
      <c r="AB17" s="231">
        <v>3605000</v>
      </c>
      <c r="AC17" s="230" t="s">
        <v>444</v>
      </c>
      <c r="AD17" s="230" t="s">
        <v>430</v>
      </c>
      <c r="AE17" s="232"/>
      <c r="AF17" s="233"/>
      <c r="AG17" s="234"/>
      <c r="AH17" s="284"/>
      <c r="AI17" s="342">
        <f t="shared" si="0"/>
        <v>1201666.6666666667</v>
      </c>
      <c r="AJ17" s="342">
        <f t="shared" si="1"/>
        <v>3605000</v>
      </c>
      <c r="AK17" s="342">
        <v>3605000</v>
      </c>
      <c r="AL17" s="342">
        <v>3605000</v>
      </c>
      <c r="AM17" s="312">
        <v>3605000</v>
      </c>
      <c r="AN17" s="312">
        <v>3605000</v>
      </c>
      <c r="AO17" s="312">
        <v>3605000</v>
      </c>
      <c r="AP17" s="312">
        <v>3605000</v>
      </c>
      <c r="AQ17" s="312">
        <v>3605000</v>
      </c>
      <c r="AR17" s="312">
        <v>3605000</v>
      </c>
      <c r="AS17" s="312">
        <v>3605000</v>
      </c>
      <c r="AT17" s="312">
        <f t="shared" si="2"/>
        <v>2403333.3333333335</v>
      </c>
      <c r="AU17" s="309">
        <f t="shared" si="3"/>
        <v>39655000.000000007</v>
      </c>
      <c r="AV17" s="286">
        <f t="shared" si="4"/>
        <v>0</v>
      </c>
      <c r="AX17" s="283">
        <f t="shared" si="5"/>
        <v>39655000.000000007</v>
      </c>
      <c r="AY17" s="283">
        <v>0</v>
      </c>
      <c r="AZ17" s="283">
        <v>0</v>
      </c>
      <c r="BA17" s="283">
        <v>0</v>
      </c>
      <c r="BB17" s="282">
        <f t="shared" si="6"/>
        <v>39655000.000000007</v>
      </c>
    </row>
    <row r="18" spans="1:54">
      <c r="A18" s="223" t="s">
        <v>412</v>
      </c>
      <c r="B18" s="224" t="s">
        <v>413</v>
      </c>
      <c r="C18" s="224" t="s">
        <v>413</v>
      </c>
      <c r="D18" s="224">
        <v>378</v>
      </c>
      <c r="E18" s="225">
        <v>378</v>
      </c>
      <c r="F18" s="226">
        <v>7673</v>
      </c>
      <c r="G18" s="223" t="s">
        <v>414</v>
      </c>
      <c r="H18" s="223" t="s">
        <v>415</v>
      </c>
      <c r="I18" s="223" t="s">
        <v>416</v>
      </c>
      <c r="J18" s="223" t="s">
        <v>417</v>
      </c>
      <c r="K18" s="223" t="s">
        <v>418</v>
      </c>
      <c r="L18" s="223" t="s">
        <v>419</v>
      </c>
      <c r="M18" s="223" t="s">
        <v>420</v>
      </c>
      <c r="N18" s="223" t="s">
        <v>421</v>
      </c>
      <c r="O18" s="223" t="s">
        <v>422</v>
      </c>
      <c r="P18" s="223" t="s">
        <v>423</v>
      </c>
      <c r="Q18" s="227">
        <v>1</v>
      </c>
      <c r="R18" s="223" t="s">
        <v>441</v>
      </c>
      <c r="S18" s="223" t="s">
        <v>442</v>
      </c>
      <c r="T18" s="224">
        <v>80111620</v>
      </c>
      <c r="U18" s="223" t="s">
        <v>443</v>
      </c>
      <c r="V18" s="224">
        <v>1</v>
      </c>
      <c r="W18" s="224">
        <v>1</v>
      </c>
      <c r="X18" s="224">
        <v>330</v>
      </c>
      <c r="Y18" s="229" t="s">
        <v>427</v>
      </c>
      <c r="Z18" s="230" t="s">
        <v>428</v>
      </c>
      <c r="AA18" s="318">
        <v>39655000</v>
      </c>
      <c r="AB18" s="231">
        <v>3605000</v>
      </c>
      <c r="AC18" s="230" t="s">
        <v>444</v>
      </c>
      <c r="AD18" s="230" t="s">
        <v>430</v>
      </c>
      <c r="AE18" s="232"/>
      <c r="AF18" s="233"/>
      <c r="AG18" s="234"/>
      <c r="AH18" s="284"/>
      <c r="AI18" s="342">
        <f t="shared" si="0"/>
        <v>1201666.6666666667</v>
      </c>
      <c r="AJ18" s="342">
        <f t="shared" si="1"/>
        <v>3605000</v>
      </c>
      <c r="AK18" s="342">
        <v>3605000</v>
      </c>
      <c r="AL18" s="342">
        <v>3605000</v>
      </c>
      <c r="AM18" s="312">
        <v>3605000</v>
      </c>
      <c r="AN18" s="312">
        <v>3605000</v>
      </c>
      <c r="AO18" s="312">
        <v>3605000</v>
      </c>
      <c r="AP18" s="312">
        <v>3605000</v>
      </c>
      <c r="AQ18" s="312">
        <v>3605000</v>
      </c>
      <c r="AR18" s="312">
        <v>3605000</v>
      </c>
      <c r="AS18" s="312">
        <v>3605000</v>
      </c>
      <c r="AT18" s="312">
        <f t="shared" si="2"/>
        <v>2403333.3333333335</v>
      </c>
      <c r="AU18" s="309">
        <f t="shared" si="3"/>
        <v>39655000.000000007</v>
      </c>
      <c r="AV18" s="286">
        <f t="shared" si="4"/>
        <v>0</v>
      </c>
      <c r="AX18" s="283">
        <f t="shared" si="5"/>
        <v>39655000.000000007</v>
      </c>
      <c r="AY18" s="283">
        <v>0</v>
      </c>
      <c r="AZ18" s="283">
        <v>0</v>
      </c>
      <c r="BA18" s="283">
        <v>0</v>
      </c>
      <c r="BB18" s="282">
        <f t="shared" si="6"/>
        <v>39655000.000000007</v>
      </c>
    </row>
    <row r="19" spans="1:54">
      <c r="A19" s="223" t="s">
        <v>412</v>
      </c>
      <c r="B19" s="224" t="s">
        <v>413</v>
      </c>
      <c r="C19" s="224" t="s">
        <v>413</v>
      </c>
      <c r="D19" s="224">
        <v>379</v>
      </c>
      <c r="E19" s="225">
        <v>379</v>
      </c>
      <c r="F19" s="226">
        <v>7673</v>
      </c>
      <c r="G19" s="223" t="s">
        <v>414</v>
      </c>
      <c r="H19" s="223" t="s">
        <v>415</v>
      </c>
      <c r="I19" s="223" t="s">
        <v>416</v>
      </c>
      <c r="J19" s="223" t="s">
        <v>417</v>
      </c>
      <c r="K19" s="223" t="s">
        <v>418</v>
      </c>
      <c r="L19" s="223" t="s">
        <v>419</v>
      </c>
      <c r="M19" s="223" t="s">
        <v>420</v>
      </c>
      <c r="N19" s="223" t="s">
        <v>421</v>
      </c>
      <c r="O19" s="223" t="s">
        <v>422</v>
      </c>
      <c r="P19" s="223" t="s">
        <v>423</v>
      </c>
      <c r="Q19" s="227">
        <v>1</v>
      </c>
      <c r="R19" s="223" t="s">
        <v>441</v>
      </c>
      <c r="S19" s="223" t="s">
        <v>442</v>
      </c>
      <c r="T19" s="224">
        <v>80111620</v>
      </c>
      <c r="U19" s="223" t="s">
        <v>443</v>
      </c>
      <c r="V19" s="224">
        <v>1</v>
      </c>
      <c r="W19" s="224">
        <v>1</v>
      </c>
      <c r="X19" s="224">
        <v>330</v>
      </c>
      <c r="Y19" s="229" t="s">
        <v>427</v>
      </c>
      <c r="Z19" s="230" t="s">
        <v>428</v>
      </c>
      <c r="AA19" s="318">
        <v>39655000</v>
      </c>
      <c r="AB19" s="231">
        <v>3605000</v>
      </c>
      <c r="AC19" s="230" t="s">
        <v>444</v>
      </c>
      <c r="AD19" s="230" t="s">
        <v>430</v>
      </c>
      <c r="AE19" s="232"/>
      <c r="AF19" s="233"/>
      <c r="AG19" s="234"/>
      <c r="AH19" s="284"/>
      <c r="AI19" s="342">
        <f t="shared" si="0"/>
        <v>1201666.6666666667</v>
      </c>
      <c r="AJ19" s="342">
        <f t="shared" si="1"/>
        <v>3605000</v>
      </c>
      <c r="AK19" s="342">
        <v>3605000</v>
      </c>
      <c r="AL19" s="342">
        <v>3605000</v>
      </c>
      <c r="AM19" s="312">
        <v>3605000</v>
      </c>
      <c r="AN19" s="312">
        <v>3605000</v>
      </c>
      <c r="AO19" s="312">
        <v>3605000</v>
      </c>
      <c r="AP19" s="312">
        <v>3605000</v>
      </c>
      <c r="AQ19" s="312">
        <v>3605000</v>
      </c>
      <c r="AR19" s="312">
        <v>3605000</v>
      </c>
      <c r="AS19" s="312">
        <v>3605000</v>
      </c>
      <c r="AT19" s="312">
        <f t="shared" si="2"/>
        <v>2403333.3333333335</v>
      </c>
      <c r="AU19" s="309">
        <f t="shared" si="3"/>
        <v>39655000.000000007</v>
      </c>
      <c r="AV19" s="286">
        <f t="shared" si="4"/>
        <v>0</v>
      </c>
      <c r="AX19" s="283">
        <f t="shared" si="5"/>
        <v>39655000.000000007</v>
      </c>
      <c r="AY19" s="283">
        <v>0</v>
      </c>
      <c r="AZ19" s="283">
        <v>0</v>
      </c>
      <c r="BA19" s="283">
        <v>0</v>
      </c>
      <c r="BB19" s="282">
        <f t="shared" si="6"/>
        <v>39655000.000000007</v>
      </c>
    </row>
    <row r="20" spans="1:54">
      <c r="A20" s="223" t="s">
        <v>412</v>
      </c>
      <c r="B20" s="224" t="s">
        <v>413</v>
      </c>
      <c r="C20" s="224" t="s">
        <v>413</v>
      </c>
      <c r="D20" s="224">
        <v>380</v>
      </c>
      <c r="E20" s="225">
        <v>380</v>
      </c>
      <c r="F20" s="226">
        <v>7673</v>
      </c>
      <c r="G20" s="223" t="s">
        <v>414</v>
      </c>
      <c r="H20" s="223" t="s">
        <v>415</v>
      </c>
      <c r="I20" s="223" t="s">
        <v>416</v>
      </c>
      <c r="J20" s="223" t="s">
        <v>417</v>
      </c>
      <c r="K20" s="223" t="s">
        <v>418</v>
      </c>
      <c r="L20" s="223" t="s">
        <v>419</v>
      </c>
      <c r="M20" s="223" t="s">
        <v>420</v>
      </c>
      <c r="N20" s="223" t="s">
        <v>421</v>
      </c>
      <c r="O20" s="223" t="s">
        <v>422</v>
      </c>
      <c r="P20" s="223" t="s">
        <v>423</v>
      </c>
      <c r="Q20" s="227">
        <v>1</v>
      </c>
      <c r="R20" s="223" t="s">
        <v>441</v>
      </c>
      <c r="S20" s="223" t="s">
        <v>442</v>
      </c>
      <c r="T20" s="224">
        <v>80111620</v>
      </c>
      <c r="U20" s="223" t="s">
        <v>443</v>
      </c>
      <c r="V20" s="224">
        <v>1</v>
      </c>
      <c r="W20" s="224">
        <v>1</v>
      </c>
      <c r="X20" s="224">
        <v>330</v>
      </c>
      <c r="Y20" s="229" t="s">
        <v>427</v>
      </c>
      <c r="Z20" s="230" t="s">
        <v>428</v>
      </c>
      <c r="AA20" s="318">
        <v>39655000</v>
      </c>
      <c r="AB20" s="231">
        <v>3605000</v>
      </c>
      <c r="AC20" s="230" t="s">
        <v>444</v>
      </c>
      <c r="AD20" s="230" t="s">
        <v>430</v>
      </c>
      <c r="AE20" s="238"/>
      <c r="AF20" s="233"/>
      <c r="AG20" s="236"/>
      <c r="AH20" s="285"/>
      <c r="AI20" s="342">
        <f t="shared" si="0"/>
        <v>1201666.6666666667</v>
      </c>
      <c r="AJ20" s="342">
        <f t="shared" si="1"/>
        <v>3605000</v>
      </c>
      <c r="AK20" s="342">
        <v>3605000</v>
      </c>
      <c r="AL20" s="342">
        <v>3605000</v>
      </c>
      <c r="AM20" s="312">
        <v>3605000</v>
      </c>
      <c r="AN20" s="312">
        <v>3605000</v>
      </c>
      <c r="AO20" s="312">
        <v>3605000</v>
      </c>
      <c r="AP20" s="312">
        <v>3605000</v>
      </c>
      <c r="AQ20" s="312">
        <v>3605000</v>
      </c>
      <c r="AR20" s="312">
        <v>3605000</v>
      </c>
      <c r="AS20" s="312">
        <v>3605000</v>
      </c>
      <c r="AT20" s="312">
        <f t="shared" si="2"/>
        <v>2403333.3333333335</v>
      </c>
      <c r="AU20" s="309">
        <f t="shared" si="3"/>
        <v>39655000.000000007</v>
      </c>
      <c r="AV20" s="286">
        <f t="shared" si="4"/>
        <v>0</v>
      </c>
      <c r="AX20" s="283">
        <f t="shared" si="5"/>
        <v>39655000.000000007</v>
      </c>
      <c r="AY20" s="283">
        <v>0</v>
      </c>
      <c r="AZ20" s="283">
        <v>0</v>
      </c>
      <c r="BA20" s="283">
        <v>0</v>
      </c>
      <c r="BB20" s="282">
        <f t="shared" si="6"/>
        <v>39655000.000000007</v>
      </c>
    </row>
    <row r="21" spans="1:54">
      <c r="A21" s="223" t="s">
        <v>412</v>
      </c>
      <c r="B21" s="224" t="s">
        <v>413</v>
      </c>
      <c r="C21" s="224" t="s">
        <v>413</v>
      </c>
      <c r="D21" s="224">
        <v>381</v>
      </c>
      <c r="E21" s="225">
        <v>381</v>
      </c>
      <c r="F21" s="226">
        <v>7673</v>
      </c>
      <c r="G21" s="223" t="s">
        <v>414</v>
      </c>
      <c r="H21" s="223" t="s">
        <v>415</v>
      </c>
      <c r="I21" s="223" t="s">
        <v>416</v>
      </c>
      <c r="J21" s="223" t="s">
        <v>417</v>
      </c>
      <c r="K21" s="223" t="s">
        <v>418</v>
      </c>
      <c r="L21" s="223" t="s">
        <v>419</v>
      </c>
      <c r="M21" s="223" t="s">
        <v>420</v>
      </c>
      <c r="N21" s="223" t="s">
        <v>421</v>
      </c>
      <c r="O21" s="223" t="s">
        <v>422</v>
      </c>
      <c r="P21" s="223" t="s">
        <v>423</v>
      </c>
      <c r="Q21" s="227">
        <v>1</v>
      </c>
      <c r="R21" s="223" t="s">
        <v>441</v>
      </c>
      <c r="S21" s="223" t="s">
        <v>442</v>
      </c>
      <c r="T21" s="224">
        <v>80111620</v>
      </c>
      <c r="U21" s="223" t="s">
        <v>443</v>
      </c>
      <c r="V21" s="224">
        <v>1</v>
      </c>
      <c r="W21" s="224">
        <v>1</v>
      </c>
      <c r="X21" s="224">
        <v>330</v>
      </c>
      <c r="Y21" s="229" t="s">
        <v>427</v>
      </c>
      <c r="Z21" s="230" t="s">
        <v>428</v>
      </c>
      <c r="AA21" s="318">
        <v>39655000</v>
      </c>
      <c r="AB21" s="231">
        <v>3605000</v>
      </c>
      <c r="AC21" s="230" t="s">
        <v>444</v>
      </c>
      <c r="AD21" s="230" t="s">
        <v>430</v>
      </c>
      <c r="AE21" s="232"/>
      <c r="AF21" s="233"/>
      <c r="AG21" s="234"/>
      <c r="AH21" s="284"/>
      <c r="AI21" s="342">
        <f t="shared" si="0"/>
        <v>1201666.6666666667</v>
      </c>
      <c r="AJ21" s="342">
        <f t="shared" si="1"/>
        <v>3605000</v>
      </c>
      <c r="AK21" s="342">
        <v>3605000</v>
      </c>
      <c r="AL21" s="342">
        <v>3605000</v>
      </c>
      <c r="AM21" s="312">
        <v>3605000</v>
      </c>
      <c r="AN21" s="312">
        <v>3605000</v>
      </c>
      <c r="AO21" s="312">
        <v>3605000</v>
      </c>
      <c r="AP21" s="312">
        <v>3605000</v>
      </c>
      <c r="AQ21" s="312">
        <v>3605000</v>
      </c>
      <c r="AR21" s="312">
        <v>3605000</v>
      </c>
      <c r="AS21" s="312">
        <v>3605000</v>
      </c>
      <c r="AT21" s="312">
        <f t="shared" si="2"/>
        <v>2403333.3333333335</v>
      </c>
      <c r="AU21" s="309">
        <f t="shared" si="3"/>
        <v>39655000.000000007</v>
      </c>
      <c r="AV21" s="286">
        <f t="shared" si="4"/>
        <v>0</v>
      </c>
      <c r="AX21" s="283">
        <f t="shared" si="5"/>
        <v>39655000.000000007</v>
      </c>
      <c r="AY21" s="283">
        <v>0</v>
      </c>
      <c r="AZ21" s="283">
        <v>0</v>
      </c>
      <c r="BA21" s="283">
        <v>0</v>
      </c>
      <c r="BB21" s="282">
        <f t="shared" si="6"/>
        <v>39655000.000000007</v>
      </c>
    </row>
    <row r="22" spans="1:54">
      <c r="A22" s="223" t="s">
        <v>412</v>
      </c>
      <c r="B22" s="224" t="s">
        <v>413</v>
      </c>
      <c r="C22" s="224" t="s">
        <v>413</v>
      </c>
      <c r="D22" s="224">
        <v>382</v>
      </c>
      <c r="E22" s="225">
        <v>382</v>
      </c>
      <c r="F22" s="226">
        <v>7673</v>
      </c>
      <c r="G22" s="223" t="s">
        <v>414</v>
      </c>
      <c r="H22" s="223" t="s">
        <v>415</v>
      </c>
      <c r="I22" s="223" t="s">
        <v>416</v>
      </c>
      <c r="J22" s="223" t="s">
        <v>417</v>
      </c>
      <c r="K22" s="223" t="s">
        <v>418</v>
      </c>
      <c r="L22" s="223" t="s">
        <v>419</v>
      </c>
      <c r="M22" s="223" t="s">
        <v>420</v>
      </c>
      <c r="N22" s="223" t="s">
        <v>421</v>
      </c>
      <c r="O22" s="223" t="s">
        <v>422</v>
      </c>
      <c r="P22" s="223" t="s">
        <v>423</v>
      </c>
      <c r="Q22" s="227">
        <v>1</v>
      </c>
      <c r="R22" s="223" t="s">
        <v>441</v>
      </c>
      <c r="S22" s="223" t="s">
        <v>442</v>
      </c>
      <c r="T22" s="224">
        <v>80111620</v>
      </c>
      <c r="U22" s="223" t="s">
        <v>443</v>
      </c>
      <c r="V22" s="224">
        <v>1</v>
      </c>
      <c r="W22" s="224">
        <v>1</v>
      </c>
      <c r="X22" s="224">
        <v>330</v>
      </c>
      <c r="Y22" s="229" t="s">
        <v>427</v>
      </c>
      <c r="Z22" s="230" t="s">
        <v>428</v>
      </c>
      <c r="AA22" s="318">
        <v>39655000</v>
      </c>
      <c r="AB22" s="231">
        <v>3605000</v>
      </c>
      <c r="AC22" s="230" t="s">
        <v>444</v>
      </c>
      <c r="AD22" s="230" t="s">
        <v>430</v>
      </c>
      <c r="AE22" s="238"/>
      <c r="AF22" s="233"/>
      <c r="AG22" s="236"/>
      <c r="AH22" s="285"/>
      <c r="AI22" s="342">
        <f t="shared" si="0"/>
        <v>1201666.6666666667</v>
      </c>
      <c r="AJ22" s="342">
        <f t="shared" si="1"/>
        <v>3605000</v>
      </c>
      <c r="AK22" s="342">
        <v>3605000</v>
      </c>
      <c r="AL22" s="342">
        <v>3605000</v>
      </c>
      <c r="AM22" s="312">
        <v>3605000</v>
      </c>
      <c r="AN22" s="312">
        <v>3605000</v>
      </c>
      <c r="AO22" s="312">
        <v>3605000</v>
      </c>
      <c r="AP22" s="312">
        <v>3605000</v>
      </c>
      <c r="AQ22" s="312">
        <v>3605000</v>
      </c>
      <c r="AR22" s="312">
        <v>3605000</v>
      </c>
      <c r="AS22" s="312">
        <v>3605000</v>
      </c>
      <c r="AT22" s="312">
        <f t="shared" si="2"/>
        <v>2403333.3333333335</v>
      </c>
      <c r="AU22" s="309">
        <f t="shared" si="3"/>
        <v>39655000.000000007</v>
      </c>
      <c r="AV22" s="286">
        <f t="shared" si="4"/>
        <v>0</v>
      </c>
      <c r="AX22" s="283">
        <f t="shared" si="5"/>
        <v>39655000.000000007</v>
      </c>
      <c r="AY22" s="283">
        <v>0</v>
      </c>
      <c r="AZ22" s="283">
        <v>0</v>
      </c>
      <c r="BA22" s="283">
        <v>0</v>
      </c>
      <c r="BB22" s="282">
        <f t="shared" si="6"/>
        <v>39655000.000000007</v>
      </c>
    </row>
    <row r="23" spans="1:54">
      <c r="A23" s="223" t="s">
        <v>412</v>
      </c>
      <c r="B23" s="224" t="s">
        <v>413</v>
      </c>
      <c r="C23" s="224" t="s">
        <v>413</v>
      </c>
      <c r="D23" s="224">
        <v>383</v>
      </c>
      <c r="E23" s="225">
        <v>383</v>
      </c>
      <c r="F23" s="226">
        <v>7673</v>
      </c>
      <c r="G23" s="223" t="s">
        <v>414</v>
      </c>
      <c r="H23" s="223" t="s">
        <v>415</v>
      </c>
      <c r="I23" s="223" t="s">
        <v>416</v>
      </c>
      <c r="J23" s="223" t="s">
        <v>417</v>
      </c>
      <c r="K23" s="223" t="s">
        <v>418</v>
      </c>
      <c r="L23" s="223" t="s">
        <v>419</v>
      </c>
      <c r="M23" s="223" t="s">
        <v>420</v>
      </c>
      <c r="N23" s="223" t="s">
        <v>421</v>
      </c>
      <c r="O23" s="223" t="s">
        <v>422</v>
      </c>
      <c r="P23" s="223" t="s">
        <v>423</v>
      </c>
      <c r="Q23" s="227">
        <v>1</v>
      </c>
      <c r="R23" s="223" t="s">
        <v>441</v>
      </c>
      <c r="S23" s="223" t="s">
        <v>442</v>
      </c>
      <c r="T23" s="224">
        <v>80111620</v>
      </c>
      <c r="U23" s="223" t="s">
        <v>443</v>
      </c>
      <c r="V23" s="224">
        <v>1</v>
      </c>
      <c r="W23" s="224">
        <v>1</v>
      </c>
      <c r="X23" s="224">
        <v>330</v>
      </c>
      <c r="Y23" s="229" t="s">
        <v>427</v>
      </c>
      <c r="Z23" s="230" t="s">
        <v>428</v>
      </c>
      <c r="AA23" s="318">
        <v>39655000</v>
      </c>
      <c r="AB23" s="231">
        <v>3605000</v>
      </c>
      <c r="AC23" s="230" t="s">
        <v>444</v>
      </c>
      <c r="AD23" s="230" t="s">
        <v>430</v>
      </c>
      <c r="AE23" s="238"/>
      <c r="AF23" s="233"/>
      <c r="AG23" s="236"/>
      <c r="AH23" s="285"/>
      <c r="AI23" s="342">
        <f t="shared" si="0"/>
        <v>1201666.6666666667</v>
      </c>
      <c r="AJ23" s="342">
        <f t="shared" si="1"/>
        <v>3605000</v>
      </c>
      <c r="AK23" s="342">
        <v>3605000</v>
      </c>
      <c r="AL23" s="342">
        <v>3605000</v>
      </c>
      <c r="AM23" s="312">
        <v>3605000</v>
      </c>
      <c r="AN23" s="312">
        <v>3605000</v>
      </c>
      <c r="AO23" s="312">
        <v>3605000</v>
      </c>
      <c r="AP23" s="312">
        <v>3605000</v>
      </c>
      <c r="AQ23" s="312">
        <v>3605000</v>
      </c>
      <c r="AR23" s="312">
        <v>3605000</v>
      </c>
      <c r="AS23" s="312">
        <v>3605000</v>
      </c>
      <c r="AT23" s="312">
        <f t="shared" si="2"/>
        <v>2403333.3333333335</v>
      </c>
      <c r="AU23" s="309">
        <f t="shared" si="3"/>
        <v>39655000.000000007</v>
      </c>
      <c r="AV23" s="286">
        <f t="shared" si="4"/>
        <v>0</v>
      </c>
      <c r="AX23" s="283">
        <f t="shared" si="5"/>
        <v>39655000.000000007</v>
      </c>
      <c r="AY23" s="283">
        <v>0</v>
      </c>
      <c r="AZ23" s="283">
        <v>0</v>
      </c>
      <c r="BA23" s="283">
        <v>0</v>
      </c>
      <c r="BB23" s="282">
        <f t="shared" si="6"/>
        <v>39655000.000000007</v>
      </c>
    </row>
    <row r="24" spans="1:54">
      <c r="A24" s="223" t="s">
        <v>412</v>
      </c>
      <c r="B24" s="224" t="s">
        <v>413</v>
      </c>
      <c r="C24" s="224" t="s">
        <v>413</v>
      </c>
      <c r="D24" s="224">
        <v>384</v>
      </c>
      <c r="E24" s="225">
        <v>384</v>
      </c>
      <c r="F24" s="226">
        <v>7673</v>
      </c>
      <c r="G24" s="223" t="s">
        <v>414</v>
      </c>
      <c r="H24" s="223" t="s">
        <v>415</v>
      </c>
      <c r="I24" s="223" t="s">
        <v>416</v>
      </c>
      <c r="J24" s="223" t="s">
        <v>417</v>
      </c>
      <c r="K24" s="223" t="s">
        <v>418</v>
      </c>
      <c r="L24" s="223" t="s">
        <v>419</v>
      </c>
      <c r="M24" s="223" t="s">
        <v>420</v>
      </c>
      <c r="N24" s="223" t="s">
        <v>421</v>
      </c>
      <c r="O24" s="223" t="s">
        <v>422</v>
      </c>
      <c r="P24" s="223" t="s">
        <v>423</v>
      </c>
      <c r="Q24" s="227">
        <v>1</v>
      </c>
      <c r="R24" s="223" t="s">
        <v>441</v>
      </c>
      <c r="S24" s="223" t="s">
        <v>442</v>
      </c>
      <c r="T24" s="224">
        <v>80111620</v>
      </c>
      <c r="U24" s="223" t="s">
        <v>443</v>
      </c>
      <c r="V24" s="224">
        <v>1</v>
      </c>
      <c r="W24" s="224">
        <v>1</v>
      </c>
      <c r="X24" s="224">
        <v>330</v>
      </c>
      <c r="Y24" s="229" t="s">
        <v>427</v>
      </c>
      <c r="Z24" s="230" t="s">
        <v>428</v>
      </c>
      <c r="AA24" s="318">
        <v>39655000</v>
      </c>
      <c r="AB24" s="231">
        <v>3605000</v>
      </c>
      <c r="AC24" s="230" t="s">
        <v>444</v>
      </c>
      <c r="AD24" s="230" t="s">
        <v>430</v>
      </c>
      <c r="AE24" s="238"/>
      <c r="AF24" s="233"/>
      <c r="AG24" s="236"/>
      <c r="AH24" s="285"/>
      <c r="AI24" s="342">
        <f t="shared" si="0"/>
        <v>1201666.6666666667</v>
      </c>
      <c r="AJ24" s="342">
        <f t="shared" si="1"/>
        <v>3605000</v>
      </c>
      <c r="AK24" s="342">
        <v>3605000</v>
      </c>
      <c r="AL24" s="342">
        <v>3605000</v>
      </c>
      <c r="AM24" s="312">
        <v>3605000</v>
      </c>
      <c r="AN24" s="312">
        <v>3605000</v>
      </c>
      <c r="AO24" s="312">
        <v>3605000</v>
      </c>
      <c r="AP24" s="312">
        <v>3605000</v>
      </c>
      <c r="AQ24" s="312">
        <v>3605000</v>
      </c>
      <c r="AR24" s="312">
        <v>3605000</v>
      </c>
      <c r="AS24" s="312">
        <v>3605000</v>
      </c>
      <c r="AT24" s="312">
        <f t="shared" si="2"/>
        <v>2403333.3333333335</v>
      </c>
      <c r="AU24" s="309">
        <f t="shared" si="3"/>
        <v>39655000.000000007</v>
      </c>
      <c r="AV24" s="286">
        <f t="shared" si="4"/>
        <v>0</v>
      </c>
      <c r="AX24" s="283">
        <f t="shared" si="5"/>
        <v>39655000.000000007</v>
      </c>
      <c r="AY24" s="283">
        <v>0</v>
      </c>
      <c r="AZ24" s="283">
        <v>0</v>
      </c>
      <c r="BA24" s="283">
        <v>0</v>
      </c>
      <c r="BB24" s="282">
        <f t="shared" si="6"/>
        <v>39655000.000000007</v>
      </c>
    </row>
    <row r="25" spans="1:54">
      <c r="A25" s="223" t="s">
        <v>412</v>
      </c>
      <c r="B25" s="224" t="s">
        <v>413</v>
      </c>
      <c r="C25" s="224" t="s">
        <v>413</v>
      </c>
      <c r="D25" s="224">
        <v>385</v>
      </c>
      <c r="E25" s="225">
        <v>385</v>
      </c>
      <c r="F25" s="226">
        <v>7673</v>
      </c>
      <c r="G25" s="223" t="s">
        <v>414</v>
      </c>
      <c r="H25" s="223" t="s">
        <v>415</v>
      </c>
      <c r="I25" s="223" t="s">
        <v>416</v>
      </c>
      <c r="J25" s="223" t="s">
        <v>417</v>
      </c>
      <c r="K25" s="223" t="s">
        <v>418</v>
      </c>
      <c r="L25" s="223" t="s">
        <v>419</v>
      </c>
      <c r="M25" s="223" t="s">
        <v>420</v>
      </c>
      <c r="N25" s="223" t="s">
        <v>421</v>
      </c>
      <c r="O25" s="223" t="s">
        <v>422</v>
      </c>
      <c r="P25" s="223" t="s">
        <v>423</v>
      </c>
      <c r="Q25" s="227">
        <v>1</v>
      </c>
      <c r="R25" s="223" t="s">
        <v>441</v>
      </c>
      <c r="S25" s="223" t="s">
        <v>442</v>
      </c>
      <c r="T25" s="224">
        <v>80111620</v>
      </c>
      <c r="U25" s="223" t="s">
        <v>443</v>
      </c>
      <c r="V25" s="224">
        <v>1</v>
      </c>
      <c r="W25" s="224">
        <v>1</v>
      </c>
      <c r="X25" s="224">
        <v>330</v>
      </c>
      <c r="Y25" s="229" t="s">
        <v>427</v>
      </c>
      <c r="Z25" s="230" t="s">
        <v>428</v>
      </c>
      <c r="AA25" s="318">
        <v>39655000</v>
      </c>
      <c r="AB25" s="231">
        <v>3605000</v>
      </c>
      <c r="AC25" s="230" t="s">
        <v>444</v>
      </c>
      <c r="AD25" s="230" t="s">
        <v>430</v>
      </c>
      <c r="AE25" s="238"/>
      <c r="AF25" s="233"/>
      <c r="AG25" s="236"/>
      <c r="AH25" s="285"/>
      <c r="AI25" s="342">
        <f t="shared" si="0"/>
        <v>1201666.6666666667</v>
      </c>
      <c r="AJ25" s="342">
        <f t="shared" si="1"/>
        <v>3605000</v>
      </c>
      <c r="AK25" s="342">
        <v>3605000</v>
      </c>
      <c r="AL25" s="342">
        <v>3605000</v>
      </c>
      <c r="AM25" s="312">
        <v>3605000</v>
      </c>
      <c r="AN25" s="312">
        <v>3605000</v>
      </c>
      <c r="AO25" s="312">
        <v>3605000</v>
      </c>
      <c r="AP25" s="312">
        <v>3605000</v>
      </c>
      <c r="AQ25" s="312">
        <v>3605000</v>
      </c>
      <c r="AR25" s="312">
        <v>3605000</v>
      </c>
      <c r="AS25" s="312">
        <v>3605000</v>
      </c>
      <c r="AT25" s="312">
        <f t="shared" si="2"/>
        <v>2403333.3333333335</v>
      </c>
      <c r="AU25" s="309">
        <f t="shared" si="3"/>
        <v>39655000.000000007</v>
      </c>
      <c r="AV25" s="286">
        <f t="shared" si="4"/>
        <v>0</v>
      </c>
      <c r="AX25" s="283">
        <f t="shared" si="5"/>
        <v>39655000.000000007</v>
      </c>
      <c r="AY25" s="283">
        <v>0</v>
      </c>
      <c r="AZ25" s="283">
        <v>0</v>
      </c>
      <c r="BA25" s="283">
        <v>0</v>
      </c>
      <c r="BB25" s="282">
        <f t="shared" si="6"/>
        <v>39655000.000000007</v>
      </c>
    </row>
    <row r="26" spans="1:54">
      <c r="A26" s="223" t="s">
        <v>412</v>
      </c>
      <c r="B26" s="224" t="s">
        <v>413</v>
      </c>
      <c r="C26" s="224" t="s">
        <v>413</v>
      </c>
      <c r="D26" s="224">
        <v>386</v>
      </c>
      <c r="E26" s="225">
        <v>386</v>
      </c>
      <c r="F26" s="226">
        <v>7673</v>
      </c>
      <c r="G26" s="223" t="s">
        <v>414</v>
      </c>
      <c r="H26" s="223" t="s">
        <v>415</v>
      </c>
      <c r="I26" s="223" t="s">
        <v>416</v>
      </c>
      <c r="J26" s="223" t="s">
        <v>417</v>
      </c>
      <c r="K26" s="223" t="s">
        <v>418</v>
      </c>
      <c r="L26" s="223" t="s">
        <v>419</v>
      </c>
      <c r="M26" s="223" t="s">
        <v>420</v>
      </c>
      <c r="N26" s="223" t="s">
        <v>421</v>
      </c>
      <c r="O26" s="223" t="s">
        <v>422</v>
      </c>
      <c r="P26" s="223" t="s">
        <v>423</v>
      </c>
      <c r="Q26" s="227">
        <v>1</v>
      </c>
      <c r="R26" s="223" t="s">
        <v>441</v>
      </c>
      <c r="S26" s="223" t="s">
        <v>442</v>
      </c>
      <c r="T26" s="224">
        <v>80111620</v>
      </c>
      <c r="U26" s="223" t="s">
        <v>443</v>
      </c>
      <c r="V26" s="224">
        <v>1</v>
      </c>
      <c r="W26" s="224">
        <v>1</v>
      </c>
      <c r="X26" s="224">
        <v>330</v>
      </c>
      <c r="Y26" s="229" t="s">
        <v>427</v>
      </c>
      <c r="Z26" s="230" t="s">
        <v>428</v>
      </c>
      <c r="AA26" s="318">
        <v>39655000</v>
      </c>
      <c r="AB26" s="231">
        <v>3605000</v>
      </c>
      <c r="AC26" s="230" t="s">
        <v>444</v>
      </c>
      <c r="AD26" s="230" t="s">
        <v>430</v>
      </c>
      <c r="AE26" s="238"/>
      <c r="AF26" s="233"/>
      <c r="AG26" s="236"/>
      <c r="AH26" s="285"/>
      <c r="AI26" s="342">
        <f t="shared" si="0"/>
        <v>1201666.6666666667</v>
      </c>
      <c r="AJ26" s="342">
        <f t="shared" si="1"/>
        <v>3605000</v>
      </c>
      <c r="AK26" s="342">
        <v>3605000</v>
      </c>
      <c r="AL26" s="342">
        <v>3605000</v>
      </c>
      <c r="AM26" s="312">
        <v>3605000</v>
      </c>
      <c r="AN26" s="312">
        <v>3605000</v>
      </c>
      <c r="AO26" s="312">
        <v>3605000</v>
      </c>
      <c r="AP26" s="312">
        <v>3605000</v>
      </c>
      <c r="AQ26" s="312">
        <v>3605000</v>
      </c>
      <c r="AR26" s="312">
        <v>3605000</v>
      </c>
      <c r="AS26" s="312">
        <v>3605000</v>
      </c>
      <c r="AT26" s="312">
        <f t="shared" si="2"/>
        <v>2403333.3333333335</v>
      </c>
      <c r="AU26" s="309">
        <f t="shared" si="3"/>
        <v>39655000.000000007</v>
      </c>
      <c r="AV26" s="286">
        <f t="shared" si="4"/>
        <v>0</v>
      </c>
      <c r="AX26" s="283">
        <f t="shared" si="5"/>
        <v>39655000.000000007</v>
      </c>
      <c r="AY26" s="283">
        <v>0</v>
      </c>
      <c r="AZ26" s="283">
        <v>0</v>
      </c>
      <c r="BA26" s="283">
        <v>0</v>
      </c>
      <c r="BB26" s="282">
        <f t="shared" si="6"/>
        <v>39655000.000000007</v>
      </c>
    </row>
    <row r="27" spans="1:54">
      <c r="A27" s="223" t="s">
        <v>412</v>
      </c>
      <c r="B27" s="224" t="s">
        <v>413</v>
      </c>
      <c r="C27" s="224" t="s">
        <v>413</v>
      </c>
      <c r="D27" s="224">
        <v>387</v>
      </c>
      <c r="E27" s="225">
        <v>387</v>
      </c>
      <c r="F27" s="226">
        <v>7673</v>
      </c>
      <c r="G27" s="223" t="s">
        <v>414</v>
      </c>
      <c r="H27" s="223" t="s">
        <v>415</v>
      </c>
      <c r="I27" s="223" t="s">
        <v>416</v>
      </c>
      <c r="J27" s="223" t="s">
        <v>417</v>
      </c>
      <c r="K27" s="223" t="s">
        <v>418</v>
      </c>
      <c r="L27" s="223" t="s">
        <v>419</v>
      </c>
      <c r="M27" s="223" t="s">
        <v>420</v>
      </c>
      <c r="N27" s="223" t="s">
        <v>421</v>
      </c>
      <c r="O27" s="223" t="s">
        <v>422</v>
      </c>
      <c r="P27" s="223" t="s">
        <v>423</v>
      </c>
      <c r="Q27" s="227">
        <v>1</v>
      </c>
      <c r="R27" s="223" t="s">
        <v>441</v>
      </c>
      <c r="S27" s="223" t="s">
        <v>442</v>
      </c>
      <c r="T27" s="224">
        <v>80111620</v>
      </c>
      <c r="U27" s="223" t="s">
        <v>443</v>
      </c>
      <c r="V27" s="224">
        <v>1</v>
      </c>
      <c r="W27" s="224">
        <v>1</v>
      </c>
      <c r="X27" s="224">
        <v>330</v>
      </c>
      <c r="Y27" s="229" t="s">
        <v>427</v>
      </c>
      <c r="Z27" s="230" t="s">
        <v>428</v>
      </c>
      <c r="AA27" s="318">
        <v>39655000</v>
      </c>
      <c r="AB27" s="231">
        <v>3605000</v>
      </c>
      <c r="AC27" s="230" t="s">
        <v>444</v>
      </c>
      <c r="AD27" s="230" t="s">
        <v>430</v>
      </c>
      <c r="AE27" s="239"/>
      <c r="AF27" s="233"/>
      <c r="AG27" s="234"/>
      <c r="AH27" s="284"/>
      <c r="AI27" s="342">
        <f t="shared" si="0"/>
        <v>1201666.6666666667</v>
      </c>
      <c r="AJ27" s="342">
        <f t="shared" si="1"/>
        <v>3605000</v>
      </c>
      <c r="AK27" s="342">
        <v>3605000</v>
      </c>
      <c r="AL27" s="342">
        <v>3605000</v>
      </c>
      <c r="AM27" s="312">
        <v>3605000</v>
      </c>
      <c r="AN27" s="312">
        <v>3605000</v>
      </c>
      <c r="AO27" s="312">
        <v>3605000</v>
      </c>
      <c r="AP27" s="312">
        <v>3605000</v>
      </c>
      <c r="AQ27" s="312">
        <v>3605000</v>
      </c>
      <c r="AR27" s="312">
        <v>3605000</v>
      </c>
      <c r="AS27" s="312">
        <v>3605000</v>
      </c>
      <c r="AT27" s="312">
        <f t="shared" si="2"/>
        <v>2403333.3333333335</v>
      </c>
      <c r="AU27" s="309">
        <f t="shared" si="3"/>
        <v>39655000.000000007</v>
      </c>
      <c r="AV27" s="286">
        <f t="shared" si="4"/>
        <v>0</v>
      </c>
      <c r="AX27" s="283">
        <f t="shared" si="5"/>
        <v>39655000.000000007</v>
      </c>
      <c r="AY27" s="283">
        <v>0</v>
      </c>
      <c r="AZ27" s="283">
        <v>0</v>
      </c>
      <c r="BA27" s="283">
        <v>0</v>
      </c>
      <c r="BB27" s="282">
        <f t="shared" si="6"/>
        <v>39655000.000000007</v>
      </c>
    </row>
    <row r="28" spans="1:54">
      <c r="A28" s="223" t="s">
        <v>412</v>
      </c>
      <c r="B28" s="224" t="s">
        <v>413</v>
      </c>
      <c r="C28" s="224" t="s">
        <v>413</v>
      </c>
      <c r="D28" s="224">
        <v>388</v>
      </c>
      <c r="E28" s="225">
        <v>388</v>
      </c>
      <c r="F28" s="226">
        <v>7673</v>
      </c>
      <c r="G28" s="223" t="s">
        <v>414</v>
      </c>
      <c r="H28" s="223" t="s">
        <v>415</v>
      </c>
      <c r="I28" s="223" t="s">
        <v>416</v>
      </c>
      <c r="J28" s="223" t="s">
        <v>417</v>
      </c>
      <c r="K28" s="223" t="s">
        <v>418</v>
      </c>
      <c r="L28" s="223" t="s">
        <v>419</v>
      </c>
      <c r="M28" s="223" t="s">
        <v>420</v>
      </c>
      <c r="N28" s="223" t="s">
        <v>421</v>
      </c>
      <c r="O28" s="223" t="s">
        <v>422</v>
      </c>
      <c r="P28" s="223" t="s">
        <v>423</v>
      </c>
      <c r="Q28" s="227">
        <v>1</v>
      </c>
      <c r="R28" s="223" t="s">
        <v>441</v>
      </c>
      <c r="S28" s="223" t="s">
        <v>442</v>
      </c>
      <c r="T28" s="224">
        <v>80111620</v>
      </c>
      <c r="U28" s="223" t="s">
        <v>445</v>
      </c>
      <c r="V28" s="224">
        <v>1</v>
      </c>
      <c r="W28" s="224">
        <v>1</v>
      </c>
      <c r="X28" s="224">
        <v>330</v>
      </c>
      <c r="Y28" s="229" t="s">
        <v>427</v>
      </c>
      <c r="Z28" s="230" t="s">
        <v>428</v>
      </c>
      <c r="AA28" s="318">
        <v>39655000</v>
      </c>
      <c r="AB28" s="231">
        <v>3605000</v>
      </c>
      <c r="AC28" s="230" t="s">
        <v>446</v>
      </c>
      <c r="AD28" s="230" t="s">
        <v>430</v>
      </c>
      <c r="AE28" s="232"/>
      <c r="AF28" s="233"/>
      <c r="AG28" s="234"/>
      <c r="AH28" s="284"/>
      <c r="AI28" s="342">
        <f t="shared" si="0"/>
        <v>1201666.6666666667</v>
      </c>
      <c r="AJ28" s="342">
        <f t="shared" si="1"/>
        <v>3605000</v>
      </c>
      <c r="AK28" s="342">
        <v>3605000</v>
      </c>
      <c r="AL28" s="342">
        <v>3605000</v>
      </c>
      <c r="AM28" s="312">
        <v>3605000</v>
      </c>
      <c r="AN28" s="312">
        <v>3605000</v>
      </c>
      <c r="AO28" s="312">
        <v>3605000</v>
      </c>
      <c r="AP28" s="312">
        <v>3605000</v>
      </c>
      <c r="AQ28" s="312">
        <v>3605000</v>
      </c>
      <c r="AR28" s="312">
        <v>3605000</v>
      </c>
      <c r="AS28" s="312">
        <v>3605000</v>
      </c>
      <c r="AT28" s="312">
        <f t="shared" si="2"/>
        <v>2403333.3333333335</v>
      </c>
      <c r="AU28" s="309">
        <f t="shared" si="3"/>
        <v>39655000.000000007</v>
      </c>
      <c r="AV28" s="286">
        <f t="shared" si="4"/>
        <v>0</v>
      </c>
      <c r="AX28" s="283">
        <f t="shared" si="5"/>
        <v>39655000.000000007</v>
      </c>
      <c r="AY28" s="283">
        <v>0</v>
      </c>
      <c r="AZ28" s="283">
        <v>0</v>
      </c>
      <c r="BA28" s="283">
        <v>0</v>
      </c>
      <c r="BB28" s="282">
        <f t="shared" si="6"/>
        <v>39655000.000000007</v>
      </c>
    </row>
    <row r="29" spans="1:54">
      <c r="A29" s="223" t="s">
        <v>412</v>
      </c>
      <c r="B29" s="224" t="s">
        <v>413</v>
      </c>
      <c r="C29" s="224" t="s">
        <v>413</v>
      </c>
      <c r="D29" s="224">
        <v>389</v>
      </c>
      <c r="E29" s="225">
        <v>389</v>
      </c>
      <c r="F29" s="226">
        <v>7673</v>
      </c>
      <c r="G29" s="223" t="s">
        <v>414</v>
      </c>
      <c r="H29" s="223" t="s">
        <v>415</v>
      </c>
      <c r="I29" s="223" t="s">
        <v>416</v>
      </c>
      <c r="J29" s="223" t="s">
        <v>417</v>
      </c>
      <c r="K29" s="223" t="s">
        <v>418</v>
      </c>
      <c r="L29" s="223" t="s">
        <v>419</v>
      </c>
      <c r="M29" s="223" t="s">
        <v>420</v>
      </c>
      <c r="N29" s="223" t="s">
        <v>421</v>
      </c>
      <c r="O29" s="223" t="s">
        <v>422</v>
      </c>
      <c r="P29" s="223" t="s">
        <v>423</v>
      </c>
      <c r="Q29" s="227">
        <v>1</v>
      </c>
      <c r="R29" s="223" t="s">
        <v>441</v>
      </c>
      <c r="S29" s="223" t="s">
        <v>442</v>
      </c>
      <c r="T29" s="224">
        <v>80111620</v>
      </c>
      <c r="U29" s="223" t="s">
        <v>445</v>
      </c>
      <c r="V29" s="224">
        <v>1</v>
      </c>
      <c r="W29" s="224">
        <v>1</v>
      </c>
      <c r="X29" s="224">
        <v>330</v>
      </c>
      <c r="Y29" s="229" t="s">
        <v>427</v>
      </c>
      <c r="Z29" s="230" t="s">
        <v>428</v>
      </c>
      <c r="AA29" s="318">
        <v>39655000</v>
      </c>
      <c r="AB29" s="231">
        <v>3605000</v>
      </c>
      <c r="AC29" s="230" t="s">
        <v>446</v>
      </c>
      <c r="AD29" s="230" t="s">
        <v>430</v>
      </c>
      <c r="AE29" s="232"/>
      <c r="AF29" s="233"/>
      <c r="AG29" s="234"/>
      <c r="AH29" s="284"/>
      <c r="AI29" s="342">
        <f t="shared" si="0"/>
        <v>1201666.6666666667</v>
      </c>
      <c r="AJ29" s="342">
        <f t="shared" si="1"/>
        <v>3605000</v>
      </c>
      <c r="AK29" s="342">
        <v>3605000</v>
      </c>
      <c r="AL29" s="342">
        <v>3605000</v>
      </c>
      <c r="AM29" s="312">
        <v>3605000</v>
      </c>
      <c r="AN29" s="312">
        <v>3605000</v>
      </c>
      <c r="AO29" s="312">
        <v>3605000</v>
      </c>
      <c r="AP29" s="312">
        <v>3605000</v>
      </c>
      <c r="AQ29" s="312">
        <v>3605000</v>
      </c>
      <c r="AR29" s="312">
        <v>3605000</v>
      </c>
      <c r="AS29" s="312">
        <v>3605000</v>
      </c>
      <c r="AT29" s="312">
        <f t="shared" si="2"/>
        <v>2403333.3333333335</v>
      </c>
      <c r="AU29" s="309">
        <f t="shared" si="3"/>
        <v>39655000.000000007</v>
      </c>
      <c r="AV29" s="286">
        <f t="shared" si="4"/>
        <v>0</v>
      </c>
      <c r="AX29" s="283">
        <f t="shared" si="5"/>
        <v>39655000.000000007</v>
      </c>
      <c r="AY29" s="283">
        <v>0</v>
      </c>
      <c r="AZ29" s="283">
        <v>0</v>
      </c>
      <c r="BA29" s="283">
        <v>0</v>
      </c>
      <c r="BB29" s="282">
        <f t="shared" si="6"/>
        <v>39655000.000000007</v>
      </c>
    </row>
    <row r="30" spans="1:54">
      <c r="A30" s="223" t="s">
        <v>412</v>
      </c>
      <c r="B30" s="224" t="s">
        <v>413</v>
      </c>
      <c r="C30" s="224" t="s">
        <v>413</v>
      </c>
      <c r="D30" s="224">
        <v>390</v>
      </c>
      <c r="E30" s="225">
        <v>390</v>
      </c>
      <c r="F30" s="226">
        <v>7673</v>
      </c>
      <c r="G30" s="223" t="s">
        <v>414</v>
      </c>
      <c r="H30" s="223" t="s">
        <v>415</v>
      </c>
      <c r="I30" s="223" t="s">
        <v>416</v>
      </c>
      <c r="J30" s="223" t="s">
        <v>417</v>
      </c>
      <c r="K30" s="223" t="s">
        <v>418</v>
      </c>
      <c r="L30" s="223" t="s">
        <v>419</v>
      </c>
      <c r="M30" s="223" t="s">
        <v>420</v>
      </c>
      <c r="N30" s="223" t="s">
        <v>421</v>
      </c>
      <c r="O30" s="223" t="s">
        <v>422</v>
      </c>
      <c r="P30" s="223" t="s">
        <v>423</v>
      </c>
      <c r="Q30" s="227">
        <v>1</v>
      </c>
      <c r="R30" s="223" t="s">
        <v>441</v>
      </c>
      <c r="S30" s="223" t="s">
        <v>442</v>
      </c>
      <c r="T30" s="224">
        <v>80111620</v>
      </c>
      <c r="U30" s="223" t="s">
        <v>445</v>
      </c>
      <c r="V30" s="224">
        <v>1</v>
      </c>
      <c r="W30" s="224">
        <v>1</v>
      </c>
      <c r="X30" s="224">
        <v>330</v>
      </c>
      <c r="Y30" s="229" t="s">
        <v>427</v>
      </c>
      <c r="Z30" s="230" t="s">
        <v>428</v>
      </c>
      <c r="AA30" s="318">
        <v>39655000</v>
      </c>
      <c r="AB30" s="231">
        <v>3605000</v>
      </c>
      <c r="AC30" s="230" t="s">
        <v>446</v>
      </c>
      <c r="AD30" s="230" t="s">
        <v>430</v>
      </c>
      <c r="AE30" s="238"/>
      <c r="AF30" s="233"/>
      <c r="AG30" s="236"/>
      <c r="AH30" s="285"/>
      <c r="AI30" s="342">
        <f t="shared" si="0"/>
        <v>1201666.6666666667</v>
      </c>
      <c r="AJ30" s="342">
        <f t="shared" si="1"/>
        <v>3605000</v>
      </c>
      <c r="AK30" s="342">
        <v>3605000</v>
      </c>
      <c r="AL30" s="342">
        <v>3605000</v>
      </c>
      <c r="AM30" s="312">
        <v>3605000</v>
      </c>
      <c r="AN30" s="312">
        <v>3605000</v>
      </c>
      <c r="AO30" s="312">
        <v>3605000</v>
      </c>
      <c r="AP30" s="312">
        <v>3605000</v>
      </c>
      <c r="AQ30" s="312">
        <v>3605000</v>
      </c>
      <c r="AR30" s="312">
        <v>3605000</v>
      </c>
      <c r="AS30" s="312">
        <v>3605000</v>
      </c>
      <c r="AT30" s="312">
        <f t="shared" si="2"/>
        <v>2403333.3333333335</v>
      </c>
      <c r="AU30" s="309">
        <f t="shared" si="3"/>
        <v>39655000.000000007</v>
      </c>
      <c r="AV30" s="286">
        <f t="shared" si="4"/>
        <v>0</v>
      </c>
      <c r="AX30" s="283">
        <f t="shared" si="5"/>
        <v>39655000.000000007</v>
      </c>
      <c r="AY30" s="283">
        <v>0</v>
      </c>
      <c r="AZ30" s="283">
        <v>0</v>
      </c>
      <c r="BA30" s="283">
        <v>0</v>
      </c>
      <c r="BB30" s="282">
        <f t="shared" si="6"/>
        <v>39655000.000000007</v>
      </c>
    </row>
    <row r="31" spans="1:54">
      <c r="A31" s="223" t="s">
        <v>412</v>
      </c>
      <c r="B31" s="224" t="s">
        <v>413</v>
      </c>
      <c r="C31" s="224" t="s">
        <v>413</v>
      </c>
      <c r="D31" s="224">
        <v>391</v>
      </c>
      <c r="E31" s="225">
        <v>391</v>
      </c>
      <c r="F31" s="226">
        <v>7673</v>
      </c>
      <c r="G31" s="223" t="s">
        <v>414</v>
      </c>
      <c r="H31" s="223" t="s">
        <v>415</v>
      </c>
      <c r="I31" s="223" t="s">
        <v>416</v>
      </c>
      <c r="J31" s="223" t="s">
        <v>417</v>
      </c>
      <c r="K31" s="223" t="s">
        <v>418</v>
      </c>
      <c r="L31" s="223" t="s">
        <v>419</v>
      </c>
      <c r="M31" s="223" t="s">
        <v>420</v>
      </c>
      <c r="N31" s="223" t="s">
        <v>421</v>
      </c>
      <c r="O31" s="223" t="s">
        <v>422</v>
      </c>
      <c r="P31" s="223" t="s">
        <v>423</v>
      </c>
      <c r="Q31" s="227">
        <v>1</v>
      </c>
      <c r="R31" s="223" t="s">
        <v>441</v>
      </c>
      <c r="S31" s="223" t="s">
        <v>442</v>
      </c>
      <c r="T31" s="224">
        <v>80111620</v>
      </c>
      <c r="U31" s="223" t="s">
        <v>445</v>
      </c>
      <c r="V31" s="224">
        <v>1</v>
      </c>
      <c r="W31" s="224">
        <v>1</v>
      </c>
      <c r="X31" s="224">
        <v>330</v>
      </c>
      <c r="Y31" s="229" t="s">
        <v>427</v>
      </c>
      <c r="Z31" s="230" t="s">
        <v>428</v>
      </c>
      <c r="AA31" s="318">
        <v>39655000</v>
      </c>
      <c r="AB31" s="231">
        <v>3605000</v>
      </c>
      <c r="AC31" s="230" t="s">
        <v>446</v>
      </c>
      <c r="AD31" s="230" t="s">
        <v>430</v>
      </c>
      <c r="AE31" s="238"/>
      <c r="AF31" s="233"/>
      <c r="AG31" s="236"/>
      <c r="AH31" s="285"/>
      <c r="AI31" s="342">
        <f t="shared" si="0"/>
        <v>1201666.6666666667</v>
      </c>
      <c r="AJ31" s="342">
        <f t="shared" si="1"/>
        <v>3605000</v>
      </c>
      <c r="AK31" s="342">
        <v>3605000</v>
      </c>
      <c r="AL31" s="342">
        <v>3605000</v>
      </c>
      <c r="AM31" s="312">
        <v>3605000</v>
      </c>
      <c r="AN31" s="312">
        <v>3605000</v>
      </c>
      <c r="AO31" s="312">
        <v>3605000</v>
      </c>
      <c r="AP31" s="312">
        <v>3605000</v>
      </c>
      <c r="AQ31" s="312">
        <v>3605000</v>
      </c>
      <c r="AR31" s="312">
        <v>3605000</v>
      </c>
      <c r="AS31" s="312">
        <v>3605000</v>
      </c>
      <c r="AT31" s="312">
        <f t="shared" si="2"/>
        <v>2403333.3333333335</v>
      </c>
      <c r="AU31" s="309">
        <f t="shared" si="3"/>
        <v>39655000.000000007</v>
      </c>
      <c r="AV31" s="286">
        <f t="shared" si="4"/>
        <v>0</v>
      </c>
      <c r="AX31" s="283">
        <f t="shared" si="5"/>
        <v>39655000.000000007</v>
      </c>
      <c r="AY31" s="283">
        <v>0</v>
      </c>
      <c r="AZ31" s="283">
        <v>0</v>
      </c>
      <c r="BA31" s="283">
        <v>0</v>
      </c>
      <c r="BB31" s="282">
        <f t="shared" si="6"/>
        <v>39655000.000000007</v>
      </c>
    </row>
    <row r="32" spans="1:54" hidden="1">
      <c r="A32" s="223" t="s">
        <v>412</v>
      </c>
      <c r="B32" s="224" t="s">
        <v>413</v>
      </c>
      <c r="C32" s="224" t="s">
        <v>413</v>
      </c>
      <c r="D32" s="224">
        <v>392</v>
      </c>
      <c r="E32" s="225">
        <v>392</v>
      </c>
      <c r="F32" s="226">
        <v>7673</v>
      </c>
      <c r="G32" s="223" t="s">
        <v>414</v>
      </c>
      <c r="H32" s="223" t="s">
        <v>415</v>
      </c>
      <c r="I32" s="223" t="s">
        <v>416</v>
      </c>
      <c r="J32" s="223" t="s">
        <v>417</v>
      </c>
      <c r="K32" s="223" t="s">
        <v>418</v>
      </c>
      <c r="L32" s="223" t="s">
        <v>419</v>
      </c>
      <c r="M32" s="223" t="s">
        <v>420</v>
      </c>
      <c r="N32" s="223" t="s">
        <v>421</v>
      </c>
      <c r="O32" s="223" t="s">
        <v>447</v>
      </c>
      <c r="P32" s="223" t="s">
        <v>448</v>
      </c>
      <c r="Q32" s="227">
        <v>1</v>
      </c>
      <c r="R32" s="223" t="s">
        <v>424</v>
      </c>
      <c r="S32" s="223" t="s">
        <v>425</v>
      </c>
      <c r="T32" s="224">
        <v>80111620</v>
      </c>
      <c r="U32" s="223" t="s">
        <v>449</v>
      </c>
      <c r="V32" s="224">
        <v>1</v>
      </c>
      <c r="W32" s="224">
        <v>1</v>
      </c>
      <c r="X32" s="224">
        <v>330</v>
      </c>
      <c r="Y32" s="229" t="s">
        <v>427</v>
      </c>
      <c r="Z32" s="230" t="s">
        <v>428</v>
      </c>
      <c r="AA32" s="318">
        <v>92818000</v>
      </c>
      <c r="AB32" s="231">
        <v>8438000</v>
      </c>
      <c r="AC32" s="230" t="s">
        <v>450</v>
      </c>
      <c r="AD32" s="230" t="s">
        <v>451</v>
      </c>
      <c r="AE32" s="240"/>
      <c r="AF32" s="233"/>
      <c r="AG32" s="236"/>
      <c r="AH32" s="236"/>
      <c r="AI32" s="342">
        <f t="shared" si="0"/>
        <v>2812666.666666667</v>
      </c>
      <c r="AJ32" s="342">
        <f t="shared" si="1"/>
        <v>8438000</v>
      </c>
      <c r="AK32" s="342">
        <v>8438000</v>
      </c>
      <c r="AL32" s="342">
        <v>8438000</v>
      </c>
      <c r="AM32" s="312">
        <v>8438000</v>
      </c>
      <c r="AN32" s="312">
        <v>8438000</v>
      </c>
      <c r="AO32" s="312">
        <v>8438000</v>
      </c>
      <c r="AP32" s="312">
        <v>8438000</v>
      </c>
      <c r="AQ32" s="312">
        <v>8438000</v>
      </c>
      <c r="AR32" s="312">
        <v>8438000</v>
      </c>
      <c r="AS32" s="312">
        <v>8438000</v>
      </c>
      <c r="AT32" s="312">
        <f t="shared" si="2"/>
        <v>5625333.333333334</v>
      </c>
      <c r="AU32" s="309">
        <f t="shared" si="3"/>
        <v>92818000</v>
      </c>
      <c r="AV32" s="286">
        <f t="shared" si="4"/>
        <v>0</v>
      </c>
      <c r="AX32" s="283">
        <v>0</v>
      </c>
      <c r="AY32" s="283">
        <v>0</v>
      </c>
      <c r="AZ32" s="283">
        <f>+AU32</f>
        <v>92818000</v>
      </c>
      <c r="BA32" s="283">
        <v>0</v>
      </c>
      <c r="BB32" s="282">
        <f t="shared" si="6"/>
        <v>92818000</v>
      </c>
    </row>
    <row r="33" spans="1:54" hidden="1">
      <c r="A33" s="223" t="s">
        <v>412</v>
      </c>
      <c r="B33" s="224" t="s">
        <v>413</v>
      </c>
      <c r="C33" s="224" t="s">
        <v>413</v>
      </c>
      <c r="D33" s="224">
        <v>393</v>
      </c>
      <c r="E33" s="225">
        <v>393</v>
      </c>
      <c r="F33" s="226">
        <v>7673</v>
      </c>
      <c r="G33" s="223" t="s">
        <v>414</v>
      </c>
      <c r="H33" s="223" t="s">
        <v>415</v>
      </c>
      <c r="I33" s="223" t="s">
        <v>416</v>
      </c>
      <c r="J33" s="223" t="s">
        <v>417</v>
      </c>
      <c r="K33" s="223" t="s">
        <v>418</v>
      </c>
      <c r="L33" s="223" t="s">
        <v>419</v>
      </c>
      <c r="M33" s="223" t="s">
        <v>420</v>
      </c>
      <c r="N33" s="223" t="s">
        <v>421</v>
      </c>
      <c r="O33" s="223" t="s">
        <v>447</v>
      </c>
      <c r="P33" s="223" t="s">
        <v>448</v>
      </c>
      <c r="Q33" s="227">
        <v>1</v>
      </c>
      <c r="R33" s="223" t="s">
        <v>424</v>
      </c>
      <c r="S33" s="223" t="s">
        <v>425</v>
      </c>
      <c r="T33" s="224">
        <v>80111620</v>
      </c>
      <c r="U33" s="223" t="s">
        <v>452</v>
      </c>
      <c r="V33" s="224">
        <v>1</v>
      </c>
      <c r="W33" s="224">
        <v>1</v>
      </c>
      <c r="X33" s="224">
        <v>330</v>
      </c>
      <c r="Y33" s="229" t="s">
        <v>427</v>
      </c>
      <c r="Z33" s="230" t="s">
        <v>428</v>
      </c>
      <c r="AA33" s="318">
        <v>63811000</v>
      </c>
      <c r="AB33" s="231">
        <v>5801000</v>
      </c>
      <c r="AC33" s="230" t="s">
        <v>453</v>
      </c>
      <c r="AD33" s="230" t="s">
        <v>451</v>
      </c>
      <c r="AE33" s="240"/>
      <c r="AF33" s="233"/>
      <c r="AG33" s="239"/>
      <c r="AH33" s="239"/>
      <c r="AI33" s="342">
        <f t="shared" si="0"/>
        <v>1933666.6666666665</v>
      </c>
      <c r="AJ33" s="342">
        <f t="shared" si="1"/>
        <v>5801000</v>
      </c>
      <c r="AK33" s="342">
        <v>5801000</v>
      </c>
      <c r="AL33" s="342">
        <v>5801000</v>
      </c>
      <c r="AM33" s="312">
        <v>5801000</v>
      </c>
      <c r="AN33" s="312">
        <v>5801000</v>
      </c>
      <c r="AO33" s="312">
        <v>5801000</v>
      </c>
      <c r="AP33" s="312">
        <v>5801000</v>
      </c>
      <c r="AQ33" s="312">
        <v>5801000</v>
      </c>
      <c r="AR33" s="312">
        <v>5801000</v>
      </c>
      <c r="AS33" s="312">
        <v>5801000</v>
      </c>
      <c r="AT33" s="312">
        <f t="shared" si="2"/>
        <v>3867333.333333333</v>
      </c>
      <c r="AU33" s="309">
        <f t="shared" si="3"/>
        <v>63811000</v>
      </c>
      <c r="AV33" s="286">
        <f t="shared" si="4"/>
        <v>0</v>
      </c>
      <c r="AX33" s="283">
        <v>0</v>
      </c>
      <c r="AY33" s="283">
        <v>0</v>
      </c>
      <c r="AZ33" s="283">
        <f t="shared" ref="AZ33:AZ52" si="7">+AU33</f>
        <v>63811000</v>
      </c>
      <c r="BA33" s="283">
        <v>0</v>
      </c>
      <c r="BB33" s="282">
        <f t="shared" si="6"/>
        <v>63811000</v>
      </c>
    </row>
    <row r="34" spans="1:54" hidden="1">
      <c r="A34" s="223" t="s">
        <v>412</v>
      </c>
      <c r="B34" s="224" t="s">
        <v>413</v>
      </c>
      <c r="C34" s="224" t="s">
        <v>413</v>
      </c>
      <c r="D34" s="224">
        <v>394</v>
      </c>
      <c r="E34" s="225">
        <v>394</v>
      </c>
      <c r="F34" s="226">
        <v>7673</v>
      </c>
      <c r="G34" s="223" t="s">
        <v>414</v>
      </c>
      <c r="H34" s="223" t="s">
        <v>415</v>
      </c>
      <c r="I34" s="223" t="s">
        <v>416</v>
      </c>
      <c r="J34" s="223" t="s">
        <v>417</v>
      </c>
      <c r="K34" s="223" t="s">
        <v>418</v>
      </c>
      <c r="L34" s="223" t="s">
        <v>419</v>
      </c>
      <c r="M34" s="223" t="s">
        <v>420</v>
      </c>
      <c r="N34" s="223" t="s">
        <v>421</v>
      </c>
      <c r="O34" s="223" t="s">
        <v>447</v>
      </c>
      <c r="P34" s="223" t="s">
        <v>448</v>
      </c>
      <c r="Q34" s="227">
        <v>1</v>
      </c>
      <c r="R34" s="223" t="s">
        <v>424</v>
      </c>
      <c r="S34" s="223" t="s">
        <v>425</v>
      </c>
      <c r="T34" s="224">
        <v>80111620</v>
      </c>
      <c r="U34" s="223" t="s">
        <v>454</v>
      </c>
      <c r="V34" s="224">
        <v>1</v>
      </c>
      <c r="W34" s="224">
        <v>1</v>
      </c>
      <c r="X34" s="224">
        <v>330</v>
      </c>
      <c r="Y34" s="229" t="s">
        <v>427</v>
      </c>
      <c r="Z34" s="230" t="s">
        <v>428</v>
      </c>
      <c r="AA34" s="318">
        <v>126500000</v>
      </c>
      <c r="AB34" s="231">
        <v>11500000</v>
      </c>
      <c r="AC34" s="230" t="s">
        <v>455</v>
      </c>
      <c r="AD34" s="230" t="s">
        <v>451</v>
      </c>
      <c r="AE34" s="240"/>
      <c r="AF34" s="241"/>
      <c r="AG34" s="236"/>
      <c r="AH34" s="239"/>
      <c r="AI34" s="342">
        <f t="shared" si="0"/>
        <v>3833333.333333333</v>
      </c>
      <c r="AJ34" s="342">
        <f t="shared" si="1"/>
        <v>11500000</v>
      </c>
      <c r="AK34" s="342">
        <v>11500000</v>
      </c>
      <c r="AL34" s="342">
        <v>11500000</v>
      </c>
      <c r="AM34" s="312">
        <v>11500000</v>
      </c>
      <c r="AN34" s="312">
        <v>11500000</v>
      </c>
      <c r="AO34" s="312">
        <v>11500000</v>
      </c>
      <c r="AP34" s="312">
        <v>11500000</v>
      </c>
      <c r="AQ34" s="312">
        <v>11500000</v>
      </c>
      <c r="AR34" s="312">
        <v>11500000</v>
      </c>
      <c r="AS34" s="312">
        <v>11500000</v>
      </c>
      <c r="AT34" s="312">
        <f t="shared" si="2"/>
        <v>7666666.666666666</v>
      </c>
      <c r="AU34" s="309">
        <f t="shared" si="3"/>
        <v>126500000</v>
      </c>
      <c r="AV34" s="286">
        <f t="shared" si="4"/>
        <v>0</v>
      </c>
      <c r="AX34" s="283">
        <v>0</v>
      </c>
      <c r="AY34" s="283">
        <v>0</v>
      </c>
      <c r="AZ34" s="283">
        <f t="shared" si="7"/>
        <v>126500000</v>
      </c>
      <c r="BA34" s="283">
        <v>0</v>
      </c>
      <c r="BB34" s="282">
        <f t="shared" si="6"/>
        <v>126500000</v>
      </c>
    </row>
    <row r="35" spans="1:54" hidden="1">
      <c r="A35" s="223" t="s">
        <v>412</v>
      </c>
      <c r="B35" s="224" t="s">
        <v>413</v>
      </c>
      <c r="C35" s="224" t="s">
        <v>413</v>
      </c>
      <c r="D35" s="224">
        <v>395</v>
      </c>
      <c r="E35" s="225">
        <v>395</v>
      </c>
      <c r="F35" s="226">
        <v>7673</v>
      </c>
      <c r="G35" s="223" t="s">
        <v>414</v>
      </c>
      <c r="H35" s="223" t="s">
        <v>415</v>
      </c>
      <c r="I35" s="223" t="s">
        <v>416</v>
      </c>
      <c r="J35" s="223" t="s">
        <v>417</v>
      </c>
      <c r="K35" s="223" t="s">
        <v>418</v>
      </c>
      <c r="L35" s="223" t="s">
        <v>419</v>
      </c>
      <c r="M35" s="223" t="s">
        <v>420</v>
      </c>
      <c r="N35" s="223" t="s">
        <v>421</v>
      </c>
      <c r="O35" s="223" t="s">
        <v>447</v>
      </c>
      <c r="P35" s="223" t="s">
        <v>448</v>
      </c>
      <c r="Q35" s="227">
        <v>1</v>
      </c>
      <c r="R35" s="223" t="s">
        <v>424</v>
      </c>
      <c r="S35" s="223" t="s">
        <v>425</v>
      </c>
      <c r="T35" s="224">
        <v>80111620</v>
      </c>
      <c r="U35" s="223" t="s">
        <v>456</v>
      </c>
      <c r="V35" s="224">
        <v>1</v>
      </c>
      <c r="W35" s="224">
        <v>1</v>
      </c>
      <c r="X35" s="224">
        <v>330</v>
      </c>
      <c r="Y35" s="229" t="s">
        <v>427</v>
      </c>
      <c r="Z35" s="230" t="s">
        <v>428</v>
      </c>
      <c r="AA35" s="318">
        <v>113300000</v>
      </c>
      <c r="AB35" s="231">
        <v>10300000</v>
      </c>
      <c r="AC35" s="230" t="s">
        <v>457</v>
      </c>
      <c r="AD35" s="230" t="s">
        <v>451</v>
      </c>
      <c r="AE35" s="242"/>
      <c r="AF35" s="233"/>
      <c r="AG35" s="234"/>
      <c r="AH35" s="239"/>
      <c r="AI35" s="342">
        <f t="shared" si="0"/>
        <v>3433333.333333333</v>
      </c>
      <c r="AJ35" s="342">
        <f t="shared" si="1"/>
        <v>10300000</v>
      </c>
      <c r="AK35" s="342">
        <v>10300000</v>
      </c>
      <c r="AL35" s="342">
        <v>10300000</v>
      </c>
      <c r="AM35" s="312">
        <v>10300000</v>
      </c>
      <c r="AN35" s="312">
        <v>10300000</v>
      </c>
      <c r="AO35" s="312">
        <v>10300000</v>
      </c>
      <c r="AP35" s="312">
        <v>10300000</v>
      </c>
      <c r="AQ35" s="312">
        <v>10300000</v>
      </c>
      <c r="AR35" s="312">
        <v>10300000</v>
      </c>
      <c r="AS35" s="312">
        <v>10300000</v>
      </c>
      <c r="AT35" s="312">
        <f t="shared" si="2"/>
        <v>6866666.666666666</v>
      </c>
      <c r="AU35" s="309">
        <f t="shared" si="3"/>
        <v>113300000</v>
      </c>
      <c r="AV35" s="286">
        <f t="shared" si="4"/>
        <v>0</v>
      </c>
      <c r="AX35" s="283">
        <v>0</v>
      </c>
      <c r="AY35" s="283">
        <v>0</v>
      </c>
      <c r="AZ35" s="283">
        <f t="shared" si="7"/>
        <v>113300000</v>
      </c>
      <c r="BA35" s="283">
        <v>0</v>
      </c>
      <c r="BB35" s="282">
        <f t="shared" si="6"/>
        <v>113300000</v>
      </c>
    </row>
    <row r="36" spans="1:54" hidden="1">
      <c r="A36" s="223" t="s">
        <v>412</v>
      </c>
      <c r="B36" s="224" t="s">
        <v>413</v>
      </c>
      <c r="C36" s="224" t="s">
        <v>413</v>
      </c>
      <c r="D36" s="224">
        <v>396</v>
      </c>
      <c r="E36" s="225">
        <v>396</v>
      </c>
      <c r="F36" s="226">
        <v>7673</v>
      </c>
      <c r="G36" s="223" t="s">
        <v>414</v>
      </c>
      <c r="H36" s="223" t="s">
        <v>415</v>
      </c>
      <c r="I36" s="223" t="s">
        <v>416</v>
      </c>
      <c r="J36" s="223" t="s">
        <v>417</v>
      </c>
      <c r="K36" s="223" t="s">
        <v>418</v>
      </c>
      <c r="L36" s="223" t="s">
        <v>419</v>
      </c>
      <c r="M36" s="223" t="s">
        <v>420</v>
      </c>
      <c r="N36" s="223" t="s">
        <v>421</v>
      </c>
      <c r="O36" s="223" t="s">
        <v>447</v>
      </c>
      <c r="P36" s="223" t="s">
        <v>448</v>
      </c>
      <c r="Q36" s="227">
        <v>1</v>
      </c>
      <c r="R36" s="223" t="s">
        <v>424</v>
      </c>
      <c r="S36" s="223" t="s">
        <v>425</v>
      </c>
      <c r="T36" s="224">
        <v>80111620</v>
      </c>
      <c r="U36" s="223" t="s">
        <v>458</v>
      </c>
      <c r="V36" s="224">
        <v>1</v>
      </c>
      <c r="W36" s="224">
        <v>1</v>
      </c>
      <c r="X36" s="224">
        <v>330</v>
      </c>
      <c r="Y36" s="229" t="s">
        <v>427</v>
      </c>
      <c r="Z36" s="230" t="s">
        <v>428</v>
      </c>
      <c r="AA36" s="318">
        <v>92818000</v>
      </c>
      <c r="AB36" s="231">
        <v>8438000</v>
      </c>
      <c r="AC36" s="230" t="s">
        <v>459</v>
      </c>
      <c r="AD36" s="230" t="s">
        <v>451</v>
      </c>
      <c r="AE36" s="240"/>
      <c r="AF36" s="233"/>
      <c r="AG36" s="234"/>
      <c r="AH36" s="239"/>
      <c r="AI36" s="342">
        <f t="shared" si="0"/>
        <v>2812666.666666667</v>
      </c>
      <c r="AJ36" s="342">
        <f t="shared" si="1"/>
        <v>8438000</v>
      </c>
      <c r="AK36" s="342">
        <v>8438000</v>
      </c>
      <c r="AL36" s="342">
        <v>8438000</v>
      </c>
      <c r="AM36" s="312">
        <v>8438000</v>
      </c>
      <c r="AN36" s="312">
        <v>8438000</v>
      </c>
      <c r="AO36" s="312">
        <v>8438000</v>
      </c>
      <c r="AP36" s="312">
        <v>8438000</v>
      </c>
      <c r="AQ36" s="312">
        <v>8438000</v>
      </c>
      <c r="AR36" s="312">
        <v>8438000</v>
      </c>
      <c r="AS36" s="312">
        <v>8438000</v>
      </c>
      <c r="AT36" s="312">
        <f t="shared" si="2"/>
        <v>5625333.333333334</v>
      </c>
      <c r="AU36" s="309">
        <f t="shared" si="3"/>
        <v>92818000</v>
      </c>
      <c r="AV36" s="286">
        <f t="shared" si="4"/>
        <v>0</v>
      </c>
      <c r="AX36" s="283">
        <v>0</v>
      </c>
      <c r="AY36" s="283">
        <v>0</v>
      </c>
      <c r="AZ36" s="283">
        <f t="shared" si="7"/>
        <v>92818000</v>
      </c>
      <c r="BA36" s="283">
        <v>0</v>
      </c>
      <c r="BB36" s="282">
        <f t="shared" si="6"/>
        <v>92818000</v>
      </c>
    </row>
    <row r="37" spans="1:54" hidden="1">
      <c r="A37" s="223" t="s">
        <v>412</v>
      </c>
      <c r="B37" s="224" t="s">
        <v>413</v>
      </c>
      <c r="C37" s="224" t="s">
        <v>413</v>
      </c>
      <c r="D37" s="224">
        <v>397</v>
      </c>
      <c r="E37" s="225">
        <v>397</v>
      </c>
      <c r="F37" s="226">
        <v>7673</v>
      </c>
      <c r="G37" s="223" t="s">
        <v>414</v>
      </c>
      <c r="H37" s="223" t="s">
        <v>415</v>
      </c>
      <c r="I37" s="223" t="s">
        <v>416</v>
      </c>
      <c r="J37" s="223" t="s">
        <v>417</v>
      </c>
      <c r="K37" s="223" t="s">
        <v>418</v>
      </c>
      <c r="L37" s="223" t="s">
        <v>419</v>
      </c>
      <c r="M37" s="223" t="s">
        <v>420</v>
      </c>
      <c r="N37" s="223" t="s">
        <v>421</v>
      </c>
      <c r="O37" s="223" t="s">
        <v>447</v>
      </c>
      <c r="P37" s="223" t="s">
        <v>448</v>
      </c>
      <c r="Q37" s="227">
        <v>1</v>
      </c>
      <c r="R37" s="223" t="s">
        <v>424</v>
      </c>
      <c r="S37" s="223" t="s">
        <v>425</v>
      </c>
      <c r="T37" s="224">
        <v>80111620</v>
      </c>
      <c r="U37" s="223" t="s">
        <v>460</v>
      </c>
      <c r="V37" s="224">
        <v>1</v>
      </c>
      <c r="W37" s="224">
        <v>1</v>
      </c>
      <c r="X37" s="224">
        <v>330</v>
      </c>
      <c r="Y37" s="229" t="s">
        <v>427</v>
      </c>
      <c r="Z37" s="230" t="s">
        <v>428</v>
      </c>
      <c r="AA37" s="318">
        <v>67980000</v>
      </c>
      <c r="AB37" s="231">
        <v>6180000</v>
      </c>
      <c r="AC37" s="230" t="s">
        <v>461</v>
      </c>
      <c r="AD37" s="230" t="s">
        <v>451</v>
      </c>
      <c r="AE37" s="240"/>
      <c r="AF37" s="233"/>
      <c r="AG37" s="234"/>
      <c r="AH37" s="239"/>
      <c r="AI37" s="342">
        <f t="shared" si="0"/>
        <v>2060000</v>
      </c>
      <c r="AJ37" s="342">
        <f t="shared" si="1"/>
        <v>6180000</v>
      </c>
      <c r="AK37" s="342">
        <v>6180000</v>
      </c>
      <c r="AL37" s="342">
        <v>6180000</v>
      </c>
      <c r="AM37" s="312">
        <v>6180000</v>
      </c>
      <c r="AN37" s="312">
        <v>6180000</v>
      </c>
      <c r="AO37" s="312">
        <v>6180000</v>
      </c>
      <c r="AP37" s="312">
        <v>6180000</v>
      </c>
      <c r="AQ37" s="312">
        <v>6180000</v>
      </c>
      <c r="AR37" s="312">
        <v>6180000</v>
      </c>
      <c r="AS37" s="312">
        <v>6180000</v>
      </c>
      <c r="AT37" s="312">
        <f t="shared" si="2"/>
        <v>4120000</v>
      </c>
      <c r="AU37" s="309">
        <f t="shared" si="3"/>
        <v>67980000</v>
      </c>
      <c r="AV37" s="286">
        <f t="shared" si="4"/>
        <v>0</v>
      </c>
      <c r="AX37" s="283">
        <v>0</v>
      </c>
      <c r="AY37" s="283">
        <v>0</v>
      </c>
      <c r="AZ37" s="283">
        <f t="shared" si="7"/>
        <v>67980000</v>
      </c>
      <c r="BA37" s="283">
        <v>0</v>
      </c>
      <c r="BB37" s="282">
        <f t="shared" si="6"/>
        <v>67980000</v>
      </c>
    </row>
    <row r="38" spans="1:54" hidden="1">
      <c r="A38" s="223" t="s">
        <v>412</v>
      </c>
      <c r="B38" s="224" t="s">
        <v>413</v>
      </c>
      <c r="C38" s="224" t="s">
        <v>413</v>
      </c>
      <c r="D38" s="224">
        <v>398</v>
      </c>
      <c r="E38" s="225">
        <v>398</v>
      </c>
      <c r="F38" s="226">
        <v>7673</v>
      </c>
      <c r="G38" s="223" t="s">
        <v>414</v>
      </c>
      <c r="H38" s="223" t="s">
        <v>415</v>
      </c>
      <c r="I38" s="223" t="s">
        <v>416</v>
      </c>
      <c r="J38" s="223" t="s">
        <v>417</v>
      </c>
      <c r="K38" s="223" t="s">
        <v>418</v>
      </c>
      <c r="L38" s="223" t="s">
        <v>419</v>
      </c>
      <c r="M38" s="223" t="s">
        <v>420</v>
      </c>
      <c r="N38" s="223" t="s">
        <v>421</v>
      </c>
      <c r="O38" s="223" t="s">
        <v>447</v>
      </c>
      <c r="P38" s="223" t="s">
        <v>448</v>
      </c>
      <c r="Q38" s="227">
        <v>1</v>
      </c>
      <c r="R38" s="223" t="s">
        <v>424</v>
      </c>
      <c r="S38" s="223" t="s">
        <v>425</v>
      </c>
      <c r="T38" s="224">
        <v>80111620</v>
      </c>
      <c r="U38" s="223" t="s">
        <v>462</v>
      </c>
      <c r="V38" s="224">
        <v>1</v>
      </c>
      <c r="W38" s="224">
        <v>1</v>
      </c>
      <c r="X38" s="224">
        <v>330</v>
      </c>
      <c r="Y38" s="229" t="s">
        <v>427</v>
      </c>
      <c r="Z38" s="230" t="s">
        <v>428</v>
      </c>
      <c r="AA38" s="318">
        <v>62315000</v>
      </c>
      <c r="AB38" s="231">
        <v>5665000</v>
      </c>
      <c r="AC38" s="230" t="s">
        <v>463</v>
      </c>
      <c r="AD38" s="230" t="s">
        <v>451</v>
      </c>
      <c r="AE38" s="240"/>
      <c r="AF38" s="233"/>
      <c r="AG38" s="234"/>
      <c r="AH38" s="239"/>
      <c r="AI38" s="342">
        <f t="shared" si="0"/>
        <v>1888333.3333333335</v>
      </c>
      <c r="AJ38" s="342">
        <f t="shared" si="1"/>
        <v>5665000</v>
      </c>
      <c r="AK38" s="342">
        <v>5665000</v>
      </c>
      <c r="AL38" s="342">
        <v>5665000</v>
      </c>
      <c r="AM38" s="312">
        <v>5665000</v>
      </c>
      <c r="AN38" s="312">
        <v>5665000</v>
      </c>
      <c r="AO38" s="312">
        <v>5665000</v>
      </c>
      <c r="AP38" s="312">
        <v>5665000</v>
      </c>
      <c r="AQ38" s="312">
        <v>5665000</v>
      </c>
      <c r="AR38" s="312">
        <v>5665000</v>
      </c>
      <c r="AS38" s="312">
        <v>5665000</v>
      </c>
      <c r="AT38" s="312">
        <f t="shared" si="2"/>
        <v>3776666.666666667</v>
      </c>
      <c r="AU38" s="309">
        <f t="shared" si="3"/>
        <v>62315000</v>
      </c>
      <c r="AV38" s="286">
        <f t="shared" si="4"/>
        <v>0</v>
      </c>
      <c r="AX38" s="283">
        <v>0</v>
      </c>
      <c r="AY38" s="283">
        <v>0</v>
      </c>
      <c r="AZ38" s="283">
        <f t="shared" si="7"/>
        <v>62315000</v>
      </c>
      <c r="BA38" s="283">
        <v>0</v>
      </c>
      <c r="BB38" s="282">
        <f t="shared" si="6"/>
        <v>62315000</v>
      </c>
    </row>
    <row r="39" spans="1:54" hidden="1">
      <c r="A39" s="223" t="s">
        <v>412</v>
      </c>
      <c r="B39" s="224" t="s">
        <v>413</v>
      </c>
      <c r="C39" s="224" t="s">
        <v>413</v>
      </c>
      <c r="D39" s="224">
        <v>399</v>
      </c>
      <c r="E39" s="225">
        <v>399</v>
      </c>
      <c r="F39" s="226">
        <v>7673</v>
      </c>
      <c r="G39" s="223" t="s">
        <v>414</v>
      </c>
      <c r="H39" s="223" t="s">
        <v>415</v>
      </c>
      <c r="I39" s="223" t="s">
        <v>416</v>
      </c>
      <c r="J39" s="223" t="s">
        <v>417</v>
      </c>
      <c r="K39" s="223" t="s">
        <v>418</v>
      </c>
      <c r="L39" s="223" t="s">
        <v>419</v>
      </c>
      <c r="M39" s="223" t="s">
        <v>420</v>
      </c>
      <c r="N39" s="223" t="s">
        <v>421</v>
      </c>
      <c r="O39" s="223" t="s">
        <v>447</v>
      </c>
      <c r="P39" s="223" t="s">
        <v>448</v>
      </c>
      <c r="Q39" s="227">
        <v>1</v>
      </c>
      <c r="R39" s="223" t="s">
        <v>424</v>
      </c>
      <c r="S39" s="223" t="s">
        <v>425</v>
      </c>
      <c r="T39" s="224">
        <v>80111620</v>
      </c>
      <c r="U39" s="223" t="s">
        <v>464</v>
      </c>
      <c r="V39" s="224">
        <v>1</v>
      </c>
      <c r="W39" s="224">
        <v>1</v>
      </c>
      <c r="X39" s="224">
        <v>330</v>
      </c>
      <c r="Y39" s="229" t="s">
        <v>427</v>
      </c>
      <c r="Z39" s="230" t="s">
        <v>428</v>
      </c>
      <c r="AA39" s="318">
        <v>62315000</v>
      </c>
      <c r="AB39" s="231">
        <v>5665000</v>
      </c>
      <c r="AC39" s="230" t="s">
        <v>465</v>
      </c>
      <c r="AD39" s="230" t="s">
        <v>451</v>
      </c>
      <c r="AE39" s="242"/>
      <c r="AF39" s="233"/>
      <c r="AG39" s="234"/>
      <c r="AH39" s="239"/>
      <c r="AI39" s="342">
        <f t="shared" si="0"/>
        <v>1888333.3333333335</v>
      </c>
      <c r="AJ39" s="342">
        <f t="shared" si="1"/>
        <v>5665000</v>
      </c>
      <c r="AK39" s="342">
        <v>5665000</v>
      </c>
      <c r="AL39" s="342">
        <v>5665000</v>
      </c>
      <c r="AM39" s="312">
        <v>5665000</v>
      </c>
      <c r="AN39" s="312">
        <v>5665000</v>
      </c>
      <c r="AO39" s="312">
        <v>5665000</v>
      </c>
      <c r="AP39" s="312">
        <v>5665000</v>
      </c>
      <c r="AQ39" s="312">
        <v>5665000</v>
      </c>
      <c r="AR39" s="312">
        <v>5665000</v>
      </c>
      <c r="AS39" s="312">
        <v>5665000</v>
      </c>
      <c r="AT39" s="312">
        <f t="shared" si="2"/>
        <v>3776666.666666667</v>
      </c>
      <c r="AU39" s="309">
        <f t="shared" si="3"/>
        <v>62315000</v>
      </c>
      <c r="AV39" s="286">
        <f t="shared" si="4"/>
        <v>0</v>
      </c>
      <c r="AX39" s="283">
        <v>0</v>
      </c>
      <c r="AY39" s="283">
        <v>0</v>
      </c>
      <c r="AZ39" s="283">
        <f t="shared" si="7"/>
        <v>62315000</v>
      </c>
      <c r="BA39" s="283">
        <v>0</v>
      </c>
      <c r="BB39" s="282">
        <f t="shared" si="6"/>
        <v>62315000</v>
      </c>
    </row>
    <row r="40" spans="1:54" hidden="1">
      <c r="A40" s="223" t="s">
        <v>412</v>
      </c>
      <c r="B40" s="224" t="s">
        <v>413</v>
      </c>
      <c r="C40" s="224" t="s">
        <v>413</v>
      </c>
      <c r="D40" s="224">
        <v>400</v>
      </c>
      <c r="E40" s="225">
        <v>400</v>
      </c>
      <c r="F40" s="226">
        <v>7673</v>
      </c>
      <c r="G40" s="223" t="s">
        <v>414</v>
      </c>
      <c r="H40" s="223" t="s">
        <v>415</v>
      </c>
      <c r="I40" s="223" t="s">
        <v>416</v>
      </c>
      <c r="J40" s="223" t="s">
        <v>417</v>
      </c>
      <c r="K40" s="223" t="s">
        <v>418</v>
      </c>
      <c r="L40" s="223" t="s">
        <v>419</v>
      </c>
      <c r="M40" s="223" t="s">
        <v>420</v>
      </c>
      <c r="N40" s="223" t="s">
        <v>421</v>
      </c>
      <c r="O40" s="223" t="s">
        <v>447</v>
      </c>
      <c r="P40" s="223" t="s">
        <v>448</v>
      </c>
      <c r="Q40" s="227">
        <v>1</v>
      </c>
      <c r="R40" s="223" t="s">
        <v>424</v>
      </c>
      <c r="S40" s="223" t="s">
        <v>425</v>
      </c>
      <c r="T40" s="224">
        <v>80111620</v>
      </c>
      <c r="U40" s="223" t="s">
        <v>466</v>
      </c>
      <c r="V40" s="224">
        <v>1</v>
      </c>
      <c r="W40" s="224">
        <v>1</v>
      </c>
      <c r="X40" s="224">
        <v>330</v>
      </c>
      <c r="Y40" s="229" t="s">
        <v>427</v>
      </c>
      <c r="Z40" s="230" t="s">
        <v>428</v>
      </c>
      <c r="AA40" s="318">
        <v>82500000</v>
      </c>
      <c r="AB40" s="231">
        <v>7500000</v>
      </c>
      <c r="AC40" s="230" t="s">
        <v>467</v>
      </c>
      <c r="AD40" s="230" t="s">
        <v>451</v>
      </c>
      <c r="AE40" s="240"/>
      <c r="AF40" s="233"/>
      <c r="AG40" s="234"/>
      <c r="AH40" s="239"/>
      <c r="AI40" s="342">
        <f t="shared" si="0"/>
        <v>2500000</v>
      </c>
      <c r="AJ40" s="342">
        <f t="shared" si="1"/>
        <v>7500000</v>
      </c>
      <c r="AK40" s="342">
        <v>7500000</v>
      </c>
      <c r="AL40" s="342">
        <v>7500000</v>
      </c>
      <c r="AM40" s="312">
        <v>7500000</v>
      </c>
      <c r="AN40" s="312">
        <v>7500000</v>
      </c>
      <c r="AO40" s="312">
        <v>7500000</v>
      </c>
      <c r="AP40" s="312">
        <v>7500000</v>
      </c>
      <c r="AQ40" s="312">
        <v>7500000</v>
      </c>
      <c r="AR40" s="312">
        <v>7500000</v>
      </c>
      <c r="AS40" s="312">
        <v>7500000</v>
      </c>
      <c r="AT40" s="312">
        <f t="shared" si="2"/>
        <v>5000000</v>
      </c>
      <c r="AU40" s="309">
        <f t="shared" si="3"/>
        <v>82500000</v>
      </c>
      <c r="AV40" s="286">
        <f t="shared" si="4"/>
        <v>0</v>
      </c>
      <c r="AX40" s="283">
        <v>0</v>
      </c>
      <c r="AY40" s="283">
        <v>0</v>
      </c>
      <c r="AZ40" s="283">
        <f t="shared" si="7"/>
        <v>82500000</v>
      </c>
      <c r="BA40" s="283">
        <v>0</v>
      </c>
      <c r="BB40" s="282">
        <f t="shared" si="6"/>
        <v>82500000</v>
      </c>
    </row>
    <row r="41" spans="1:54" hidden="1">
      <c r="A41" s="223" t="s">
        <v>412</v>
      </c>
      <c r="B41" s="224" t="s">
        <v>413</v>
      </c>
      <c r="C41" s="224" t="s">
        <v>413</v>
      </c>
      <c r="D41" s="224">
        <v>401</v>
      </c>
      <c r="E41" s="225">
        <v>401</v>
      </c>
      <c r="F41" s="226">
        <v>7673</v>
      </c>
      <c r="G41" s="223" t="s">
        <v>414</v>
      </c>
      <c r="H41" s="223" t="s">
        <v>415</v>
      </c>
      <c r="I41" s="223" t="s">
        <v>416</v>
      </c>
      <c r="J41" s="223" t="s">
        <v>417</v>
      </c>
      <c r="K41" s="223" t="s">
        <v>418</v>
      </c>
      <c r="L41" s="223" t="s">
        <v>419</v>
      </c>
      <c r="M41" s="223" t="s">
        <v>420</v>
      </c>
      <c r="N41" s="223" t="s">
        <v>421</v>
      </c>
      <c r="O41" s="223" t="s">
        <v>447</v>
      </c>
      <c r="P41" s="223" t="s">
        <v>448</v>
      </c>
      <c r="Q41" s="227">
        <v>1</v>
      </c>
      <c r="R41" s="223" t="s">
        <v>441</v>
      </c>
      <c r="S41" s="223" t="s">
        <v>442</v>
      </c>
      <c r="T41" s="224">
        <v>80111620</v>
      </c>
      <c r="U41" s="223" t="s">
        <v>468</v>
      </c>
      <c r="V41" s="224">
        <v>1</v>
      </c>
      <c r="W41" s="224">
        <v>1</v>
      </c>
      <c r="X41" s="224">
        <v>330</v>
      </c>
      <c r="Y41" s="229" t="s">
        <v>427</v>
      </c>
      <c r="Z41" s="230" t="s">
        <v>428</v>
      </c>
      <c r="AA41" s="318">
        <v>33990000</v>
      </c>
      <c r="AB41" s="231">
        <v>3090000</v>
      </c>
      <c r="AC41" s="230" t="s">
        <v>469</v>
      </c>
      <c r="AD41" s="230" t="s">
        <v>451</v>
      </c>
      <c r="AE41" s="240"/>
      <c r="AF41" s="233"/>
      <c r="AG41" s="234"/>
      <c r="AH41" s="239"/>
      <c r="AI41" s="342">
        <f t="shared" si="0"/>
        <v>1030000</v>
      </c>
      <c r="AJ41" s="342">
        <f t="shared" si="1"/>
        <v>3090000</v>
      </c>
      <c r="AK41" s="342">
        <v>3090000</v>
      </c>
      <c r="AL41" s="342">
        <v>3090000</v>
      </c>
      <c r="AM41" s="312">
        <v>3090000</v>
      </c>
      <c r="AN41" s="312">
        <v>3090000</v>
      </c>
      <c r="AO41" s="312">
        <v>3090000</v>
      </c>
      <c r="AP41" s="312">
        <v>3090000</v>
      </c>
      <c r="AQ41" s="312">
        <v>3090000</v>
      </c>
      <c r="AR41" s="312">
        <v>3090000</v>
      </c>
      <c r="AS41" s="312">
        <v>3090000</v>
      </c>
      <c r="AT41" s="312">
        <f t="shared" si="2"/>
        <v>2060000</v>
      </c>
      <c r="AU41" s="309">
        <f t="shared" si="3"/>
        <v>33990000</v>
      </c>
      <c r="AV41" s="286">
        <f t="shared" si="4"/>
        <v>0</v>
      </c>
      <c r="AX41" s="283">
        <v>0</v>
      </c>
      <c r="AY41" s="283">
        <v>0</v>
      </c>
      <c r="AZ41" s="283">
        <f t="shared" si="7"/>
        <v>33990000</v>
      </c>
      <c r="BA41" s="283">
        <v>0</v>
      </c>
      <c r="BB41" s="282">
        <f t="shared" si="6"/>
        <v>33990000</v>
      </c>
    </row>
    <row r="42" spans="1:54" hidden="1">
      <c r="A42" s="223" t="s">
        <v>412</v>
      </c>
      <c r="B42" s="224" t="s">
        <v>413</v>
      </c>
      <c r="C42" s="224" t="s">
        <v>413</v>
      </c>
      <c r="D42" s="224">
        <v>402</v>
      </c>
      <c r="E42" s="225">
        <v>402</v>
      </c>
      <c r="F42" s="226">
        <v>7673</v>
      </c>
      <c r="G42" s="223" t="s">
        <v>414</v>
      </c>
      <c r="H42" s="223" t="s">
        <v>415</v>
      </c>
      <c r="I42" s="223" t="s">
        <v>416</v>
      </c>
      <c r="J42" s="223" t="s">
        <v>417</v>
      </c>
      <c r="K42" s="223" t="s">
        <v>418</v>
      </c>
      <c r="L42" s="223" t="s">
        <v>419</v>
      </c>
      <c r="M42" s="223" t="s">
        <v>420</v>
      </c>
      <c r="N42" s="223" t="s">
        <v>421</v>
      </c>
      <c r="O42" s="223" t="s">
        <v>447</v>
      </c>
      <c r="P42" s="223" t="s">
        <v>448</v>
      </c>
      <c r="Q42" s="227">
        <v>1</v>
      </c>
      <c r="R42" s="223" t="s">
        <v>441</v>
      </c>
      <c r="S42" s="223" t="s">
        <v>442</v>
      </c>
      <c r="T42" s="224">
        <v>80111620</v>
      </c>
      <c r="U42" s="223" t="s">
        <v>470</v>
      </c>
      <c r="V42" s="224">
        <v>1</v>
      </c>
      <c r="W42" s="224">
        <v>1</v>
      </c>
      <c r="X42" s="224">
        <v>330</v>
      </c>
      <c r="Y42" s="229" t="s">
        <v>427</v>
      </c>
      <c r="Z42" s="230" t="s">
        <v>428</v>
      </c>
      <c r="AA42" s="318">
        <v>56650000</v>
      </c>
      <c r="AB42" s="231">
        <v>5150000</v>
      </c>
      <c r="AC42" s="230" t="s">
        <v>471</v>
      </c>
      <c r="AD42" s="230" t="s">
        <v>451</v>
      </c>
      <c r="AE42" s="240"/>
      <c r="AF42" s="233"/>
      <c r="AG42" s="239"/>
      <c r="AH42" s="239"/>
      <c r="AI42" s="342">
        <f t="shared" si="0"/>
        <v>1716666.6666666665</v>
      </c>
      <c r="AJ42" s="342">
        <f t="shared" si="1"/>
        <v>5150000</v>
      </c>
      <c r="AK42" s="342">
        <v>5150000</v>
      </c>
      <c r="AL42" s="342">
        <v>5150000</v>
      </c>
      <c r="AM42" s="312">
        <v>5150000</v>
      </c>
      <c r="AN42" s="312">
        <v>5150000</v>
      </c>
      <c r="AO42" s="312">
        <v>5150000</v>
      </c>
      <c r="AP42" s="312">
        <v>5150000</v>
      </c>
      <c r="AQ42" s="312">
        <v>5150000</v>
      </c>
      <c r="AR42" s="312">
        <v>5150000</v>
      </c>
      <c r="AS42" s="312">
        <v>5150000</v>
      </c>
      <c r="AT42" s="312">
        <f t="shared" si="2"/>
        <v>3433333.333333333</v>
      </c>
      <c r="AU42" s="309">
        <f t="shared" si="3"/>
        <v>56650000</v>
      </c>
      <c r="AV42" s="286">
        <f t="shared" si="4"/>
        <v>0</v>
      </c>
      <c r="AX42" s="283">
        <v>0</v>
      </c>
      <c r="AY42" s="283">
        <v>0</v>
      </c>
      <c r="AZ42" s="283">
        <f t="shared" si="7"/>
        <v>56650000</v>
      </c>
      <c r="BA42" s="283">
        <v>0</v>
      </c>
      <c r="BB42" s="282">
        <f t="shared" si="6"/>
        <v>56650000</v>
      </c>
    </row>
    <row r="43" spans="1:54" hidden="1">
      <c r="A43" s="223" t="s">
        <v>412</v>
      </c>
      <c r="B43" s="224" t="s">
        <v>413</v>
      </c>
      <c r="C43" s="224" t="s">
        <v>413</v>
      </c>
      <c r="D43" s="224">
        <v>403</v>
      </c>
      <c r="E43" s="225">
        <v>403</v>
      </c>
      <c r="F43" s="226">
        <v>7673</v>
      </c>
      <c r="G43" s="223" t="s">
        <v>414</v>
      </c>
      <c r="H43" s="223" t="s">
        <v>415</v>
      </c>
      <c r="I43" s="223" t="s">
        <v>416</v>
      </c>
      <c r="J43" s="223" t="s">
        <v>417</v>
      </c>
      <c r="K43" s="223" t="s">
        <v>418</v>
      </c>
      <c r="L43" s="223" t="s">
        <v>419</v>
      </c>
      <c r="M43" s="223" t="s">
        <v>420</v>
      </c>
      <c r="N43" s="223" t="s">
        <v>421</v>
      </c>
      <c r="O43" s="223" t="s">
        <v>447</v>
      </c>
      <c r="P43" s="223" t="s">
        <v>448</v>
      </c>
      <c r="Q43" s="227">
        <v>1</v>
      </c>
      <c r="R43" s="223" t="s">
        <v>441</v>
      </c>
      <c r="S43" s="223" t="s">
        <v>442</v>
      </c>
      <c r="T43" s="224">
        <v>80111620</v>
      </c>
      <c r="U43" s="223" t="s">
        <v>470</v>
      </c>
      <c r="V43" s="224">
        <v>1</v>
      </c>
      <c r="W43" s="224">
        <v>1</v>
      </c>
      <c r="X43" s="224">
        <v>330</v>
      </c>
      <c r="Y43" s="229" t="s">
        <v>427</v>
      </c>
      <c r="Z43" s="230" t="s">
        <v>428</v>
      </c>
      <c r="AA43" s="318">
        <v>56650000</v>
      </c>
      <c r="AB43" s="231">
        <v>5150000</v>
      </c>
      <c r="AC43" s="230" t="s">
        <v>471</v>
      </c>
      <c r="AD43" s="243" t="s">
        <v>451</v>
      </c>
      <c r="AE43" s="240"/>
      <c r="AF43" s="233"/>
      <c r="AG43" s="234"/>
      <c r="AH43" s="239"/>
      <c r="AI43" s="342">
        <f t="shared" si="0"/>
        <v>1716666.6666666665</v>
      </c>
      <c r="AJ43" s="342">
        <f t="shared" si="1"/>
        <v>5150000</v>
      </c>
      <c r="AK43" s="342">
        <v>5150000</v>
      </c>
      <c r="AL43" s="342">
        <v>5150000</v>
      </c>
      <c r="AM43" s="312">
        <v>5150000</v>
      </c>
      <c r="AN43" s="312">
        <v>5150000</v>
      </c>
      <c r="AO43" s="312">
        <v>5150000</v>
      </c>
      <c r="AP43" s="312">
        <v>5150000</v>
      </c>
      <c r="AQ43" s="312">
        <v>5150000</v>
      </c>
      <c r="AR43" s="312">
        <v>5150000</v>
      </c>
      <c r="AS43" s="312">
        <v>5150000</v>
      </c>
      <c r="AT43" s="312">
        <f t="shared" si="2"/>
        <v>3433333.333333333</v>
      </c>
      <c r="AU43" s="309">
        <f t="shared" si="3"/>
        <v>56650000</v>
      </c>
      <c r="AV43" s="286">
        <f t="shared" si="4"/>
        <v>0</v>
      </c>
      <c r="AX43" s="283">
        <v>0</v>
      </c>
      <c r="AY43" s="283">
        <v>0</v>
      </c>
      <c r="AZ43" s="283">
        <f t="shared" si="7"/>
        <v>56650000</v>
      </c>
      <c r="BA43" s="283">
        <v>0</v>
      </c>
      <c r="BB43" s="282">
        <f t="shared" si="6"/>
        <v>56650000</v>
      </c>
    </row>
    <row r="44" spans="1:54" hidden="1">
      <c r="A44" s="223" t="s">
        <v>412</v>
      </c>
      <c r="B44" s="224" t="s">
        <v>413</v>
      </c>
      <c r="C44" s="224" t="s">
        <v>413</v>
      </c>
      <c r="D44" s="224">
        <v>404</v>
      </c>
      <c r="E44" s="225">
        <v>404</v>
      </c>
      <c r="F44" s="226">
        <v>7673</v>
      </c>
      <c r="G44" s="223" t="s">
        <v>414</v>
      </c>
      <c r="H44" s="223" t="s">
        <v>415</v>
      </c>
      <c r="I44" s="223" t="s">
        <v>416</v>
      </c>
      <c r="J44" s="223" t="s">
        <v>417</v>
      </c>
      <c r="K44" s="223" t="s">
        <v>418</v>
      </c>
      <c r="L44" s="223" t="s">
        <v>419</v>
      </c>
      <c r="M44" s="223" t="s">
        <v>420</v>
      </c>
      <c r="N44" s="223" t="s">
        <v>421</v>
      </c>
      <c r="O44" s="223" t="s">
        <v>447</v>
      </c>
      <c r="P44" s="223" t="s">
        <v>448</v>
      </c>
      <c r="Q44" s="227">
        <v>1</v>
      </c>
      <c r="R44" s="223" t="s">
        <v>441</v>
      </c>
      <c r="S44" s="223" t="s">
        <v>442</v>
      </c>
      <c r="T44" s="224">
        <v>80111620</v>
      </c>
      <c r="U44" s="223" t="s">
        <v>470</v>
      </c>
      <c r="V44" s="224">
        <v>1</v>
      </c>
      <c r="W44" s="224">
        <v>1</v>
      </c>
      <c r="X44" s="224">
        <v>330</v>
      </c>
      <c r="Y44" s="229" t="s">
        <v>427</v>
      </c>
      <c r="Z44" s="230" t="s">
        <v>428</v>
      </c>
      <c r="AA44" s="318">
        <v>56650000</v>
      </c>
      <c r="AB44" s="231">
        <v>5150000</v>
      </c>
      <c r="AC44" s="230" t="s">
        <v>471</v>
      </c>
      <c r="AD44" s="230" t="s">
        <v>451</v>
      </c>
      <c r="AE44" s="240"/>
      <c r="AF44" s="233"/>
      <c r="AG44" s="234"/>
      <c r="AH44" s="239"/>
      <c r="AI44" s="342">
        <f t="shared" si="0"/>
        <v>1716666.6666666665</v>
      </c>
      <c r="AJ44" s="342">
        <f t="shared" si="1"/>
        <v>5150000</v>
      </c>
      <c r="AK44" s="342">
        <v>5150000</v>
      </c>
      <c r="AL44" s="342">
        <v>5150000</v>
      </c>
      <c r="AM44" s="312">
        <v>5150000</v>
      </c>
      <c r="AN44" s="312">
        <v>5150000</v>
      </c>
      <c r="AO44" s="312">
        <v>5150000</v>
      </c>
      <c r="AP44" s="312">
        <v>5150000</v>
      </c>
      <c r="AQ44" s="312">
        <v>5150000</v>
      </c>
      <c r="AR44" s="312">
        <v>5150000</v>
      </c>
      <c r="AS44" s="312">
        <v>5150000</v>
      </c>
      <c r="AT44" s="312">
        <f t="shared" si="2"/>
        <v>3433333.333333333</v>
      </c>
      <c r="AU44" s="309">
        <f t="shared" si="3"/>
        <v>56650000</v>
      </c>
      <c r="AV44" s="286">
        <f t="shared" si="4"/>
        <v>0</v>
      </c>
      <c r="AX44" s="283">
        <v>0</v>
      </c>
      <c r="AY44" s="283">
        <v>0</v>
      </c>
      <c r="AZ44" s="283">
        <f t="shared" si="7"/>
        <v>56650000</v>
      </c>
      <c r="BA44" s="283">
        <v>0</v>
      </c>
      <c r="BB44" s="282">
        <f t="shared" si="6"/>
        <v>56650000</v>
      </c>
    </row>
    <row r="45" spans="1:54" hidden="1">
      <c r="A45" s="223" t="s">
        <v>412</v>
      </c>
      <c r="B45" s="224" t="s">
        <v>413</v>
      </c>
      <c r="C45" s="224" t="s">
        <v>413</v>
      </c>
      <c r="D45" s="224">
        <v>405</v>
      </c>
      <c r="E45" s="225">
        <v>405</v>
      </c>
      <c r="F45" s="226">
        <v>7673</v>
      </c>
      <c r="G45" s="223" t="s">
        <v>414</v>
      </c>
      <c r="H45" s="223" t="s">
        <v>415</v>
      </c>
      <c r="I45" s="223" t="s">
        <v>416</v>
      </c>
      <c r="J45" s="223" t="s">
        <v>417</v>
      </c>
      <c r="K45" s="223" t="s">
        <v>418</v>
      </c>
      <c r="L45" s="223" t="s">
        <v>419</v>
      </c>
      <c r="M45" s="223" t="s">
        <v>420</v>
      </c>
      <c r="N45" s="223" t="s">
        <v>421</v>
      </c>
      <c r="O45" s="223" t="s">
        <v>447</v>
      </c>
      <c r="P45" s="223" t="s">
        <v>448</v>
      </c>
      <c r="Q45" s="227">
        <v>1</v>
      </c>
      <c r="R45" s="223" t="s">
        <v>441</v>
      </c>
      <c r="S45" s="223" t="s">
        <v>442</v>
      </c>
      <c r="T45" s="224">
        <v>80111620</v>
      </c>
      <c r="U45" s="223" t="s">
        <v>470</v>
      </c>
      <c r="V45" s="224">
        <v>1</v>
      </c>
      <c r="W45" s="224">
        <v>1</v>
      </c>
      <c r="X45" s="224">
        <v>330</v>
      </c>
      <c r="Y45" s="229" t="s">
        <v>427</v>
      </c>
      <c r="Z45" s="230" t="s">
        <v>428</v>
      </c>
      <c r="AA45" s="318">
        <v>56650000</v>
      </c>
      <c r="AB45" s="231">
        <v>5150000</v>
      </c>
      <c r="AC45" s="230" t="s">
        <v>471</v>
      </c>
      <c r="AD45" s="230" t="s">
        <v>451</v>
      </c>
      <c r="AE45" s="242"/>
      <c r="AF45" s="233"/>
      <c r="AG45" s="234"/>
      <c r="AH45" s="239"/>
      <c r="AI45" s="342">
        <f t="shared" si="0"/>
        <v>1716666.6666666665</v>
      </c>
      <c r="AJ45" s="342">
        <f t="shared" si="1"/>
        <v>5150000</v>
      </c>
      <c r="AK45" s="342">
        <v>5150000</v>
      </c>
      <c r="AL45" s="342">
        <v>5150000</v>
      </c>
      <c r="AM45" s="312">
        <v>5150000</v>
      </c>
      <c r="AN45" s="312">
        <v>5150000</v>
      </c>
      <c r="AO45" s="312">
        <v>5150000</v>
      </c>
      <c r="AP45" s="312">
        <v>5150000</v>
      </c>
      <c r="AQ45" s="312">
        <v>5150000</v>
      </c>
      <c r="AR45" s="312">
        <v>5150000</v>
      </c>
      <c r="AS45" s="312">
        <v>5150000</v>
      </c>
      <c r="AT45" s="312">
        <f t="shared" si="2"/>
        <v>3433333.333333333</v>
      </c>
      <c r="AU45" s="309">
        <f t="shared" si="3"/>
        <v>56650000</v>
      </c>
      <c r="AV45" s="286">
        <f t="shared" si="4"/>
        <v>0</v>
      </c>
      <c r="AX45" s="283">
        <v>0</v>
      </c>
      <c r="AY45" s="283">
        <v>0</v>
      </c>
      <c r="AZ45" s="283">
        <f t="shared" si="7"/>
        <v>56650000</v>
      </c>
      <c r="BA45" s="283">
        <v>0</v>
      </c>
      <c r="BB45" s="282">
        <f t="shared" si="6"/>
        <v>56650000</v>
      </c>
    </row>
    <row r="46" spans="1:54" hidden="1">
      <c r="A46" s="223" t="s">
        <v>412</v>
      </c>
      <c r="B46" s="224" t="s">
        <v>413</v>
      </c>
      <c r="C46" s="224" t="s">
        <v>413</v>
      </c>
      <c r="D46" s="224">
        <v>406</v>
      </c>
      <c r="E46" s="225">
        <v>406</v>
      </c>
      <c r="F46" s="226">
        <v>7673</v>
      </c>
      <c r="G46" s="223" t="s">
        <v>414</v>
      </c>
      <c r="H46" s="223" t="s">
        <v>415</v>
      </c>
      <c r="I46" s="223" t="s">
        <v>416</v>
      </c>
      <c r="J46" s="223" t="s">
        <v>417</v>
      </c>
      <c r="K46" s="223" t="s">
        <v>418</v>
      </c>
      <c r="L46" s="223" t="s">
        <v>419</v>
      </c>
      <c r="M46" s="223" t="s">
        <v>420</v>
      </c>
      <c r="N46" s="223" t="s">
        <v>421</v>
      </c>
      <c r="O46" s="223" t="s">
        <v>447</v>
      </c>
      <c r="P46" s="223" t="s">
        <v>448</v>
      </c>
      <c r="Q46" s="227">
        <v>1</v>
      </c>
      <c r="R46" s="223" t="s">
        <v>441</v>
      </c>
      <c r="S46" s="223" t="s">
        <v>442</v>
      </c>
      <c r="T46" s="224">
        <v>80111620</v>
      </c>
      <c r="U46" s="223" t="s">
        <v>470</v>
      </c>
      <c r="V46" s="224">
        <v>1</v>
      </c>
      <c r="W46" s="224">
        <v>1</v>
      </c>
      <c r="X46" s="224">
        <v>330</v>
      </c>
      <c r="Y46" s="229" t="s">
        <v>427</v>
      </c>
      <c r="Z46" s="230" t="s">
        <v>428</v>
      </c>
      <c r="AA46" s="318">
        <v>56650000</v>
      </c>
      <c r="AB46" s="231">
        <v>5150000</v>
      </c>
      <c r="AC46" s="230" t="s">
        <v>471</v>
      </c>
      <c r="AD46" s="230" t="s">
        <v>451</v>
      </c>
      <c r="AE46" s="240"/>
      <c r="AF46" s="233"/>
      <c r="AG46" s="234"/>
      <c r="AH46" s="239"/>
      <c r="AI46" s="342">
        <f t="shared" si="0"/>
        <v>1716666.6666666665</v>
      </c>
      <c r="AJ46" s="342">
        <f t="shared" si="1"/>
        <v>5150000</v>
      </c>
      <c r="AK46" s="342">
        <v>5150000</v>
      </c>
      <c r="AL46" s="342">
        <v>5150000</v>
      </c>
      <c r="AM46" s="312">
        <v>5150000</v>
      </c>
      <c r="AN46" s="312">
        <v>5150000</v>
      </c>
      <c r="AO46" s="312">
        <v>5150000</v>
      </c>
      <c r="AP46" s="312">
        <v>5150000</v>
      </c>
      <c r="AQ46" s="312">
        <v>5150000</v>
      </c>
      <c r="AR46" s="312">
        <v>5150000</v>
      </c>
      <c r="AS46" s="312">
        <v>5150000</v>
      </c>
      <c r="AT46" s="312">
        <f t="shared" si="2"/>
        <v>3433333.333333333</v>
      </c>
      <c r="AU46" s="309">
        <f t="shared" si="3"/>
        <v>56650000</v>
      </c>
      <c r="AV46" s="286">
        <f t="shared" si="4"/>
        <v>0</v>
      </c>
      <c r="AX46" s="283">
        <v>0</v>
      </c>
      <c r="AY46" s="283">
        <v>0</v>
      </c>
      <c r="AZ46" s="283">
        <f t="shared" si="7"/>
        <v>56650000</v>
      </c>
      <c r="BA46" s="283">
        <v>0</v>
      </c>
      <c r="BB46" s="282">
        <f t="shared" si="6"/>
        <v>56650000</v>
      </c>
    </row>
    <row r="47" spans="1:54" hidden="1">
      <c r="A47" s="223" t="s">
        <v>412</v>
      </c>
      <c r="B47" s="224" t="s">
        <v>413</v>
      </c>
      <c r="C47" s="224" t="s">
        <v>413</v>
      </c>
      <c r="D47" s="224">
        <v>407</v>
      </c>
      <c r="E47" s="225">
        <v>407</v>
      </c>
      <c r="F47" s="226">
        <v>7673</v>
      </c>
      <c r="G47" s="223" t="s">
        <v>414</v>
      </c>
      <c r="H47" s="223" t="s">
        <v>415</v>
      </c>
      <c r="I47" s="223" t="s">
        <v>416</v>
      </c>
      <c r="J47" s="223" t="s">
        <v>417</v>
      </c>
      <c r="K47" s="223" t="s">
        <v>418</v>
      </c>
      <c r="L47" s="223" t="s">
        <v>419</v>
      </c>
      <c r="M47" s="223" t="s">
        <v>420</v>
      </c>
      <c r="N47" s="223" t="s">
        <v>421</v>
      </c>
      <c r="O47" s="223" t="s">
        <v>447</v>
      </c>
      <c r="P47" s="223" t="s">
        <v>448</v>
      </c>
      <c r="Q47" s="227">
        <v>1</v>
      </c>
      <c r="R47" s="223" t="s">
        <v>441</v>
      </c>
      <c r="S47" s="223" t="s">
        <v>442</v>
      </c>
      <c r="T47" s="224">
        <v>80111620</v>
      </c>
      <c r="U47" s="223" t="s">
        <v>470</v>
      </c>
      <c r="V47" s="224">
        <v>1</v>
      </c>
      <c r="W47" s="224">
        <v>1</v>
      </c>
      <c r="X47" s="224">
        <v>330</v>
      </c>
      <c r="Y47" s="229" t="s">
        <v>427</v>
      </c>
      <c r="Z47" s="230" t="s">
        <v>428</v>
      </c>
      <c r="AA47" s="318">
        <v>56650000</v>
      </c>
      <c r="AB47" s="231">
        <v>5150000</v>
      </c>
      <c r="AC47" s="230" t="s">
        <v>471</v>
      </c>
      <c r="AD47" s="230" t="s">
        <v>451</v>
      </c>
      <c r="AE47" s="242"/>
      <c r="AF47" s="233"/>
      <c r="AG47" s="234"/>
      <c r="AH47" s="239"/>
      <c r="AI47" s="342">
        <f t="shared" si="0"/>
        <v>1716666.6666666665</v>
      </c>
      <c r="AJ47" s="342">
        <f t="shared" si="1"/>
        <v>5150000</v>
      </c>
      <c r="AK47" s="342">
        <v>5150000</v>
      </c>
      <c r="AL47" s="342">
        <v>5150000</v>
      </c>
      <c r="AM47" s="312">
        <v>5150000</v>
      </c>
      <c r="AN47" s="312">
        <v>5150000</v>
      </c>
      <c r="AO47" s="312">
        <v>5150000</v>
      </c>
      <c r="AP47" s="312">
        <v>5150000</v>
      </c>
      <c r="AQ47" s="312">
        <v>5150000</v>
      </c>
      <c r="AR47" s="312">
        <v>5150000</v>
      </c>
      <c r="AS47" s="312">
        <v>5150000</v>
      </c>
      <c r="AT47" s="312">
        <f t="shared" si="2"/>
        <v>3433333.333333333</v>
      </c>
      <c r="AU47" s="309">
        <f t="shared" si="3"/>
        <v>56650000</v>
      </c>
      <c r="AV47" s="286">
        <f t="shared" si="4"/>
        <v>0</v>
      </c>
      <c r="AX47" s="283">
        <v>0</v>
      </c>
      <c r="AY47" s="283">
        <v>0</v>
      </c>
      <c r="AZ47" s="283">
        <f t="shared" si="7"/>
        <v>56650000</v>
      </c>
      <c r="BA47" s="283">
        <v>0</v>
      </c>
      <c r="BB47" s="282">
        <f t="shared" si="6"/>
        <v>56650000</v>
      </c>
    </row>
    <row r="48" spans="1:54" hidden="1">
      <c r="A48" s="223" t="s">
        <v>412</v>
      </c>
      <c r="B48" s="224" t="s">
        <v>413</v>
      </c>
      <c r="C48" s="224" t="s">
        <v>413</v>
      </c>
      <c r="D48" s="224">
        <v>408</v>
      </c>
      <c r="E48" s="225">
        <v>408</v>
      </c>
      <c r="F48" s="226">
        <v>7673</v>
      </c>
      <c r="G48" s="223" t="s">
        <v>414</v>
      </c>
      <c r="H48" s="223" t="s">
        <v>415</v>
      </c>
      <c r="I48" s="223" t="s">
        <v>416</v>
      </c>
      <c r="J48" s="223" t="s">
        <v>417</v>
      </c>
      <c r="K48" s="223" t="s">
        <v>418</v>
      </c>
      <c r="L48" s="223" t="s">
        <v>419</v>
      </c>
      <c r="M48" s="223" t="s">
        <v>420</v>
      </c>
      <c r="N48" s="223" t="s">
        <v>421</v>
      </c>
      <c r="O48" s="223" t="s">
        <v>447</v>
      </c>
      <c r="P48" s="223" t="s">
        <v>448</v>
      </c>
      <c r="Q48" s="227">
        <v>1</v>
      </c>
      <c r="R48" s="223" t="s">
        <v>441</v>
      </c>
      <c r="S48" s="223" t="s">
        <v>442</v>
      </c>
      <c r="T48" s="224">
        <v>80111620</v>
      </c>
      <c r="U48" s="223" t="s">
        <v>470</v>
      </c>
      <c r="V48" s="224">
        <v>1</v>
      </c>
      <c r="W48" s="224">
        <v>1</v>
      </c>
      <c r="X48" s="224">
        <v>330</v>
      </c>
      <c r="Y48" s="229" t="s">
        <v>427</v>
      </c>
      <c r="Z48" s="230" t="s">
        <v>428</v>
      </c>
      <c r="AA48" s="318">
        <v>56650000</v>
      </c>
      <c r="AB48" s="231">
        <v>5150000</v>
      </c>
      <c r="AC48" s="230" t="s">
        <v>471</v>
      </c>
      <c r="AD48" s="230" t="s">
        <v>451</v>
      </c>
      <c r="AE48" s="240"/>
      <c r="AF48" s="233"/>
      <c r="AG48" s="234"/>
      <c r="AH48" s="239"/>
      <c r="AI48" s="342">
        <f t="shared" si="0"/>
        <v>1716666.6666666665</v>
      </c>
      <c r="AJ48" s="342">
        <f t="shared" si="1"/>
        <v>5150000</v>
      </c>
      <c r="AK48" s="342">
        <v>5150000</v>
      </c>
      <c r="AL48" s="342">
        <v>5150000</v>
      </c>
      <c r="AM48" s="312">
        <v>5150000</v>
      </c>
      <c r="AN48" s="312">
        <v>5150000</v>
      </c>
      <c r="AO48" s="312">
        <v>5150000</v>
      </c>
      <c r="AP48" s="312">
        <v>5150000</v>
      </c>
      <c r="AQ48" s="312">
        <v>5150000</v>
      </c>
      <c r="AR48" s="312">
        <v>5150000</v>
      </c>
      <c r="AS48" s="312">
        <v>5150000</v>
      </c>
      <c r="AT48" s="312">
        <f t="shared" si="2"/>
        <v>3433333.333333333</v>
      </c>
      <c r="AU48" s="309">
        <f t="shared" si="3"/>
        <v>56650000</v>
      </c>
      <c r="AV48" s="286">
        <f t="shared" si="4"/>
        <v>0</v>
      </c>
      <c r="AX48" s="283">
        <v>0</v>
      </c>
      <c r="AY48" s="283">
        <v>0</v>
      </c>
      <c r="AZ48" s="283">
        <f t="shared" si="7"/>
        <v>56650000</v>
      </c>
      <c r="BA48" s="283">
        <v>0</v>
      </c>
      <c r="BB48" s="282">
        <f t="shared" si="6"/>
        <v>56650000</v>
      </c>
    </row>
    <row r="49" spans="1:54" hidden="1">
      <c r="A49" s="223" t="s">
        <v>412</v>
      </c>
      <c r="B49" s="224" t="s">
        <v>413</v>
      </c>
      <c r="C49" s="224" t="s">
        <v>413</v>
      </c>
      <c r="D49" s="224">
        <v>409</v>
      </c>
      <c r="E49" s="225">
        <v>409</v>
      </c>
      <c r="F49" s="226">
        <v>7673</v>
      </c>
      <c r="G49" s="223" t="s">
        <v>414</v>
      </c>
      <c r="H49" s="223" t="s">
        <v>415</v>
      </c>
      <c r="I49" s="223" t="s">
        <v>416</v>
      </c>
      <c r="J49" s="223" t="s">
        <v>417</v>
      </c>
      <c r="K49" s="223" t="s">
        <v>418</v>
      </c>
      <c r="L49" s="223" t="s">
        <v>419</v>
      </c>
      <c r="M49" s="223" t="s">
        <v>420</v>
      </c>
      <c r="N49" s="223" t="s">
        <v>421</v>
      </c>
      <c r="O49" s="223" t="s">
        <v>447</v>
      </c>
      <c r="P49" s="223" t="s">
        <v>448</v>
      </c>
      <c r="Q49" s="227">
        <v>1</v>
      </c>
      <c r="R49" s="223" t="s">
        <v>441</v>
      </c>
      <c r="S49" s="223" t="s">
        <v>442</v>
      </c>
      <c r="T49" s="224">
        <v>80111620</v>
      </c>
      <c r="U49" s="223" t="s">
        <v>470</v>
      </c>
      <c r="V49" s="224">
        <v>1</v>
      </c>
      <c r="W49" s="224">
        <v>1</v>
      </c>
      <c r="X49" s="224">
        <v>330</v>
      </c>
      <c r="Y49" s="229" t="s">
        <v>427</v>
      </c>
      <c r="Z49" s="230" t="s">
        <v>428</v>
      </c>
      <c r="AA49" s="318">
        <v>56650000</v>
      </c>
      <c r="AB49" s="231">
        <v>5150000</v>
      </c>
      <c r="AC49" s="230" t="s">
        <v>471</v>
      </c>
      <c r="AD49" s="230" t="s">
        <v>451</v>
      </c>
      <c r="AE49" s="240"/>
      <c r="AF49" s="233"/>
      <c r="AG49" s="234"/>
      <c r="AH49" s="239"/>
      <c r="AI49" s="342">
        <f t="shared" si="0"/>
        <v>1716666.6666666665</v>
      </c>
      <c r="AJ49" s="342">
        <f t="shared" si="1"/>
        <v>5150000</v>
      </c>
      <c r="AK49" s="342">
        <v>5150000</v>
      </c>
      <c r="AL49" s="342">
        <v>5150000</v>
      </c>
      <c r="AM49" s="312">
        <v>5150000</v>
      </c>
      <c r="AN49" s="312">
        <v>5150000</v>
      </c>
      <c r="AO49" s="312">
        <v>5150000</v>
      </c>
      <c r="AP49" s="312">
        <v>5150000</v>
      </c>
      <c r="AQ49" s="312">
        <v>5150000</v>
      </c>
      <c r="AR49" s="312">
        <v>5150000</v>
      </c>
      <c r="AS49" s="312">
        <v>5150000</v>
      </c>
      <c r="AT49" s="312">
        <f t="shared" si="2"/>
        <v>3433333.333333333</v>
      </c>
      <c r="AU49" s="309">
        <f t="shared" si="3"/>
        <v>56650000</v>
      </c>
      <c r="AV49" s="286">
        <f t="shared" si="4"/>
        <v>0</v>
      </c>
      <c r="AX49" s="283">
        <v>0</v>
      </c>
      <c r="AY49" s="283">
        <v>0</v>
      </c>
      <c r="AZ49" s="283">
        <f t="shared" si="7"/>
        <v>56650000</v>
      </c>
      <c r="BA49" s="283">
        <v>0</v>
      </c>
      <c r="BB49" s="282">
        <f t="shared" si="6"/>
        <v>56650000</v>
      </c>
    </row>
    <row r="50" spans="1:54" hidden="1">
      <c r="A50" s="223" t="s">
        <v>412</v>
      </c>
      <c r="B50" s="224" t="s">
        <v>413</v>
      </c>
      <c r="C50" s="224" t="s">
        <v>413</v>
      </c>
      <c r="D50" s="224">
        <v>410</v>
      </c>
      <c r="E50" s="225">
        <v>410</v>
      </c>
      <c r="F50" s="226">
        <v>7673</v>
      </c>
      <c r="G50" s="223" t="s">
        <v>414</v>
      </c>
      <c r="H50" s="223" t="s">
        <v>415</v>
      </c>
      <c r="I50" s="223" t="s">
        <v>416</v>
      </c>
      <c r="J50" s="223" t="s">
        <v>417</v>
      </c>
      <c r="K50" s="223" t="s">
        <v>418</v>
      </c>
      <c r="L50" s="223" t="s">
        <v>419</v>
      </c>
      <c r="M50" s="223" t="s">
        <v>420</v>
      </c>
      <c r="N50" s="223" t="s">
        <v>421</v>
      </c>
      <c r="O50" s="223" t="s">
        <v>447</v>
      </c>
      <c r="P50" s="223" t="s">
        <v>448</v>
      </c>
      <c r="Q50" s="227">
        <v>1</v>
      </c>
      <c r="R50" s="223" t="s">
        <v>441</v>
      </c>
      <c r="S50" s="223" t="s">
        <v>442</v>
      </c>
      <c r="T50" s="224">
        <v>80111620</v>
      </c>
      <c r="U50" s="223" t="s">
        <v>470</v>
      </c>
      <c r="V50" s="224">
        <v>1</v>
      </c>
      <c r="W50" s="224">
        <v>1</v>
      </c>
      <c r="X50" s="224">
        <v>330</v>
      </c>
      <c r="Y50" s="229" t="s">
        <v>427</v>
      </c>
      <c r="Z50" s="230" t="s">
        <v>428</v>
      </c>
      <c r="AA50" s="318">
        <v>56650000</v>
      </c>
      <c r="AB50" s="231">
        <v>5150000</v>
      </c>
      <c r="AC50" s="230" t="s">
        <v>471</v>
      </c>
      <c r="AD50" s="230" t="s">
        <v>451</v>
      </c>
      <c r="AE50" s="240"/>
      <c r="AF50" s="233"/>
      <c r="AG50" s="234"/>
      <c r="AH50" s="239"/>
      <c r="AI50" s="342">
        <f t="shared" si="0"/>
        <v>1716666.6666666665</v>
      </c>
      <c r="AJ50" s="342">
        <f t="shared" si="1"/>
        <v>5150000</v>
      </c>
      <c r="AK50" s="342">
        <v>5150000</v>
      </c>
      <c r="AL50" s="342">
        <v>5150000</v>
      </c>
      <c r="AM50" s="312">
        <v>5150000</v>
      </c>
      <c r="AN50" s="312">
        <v>5150000</v>
      </c>
      <c r="AO50" s="312">
        <v>5150000</v>
      </c>
      <c r="AP50" s="312">
        <v>5150000</v>
      </c>
      <c r="AQ50" s="312">
        <v>5150000</v>
      </c>
      <c r="AR50" s="312">
        <v>5150000</v>
      </c>
      <c r="AS50" s="312">
        <v>5150000</v>
      </c>
      <c r="AT50" s="312">
        <f t="shared" si="2"/>
        <v>3433333.333333333</v>
      </c>
      <c r="AU50" s="309">
        <f t="shared" si="3"/>
        <v>56650000</v>
      </c>
      <c r="AV50" s="286">
        <f t="shared" si="4"/>
        <v>0</v>
      </c>
      <c r="AX50" s="283">
        <v>0</v>
      </c>
      <c r="AY50" s="283">
        <v>0</v>
      </c>
      <c r="AZ50" s="283">
        <f t="shared" si="7"/>
        <v>56650000</v>
      </c>
      <c r="BA50" s="283">
        <v>0</v>
      </c>
      <c r="BB50" s="282">
        <f t="shared" si="6"/>
        <v>56650000</v>
      </c>
    </row>
    <row r="51" spans="1:54" hidden="1">
      <c r="A51" s="223" t="s">
        <v>412</v>
      </c>
      <c r="B51" s="224" t="s">
        <v>413</v>
      </c>
      <c r="C51" s="224" t="s">
        <v>413</v>
      </c>
      <c r="D51" s="224">
        <v>411</v>
      </c>
      <c r="E51" s="225">
        <v>411</v>
      </c>
      <c r="F51" s="226">
        <v>7673</v>
      </c>
      <c r="G51" s="223" t="s">
        <v>414</v>
      </c>
      <c r="H51" s="223" t="s">
        <v>415</v>
      </c>
      <c r="I51" s="223" t="s">
        <v>416</v>
      </c>
      <c r="J51" s="223" t="s">
        <v>417</v>
      </c>
      <c r="K51" s="223" t="s">
        <v>418</v>
      </c>
      <c r="L51" s="223" t="s">
        <v>419</v>
      </c>
      <c r="M51" s="223" t="s">
        <v>420</v>
      </c>
      <c r="N51" s="223" t="s">
        <v>421</v>
      </c>
      <c r="O51" s="223" t="s">
        <v>447</v>
      </c>
      <c r="P51" s="223" t="s">
        <v>448</v>
      </c>
      <c r="Q51" s="227">
        <v>1</v>
      </c>
      <c r="R51" s="223" t="s">
        <v>441</v>
      </c>
      <c r="S51" s="223" t="s">
        <v>442</v>
      </c>
      <c r="T51" s="224">
        <v>80111620</v>
      </c>
      <c r="U51" s="223" t="s">
        <v>470</v>
      </c>
      <c r="V51" s="224">
        <v>1</v>
      </c>
      <c r="W51" s="224">
        <v>1</v>
      </c>
      <c r="X51" s="224">
        <v>330</v>
      </c>
      <c r="Y51" s="229" t="s">
        <v>427</v>
      </c>
      <c r="Z51" s="230" t="s">
        <v>428</v>
      </c>
      <c r="AA51" s="318">
        <v>56650000</v>
      </c>
      <c r="AB51" s="231">
        <v>5150000</v>
      </c>
      <c r="AC51" s="230" t="s">
        <v>471</v>
      </c>
      <c r="AD51" s="230" t="s">
        <v>451</v>
      </c>
      <c r="AE51" s="240"/>
      <c r="AF51" s="233"/>
      <c r="AG51" s="236"/>
      <c r="AH51" s="236"/>
      <c r="AI51" s="342">
        <f t="shared" si="0"/>
        <v>1716666.6666666665</v>
      </c>
      <c r="AJ51" s="342">
        <f t="shared" si="1"/>
        <v>5150000</v>
      </c>
      <c r="AK51" s="342">
        <v>5150000</v>
      </c>
      <c r="AL51" s="342">
        <v>5150000</v>
      </c>
      <c r="AM51" s="312">
        <v>5150000</v>
      </c>
      <c r="AN51" s="312">
        <v>5150000</v>
      </c>
      <c r="AO51" s="312">
        <v>5150000</v>
      </c>
      <c r="AP51" s="312">
        <v>5150000</v>
      </c>
      <c r="AQ51" s="312">
        <v>5150000</v>
      </c>
      <c r="AR51" s="312">
        <v>5150000</v>
      </c>
      <c r="AS51" s="312">
        <v>5150000</v>
      </c>
      <c r="AT51" s="312">
        <f t="shared" si="2"/>
        <v>3433333.333333333</v>
      </c>
      <c r="AU51" s="309">
        <f t="shared" si="3"/>
        <v>56650000</v>
      </c>
      <c r="AV51" s="286">
        <f t="shared" si="4"/>
        <v>0</v>
      </c>
      <c r="AX51" s="283">
        <v>0</v>
      </c>
      <c r="AY51" s="283">
        <v>0</v>
      </c>
      <c r="AZ51" s="283">
        <f t="shared" si="7"/>
        <v>56650000</v>
      </c>
      <c r="BA51" s="283">
        <v>0</v>
      </c>
      <c r="BB51" s="282">
        <f t="shared" si="6"/>
        <v>56650000</v>
      </c>
    </row>
    <row r="52" spans="1:54" hidden="1">
      <c r="A52" s="223" t="s">
        <v>412</v>
      </c>
      <c r="B52" s="224" t="s">
        <v>413</v>
      </c>
      <c r="C52" s="224" t="s">
        <v>413</v>
      </c>
      <c r="D52" s="224">
        <v>412</v>
      </c>
      <c r="E52" s="225">
        <v>412</v>
      </c>
      <c r="F52" s="226">
        <v>7673</v>
      </c>
      <c r="G52" s="223" t="s">
        <v>414</v>
      </c>
      <c r="H52" s="223" t="s">
        <v>415</v>
      </c>
      <c r="I52" s="223" t="s">
        <v>416</v>
      </c>
      <c r="J52" s="223" t="s">
        <v>417</v>
      </c>
      <c r="K52" s="223" t="s">
        <v>418</v>
      </c>
      <c r="L52" s="223" t="s">
        <v>419</v>
      </c>
      <c r="M52" s="223" t="s">
        <v>420</v>
      </c>
      <c r="N52" s="223" t="s">
        <v>421</v>
      </c>
      <c r="O52" s="223" t="s">
        <v>447</v>
      </c>
      <c r="P52" s="223" t="s">
        <v>448</v>
      </c>
      <c r="Q52" s="227">
        <v>1</v>
      </c>
      <c r="R52" s="223" t="s">
        <v>424</v>
      </c>
      <c r="S52" s="223" t="s">
        <v>425</v>
      </c>
      <c r="T52" s="224">
        <v>80111600</v>
      </c>
      <c r="U52" s="223" t="s">
        <v>472</v>
      </c>
      <c r="V52" s="224">
        <v>1</v>
      </c>
      <c r="W52" s="224">
        <v>1</v>
      </c>
      <c r="X52" s="224">
        <v>330</v>
      </c>
      <c r="Y52" s="229" t="s">
        <v>427</v>
      </c>
      <c r="Z52" s="230" t="s">
        <v>428</v>
      </c>
      <c r="AA52" s="318">
        <v>88000000</v>
      </c>
      <c r="AB52" s="231">
        <v>8000000</v>
      </c>
      <c r="AC52" s="230" t="s">
        <v>473</v>
      </c>
      <c r="AD52" s="230" t="s">
        <v>474</v>
      </c>
      <c r="AE52" s="240"/>
      <c r="AF52" s="233"/>
      <c r="AG52" s="236"/>
      <c r="AH52" s="236"/>
      <c r="AI52" s="342">
        <f t="shared" si="0"/>
        <v>2666666.666666667</v>
      </c>
      <c r="AJ52" s="342">
        <f t="shared" si="1"/>
        <v>8000000</v>
      </c>
      <c r="AK52" s="342">
        <v>8000000</v>
      </c>
      <c r="AL52" s="342">
        <v>8000000</v>
      </c>
      <c r="AM52" s="312">
        <v>8000000</v>
      </c>
      <c r="AN52" s="312">
        <v>8000000</v>
      </c>
      <c r="AO52" s="312">
        <v>8000000</v>
      </c>
      <c r="AP52" s="312">
        <v>8000000</v>
      </c>
      <c r="AQ52" s="312">
        <v>8000000</v>
      </c>
      <c r="AR52" s="312">
        <v>8000000</v>
      </c>
      <c r="AS52" s="312">
        <v>8000000</v>
      </c>
      <c r="AT52" s="312">
        <f t="shared" si="2"/>
        <v>5333333.333333334</v>
      </c>
      <c r="AU52" s="309">
        <f t="shared" si="3"/>
        <v>88000000</v>
      </c>
      <c r="AV52" s="286">
        <f t="shared" si="4"/>
        <v>0</v>
      </c>
      <c r="AX52" s="283">
        <v>0</v>
      </c>
      <c r="AY52" s="283">
        <v>0</v>
      </c>
      <c r="AZ52" s="283">
        <f t="shared" si="7"/>
        <v>88000000</v>
      </c>
      <c r="BA52" s="283">
        <v>0</v>
      </c>
      <c r="BB52" s="282">
        <f t="shared" si="6"/>
        <v>88000000</v>
      </c>
    </row>
    <row r="53" spans="1:54" s="267" customFormat="1">
      <c r="A53" s="257" t="s">
        <v>412</v>
      </c>
      <c r="B53" s="258" t="s">
        <v>413</v>
      </c>
      <c r="C53" s="258" t="s">
        <v>413</v>
      </c>
      <c r="D53" s="258">
        <v>413</v>
      </c>
      <c r="E53" s="258">
        <v>413</v>
      </c>
      <c r="F53" s="259">
        <v>7673</v>
      </c>
      <c r="G53" s="257" t="s">
        <v>414</v>
      </c>
      <c r="H53" s="257" t="s">
        <v>475</v>
      </c>
      <c r="I53" s="257" t="s">
        <v>476</v>
      </c>
      <c r="J53" s="257" t="s">
        <v>417</v>
      </c>
      <c r="K53" s="257" t="s">
        <v>418</v>
      </c>
      <c r="L53" s="257" t="s">
        <v>419</v>
      </c>
      <c r="M53" s="257" t="s">
        <v>420</v>
      </c>
      <c r="N53" s="257" t="s">
        <v>421</v>
      </c>
      <c r="O53" s="257" t="s">
        <v>422</v>
      </c>
      <c r="P53" s="257" t="s">
        <v>423</v>
      </c>
      <c r="Q53" s="260">
        <v>1</v>
      </c>
      <c r="R53" s="257" t="s">
        <v>477</v>
      </c>
      <c r="S53" s="257" t="s">
        <v>478</v>
      </c>
      <c r="T53" s="258">
        <v>72151605</v>
      </c>
      <c r="U53" s="257" t="s">
        <v>479</v>
      </c>
      <c r="V53" s="258">
        <v>3</v>
      </c>
      <c r="W53" s="258">
        <v>5</v>
      </c>
      <c r="X53" s="258">
        <v>210</v>
      </c>
      <c r="Y53" s="257" t="s">
        <v>480</v>
      </c>
      <c r="Z53" s="261" t="s">
        <v>428</v>
      </c>
      <c r="AA53" s="368">
        <v>157760500</v>
      </c>
      <c r="AB53" s="262">
        <v>22537214.285714287</v>
      </c>
      <c r="AC53" s="261" t="s">
        <v>481</v>
      </c>
      <c r="AD53" s="261" t="s">
        <v>482</v>
      </c>
      <c r="AE53" s="263"/>
      <c r="AF53" s="264"/>
      <c r="AG53" s="265"/>
      <c r="AH53" s="287"/>
      <c r="AI53" s="343">
        <v>0</v>
      </c>
      <c r="AJ53" s="343">
        <v>0</v>
      </c>
      <c r="AK53" s="343">
        <v>0</v>
      </c>
      <c r="AL53" s="343">
        <v>0</v>
      </c>
      <c r="AM53" s="344">
        <v>0</v>
      </c>
      <c r="AN53" s="343">
        <v>22537214.285714287</v>
      </c>
      <c r="AO53" s="343">
        <v>22537214.285714287</v>
      </c>
      <c r="AP53" s="343">
        <v>22537214.285714287</v>
      </c>
      <c r="AQ53" s="343">
        <v>22537214.285714287</v>
      </c>
      <c r="AR53" s="343">
        <v>22537214.285714287</v>
      </c>
      <c r="AS53" s="343">
        <v>22537214.285714287</v>
      </c>
      <c r="AT53" s="343">
        <v>22537214.285714287</v>
      </c>
      <c r="AU53" s="310">
        <f t="shared" si="3"/>
        <v>157760500.00000003</v>
      </c>
      <c r="AV53" s="290">
        <f t="shared" si="4"/>
        <v>0</v>
      </c>
      <c r="AW53" s="288"/>
      <c r="AX53" s="288">
        <f>AU53</f>
        <v>157760500.00000003</v>
      </c>
      <c r="AY53" s="288">
        <v>0</v>
      </c>
      <c r="AZ53" s="288">
        <v>0</v>
      </c>
      <c r="BA53" s="288">
        <v>0</v>
      </c>
      <c r="BB53" s="289">
        <f t="shared" si="6"/>
        <v>157760500.00000003</v>
      </c>
    </row>
    <row r="54" spans="1:54" s="333" customFormat="1">
      <c r="A54" s="319" t="s">
        <v>412</v>
      </c>
      <c r="B54" s="320" t="s">
        <v>413</v>
      </c>
      <c r="C54" s="320" t="s">
        <v>413</v>
      </c>
      <c r="D54" s="320">
        <v>414</v>
      </c>
      <c r="E54" s="320">
        <v>414</v>
      </c>
      <c r="F54" s="321">
        <v>7673</v>
      </c>
      <c r="G54" s="319" t="s">
        <v>414</v>
      </c>
      <c r="H54" s="319" t="s">
        <v>483</v>
      </c>
      <c r="I54" s="319" t="s">
        <v>484</v>
      </c>
      <c r="J54" s="319" t="s">
        <v>417</v>
      </c>
      <c r="K54" s="319" t="s">
        <v>418</v>
      </c>
      <c r="L54" s="319" t="s">
        <v>419</v>
      </c>
      <c r="M54" s="319" t="s">
        <v>420</v>
      </c>
      <c r="N54" s="319" t="s">
        <v>421</v>
      </c>
      <c r="O54" s="319" t="s">
        <v>422</v>
      </c>
      <c r="P54" s="319" t="s">
        <v>423</v>
      </c>
      <c r="Q54" s="322">
        <v>1</v>
      </c>
      <c r="R54" s="319" t="s">
        <v>485</v>
      </c>
      <c r="S54" s="319" t="s">
        <v>486</v>
      </c>
      <c r="T54" s="320" t="s">
        <v>487</v>
      </c>
      <c r="U54" s="319" t="s">
        <v>488</v>
      </c>
      <c r="V54" s="320">
        <v>3</v>
      </c>
      <c r="W54" s="320">
        <v>5</v>
      </c>
      <c r="X54" s="320">
        <v>30</v>
      </c>
      <c r="Y54" s="319" t="s">
        <v>489</v>
      </c>
      <c r="Z54" s="323" t="s">
        <v>428</v>
      </c>
      <c r="AA54" s="366">
        <v>92608376</v>
      </c>
      <c r="AB54" s="324">
        <v>92608376</v>
      </c>
      <c r="AC54" s="323" t="s">
        <v>490</v>
      </c>
      <c r="AD54" s="323" t="s">
        <v>430</v>
      </c>
      <c r="AE54" s="325"/>
      <c r="AF54" s="326"/>
      <c r="AG54" s="327"/>
      <c r="AH54" s="328"/>
      <c r="AI54" s="345">
        <v>0</v>
      </c>
      <c r="AJ54" s="345">
        <v>0</v>
      </c>
      <c r="AK54" s="345">
        <v>0</v>
      </c>
      <c r="AL54" s="345">
        <v>0</v>
      </c>
      <c r="AM54" s="346">
        <v>0</v>
      </c>
      <c r="AN54" s="346">
        <v>0</v>
      </c>
      <c r="AO54" s="346">
        <v>0</v>
      </c>
      <c r="AP54" s="346">
        <v>0</v>
      </c>
      <c r="AQ54" s="346">
        <v>0</v>
      </c>
      <c r="AR54" s="346">
        <v>92608376</v>
      </c>
      <c r="AS54" s="346">
        <v>0</v>
      </c>
      <c r="AT54" s="346">
        <v>0</v>
      </c>
      <c r="AU54" s="329">
        <f t="shared" si="3"/>
        <v>92608376</v>
      </c>
      <c r="AV54" s="330">
        <f t="shared" si="4"/>
        <v>0</v>
      </c>
      <c r="AW54" s="331"/>
      <c r="AX54" s="331">
        <f>+AU54</f>
        <v>92608376</v>
      </c>
      <c r="AY54" s="331">
        <v>0</v>
      </c>
      <c r="AZ54" s="331">
        <v>0</v>
      </c>
      <c r="BA54" s="331">
        <v>0</v>
      </c>
      <c r="BB54" s="332">
        <f t="shared" si="6"/>
        <v>92608376</v>
      </c>
    </row>
    <row r="55" spans="1:54" s="267" customFormat="1" hidden="1">
      <c r="A55" s="257" t="s">
        <v>412</v>
      </c>
      <c r="B55" s="258" t="s">
        <v>413</v>
      </c>
      <c r="C55" s="258" t="s">
        <v>413</v>
      </c>
      <c r="D55" s="258">
        <v>415</v>
      </c>
      <c r="E55" s="258">
        <v>415</v>
      </c>
      <c r="F55" s="259">
        <v>7673</v>
      </c>
      <c r="G55" s="257" t="s">
        <v>414</v>
      </c>
      <c r="H55" s="257" t="s">
        <v>491</v>
      </c>
      <c r="I55" s="257" t="s">
        <v>492</v>
      </c>
      <c r="J55" s="257" t="s">
        <v>417</v>
      </c>
      <c r="K55" s="257" t="s">
        <v>418</v>
      </c>
      <c r="L55" s="257" t="s">
        <v>419</v>
      </c>
      <c r="M55" s="257" t="s">
        <v>420</v>
      </c>
      <c r="N55" s="257" t="s">
        <v>421</v>
      </c>
      <c r="O55" s="257" t="s">
        <v>447</v>
      </c>
      <c r="P55" s="257" t="s">
        <v>493</v>
      </c>
      <c r="Q55" s="260">
        <v>1</v>
      </c>
      <c r="R55" s="257" t="s">
        <v>441</v>
      </c>
      <c r="S55" s="257" t="s">
        <v>442</v>
      </c>
      <c r="T55" s="258" t="s">
        <v>494</v>
      </c>
      <c r="U55" s="257" t="s">
        <v>495</v>
      </c>
      <c r="V55" s="258">
        <v>4</v>
      </c>
      <c r="W55" s="258">
        <v>5</v>
      </c>
      <c r="X55" s="258">
        <v>240</v>
      </c>
      <c r="Y55" s="268" t="s">
        <v>427</v>
      </c>
      <c r="Z55" s="261" t="s">
        <v>428</v>
      </c>
      <c r="AA55" s="262">
        <v>184761500</v>
      </c>
      <c r="AB55" s="262">
        <v>23095187.5</v>
      </c>
      <c r="AC55" s="261" t="s">
        <v>496</v>
      </c>
      <c r="AD55" s="261" t="s">
        <v>451</v>
      </c>
      <c r="AE55" s="263"/>
      <c r="AF55" s="264"/>
      <c r="AG55" s="265"/>
      <c r="AH55" s="265"/>
      <c r="AI55" s="343">
        <v>0</v>
      </c>
      <c r="AJ55" s="343">
        <v>0</v>
      </c>
      <c r="AK55" s="343">
        <v>0</v>
      </c>
      <c r="AL55" s="343">
        <v>0</v>
      </c>
      <c r="AM55" s="344">
        <v>0</v>
      </c>
      <c r="AN55" s="344">
        <v>0</v>
      </c>
      <c r="AO55" s="344">
        <v>0</v>
      </c>
      <c r="AP55" s="344">
        <f>AA55*40%</f>
        <v>73904600</v>
      </c>
      <c r="AQ55" s="344">
        <v>0</v>
      </c>
      <c r="AR55" s="344">
        <f>AA55*30%</f>
        <v>55428450</v>
      </c>
      <c r="AS55" s="344">
        <v>0</v>
      </c>
      <c r="AT55" s="344">
        <f>AA55*30%</f>
        <v>55428450</v>
      </c>
      <c r="AU55" s="310">
        <f>SUM(AI55:AT55)</f>
        <v>184761500</v>
      </c>
      <c r="AV55" s="290">
        <f t="shared" si="4"/>
        <v>0</v>
      </c>
      <c r="AW55" s="288"/>
      <c r="AX55" s="288">
        <v>0</v>
      </c>
      <c r="AY55" s="288">
        <f>+AU55</f>
        <v>184761500</v>
      </c>
      <c r="AZ55" s="288">
        <v>0</v>
      </c>
      <c r="BA55" s="288">
        <v>0</v>
      </c>
      <c r="BB55" s="289">
        <f t="shared" si="6"/>
        <v>184761500</v>
      </c>
    </row>
    <row r="56" spans="1:54" s="267" customFormat="1">
      <c r="A56" s="257" t="s">
        <v>412</v>
      </c>
      <c r="B56" s="258" t="s">
        <v>413</v>
      </c>
      <c r="C56" s="258" t="s">
        <v>413</v>
      </c>
      <c r="D56" s="258" t="s">
        <v>497</v>
      </c>
      <c r="E56" s="258">
        <v>934</v>
      </c>
      <c r="F56" s="259">
        <v>7673</v>
      </c>
      <c r="G56" s="257" t="s">
        <v>414</v>
      </c>
      <c r="H56" s="257" t="s">
        <v>498</v>
      </c>
      <c r="I56" s="257" t="s">
        <v>492</v>
      </c>
      <c r="J56" s="257" t="s">
        <v>417</v>
      </c>
      <c r="K56" s="257" t="s">
        <v>418</v>
      </c>
      <c r="L56" s="257" t="s">
        <v>419</v>
      </c>
      <c r="M56" s="257" t="s">
        <v>420</v>
      </c>
      <c r="N56" s="269" t="s">
        <v>421</v>
      </c>
      <c r="O56" s="257" t="s">
        <v>422</v>
      </c>
      <c r="P56" s="257" t="s">
        <v>423</v>
      </c>
      <c r="Q56" s="260">
        <v>1</v>
      </c>
      <c r="R56" s="257" t="s">
        <v>499</v>
      </c>
      <c r="S56" s="257" t="s">
        <v>500</v>
      </c>
      <c r="T56" s="258" t="s">
        <v>501</v>
      </c>
      <c r="U56" s="257" t="s">
        <v>502</v>
      </c>
      <c r="V56" s="258">
        <v>8</v>
      </c>
      <c r="W56" s="258">
        <v>11</v>
      </c>
      <c r="X56" s="258">
        <v>360</v>
      </c>
      <c r="Y56" s="270" t="s">
        <v>489</v>
      </c>
      <c r="Z56" s="261" t="s">
        <v>428</v>
      </c>
      <c r="AA56" s="368">
        <v>3360000</v>
      </c>
      <c r="AB56" s="262">
        <v>280000</v>
      </c>
      <c r="AC56" s="261" t="s">
        <v>503</v>
      </c>
      <c r="AD56" s="261" t="s">
        <v>504</v>
      </c>
      <c r="AE56" s="263"/>
      <c r="AF56" s="264"/>
      <c r="AG56" s="271"/>
      <c r="AH56" s="288"/>
      <c r="AI56" s="344">
        <v>280000</v>
      </c>
      <c r="AJ56" s="344">
        <v>280000</v>
      </c>
      <c r="AK56" s="344">
        <v>280000</v>
      </c>
      <c r="AL56" s="344">
        <v>280000</v>
      </c>
      <c r="AM56" s="344">
        <v>280000</v>
      </c>
      <c r="AN56" s="344">
        <v>280000</v>
      </c>
      <c r="AO56" s="344">
        <v>280000</v>
      </c>
      <c r="AP56" s="344">
        <v>280000</v>
      </c>
      <c r="AQ56" s="344">
        <v>280000</v>
      </c>
      <c r="AR56" s="344">
        <v>280000</v>
      </c>
      <c r="AS56" s="344">
        <v>280000</v>
      </c>
      <c r="AT56" s="344">
        <v>280000</v>
      </c>
      <c r="AU56" s="310">
        <f t="shared" si="3"/>
        <v>3360000</v>
      </c>
      <c r="AV56" s="290">
        <f t="shared" si="4"/>
        <v>0</v>
      </c>
      <c r="AW56" s="288"/>
      <c r="AX56" s="288">
        <f>+AU56</f>
        <v>3360000</v>
      </c>
      <c r="AY56" s="288">
        <v>0</v>
      </c>
      <c r="AZ56" s="288">
        <v>0</v>
      </c>
      <c r="BA56" s="288">
        <v>0</v>
      </c>
      <c r="BB56" s="289">
        <f t="shared" si="6"/>
        <v>3360000</v>
      </c>
    </row>
    <row r="57" spans="1:54" s="306" customFormat="1">
      <c r="A57" s="291" t="s">
        <v>412</v>
      </c>
      <c r="B57" s="292" t="s">
        <v>413</v>
      </c>
      <c r="C57" s="292" t="s">
        <v>413</v>
      </c>
      <c r="D57" s="292" t="s">
        <v>505</v>
      </c>
      <c r="E57" s="292">
        <v>935</v>
      </c>
      <c r="F57" s="293">
        <v>7673</v>
      </c>
      <c r="G57" s="291" t="s">
        <v>414</v>
      </c>
      <c r="H57" s="291" t="s">
        <v>506</v>
      </c>
      <c r="I57" s="291" t="s">
        <v>507</v>
      </c>
      <c r="J57" s="291" t="s">
        <v>417</v>
      </c>
      <c r="K57" s="291" t="s">
        <v>418</v>
      </c>
      <c r="L57" s="291" t="s">
        <v>419</v>
      </c>
      <c r="M57" s="291" t="s">
        <v>420</v>
      </c>
      <c r="N57" s="294" t="s">
        <v>421</v>
      </c>
      <c r="O57" s="291" t="s">
        <v>422</v>
      </c>
      <c r="P57" s="291" t="s">
        <v>423</v>
      </c>
      <c r="Q57" s="295">
        <v>0.86</v>
      </c>
      <c r="R57" s="291" t="s">
        <v>508</v>
      </c>
      <c r="S57" s="291" t="s">
        <v>509</v>
      </c>
      <c r="T57" s="292">
        <v>80141607</v>
      </c>
      <c r="U57" s="291" t="s">
        <v>510</v>
      </c>
      <c r="V57" s="292">
        <v>2</v>
      </c>
      <c r="W57" s="292">
        <v>3</v>
      </c>
      <c r="X57" s="296">
        <v>240</v>
      </c>
      <c r="Y57" s="297" t="s">
        <v>480</v>
      </c>
      <c r="Z57" s="298" t="s">
        <v>428</v>
      </c>
      <c r="AA57" s="367">
        <f>58000000*86%</f>
        <v>49880000</v>
      </c>
      <c r="AB57" s="299">
        <f>7250000*86%</f>
        <v>6235000</v>
      </c>
      <c r="AC57" s="298" t="s">
        <v>511</v>
      </c>
      <c r="AD57" s="298" t="s">
        <v>512</v>
      </c>
      <c r="AE57" s="300"/>
      <c r="AF57" s="301"/>
      <c r="AG57" s="302"/>
      <c r="AH57" s="303"/>
      <c r="AI57" s="347">
        <v>0</v>
      </c>
      <c r="AJ57" s="347">
        <v>0</v>
      </c>
      <c r="AK57" s="348">
        <v>0</v>
      </c>
      <c r="AL57" s="348">
        <v>0</v>
      </c>
      <c r="AM57" s="348">
        <v>0</v>
      </c>
      <c r="AN57" s="349">
        <f t="shared" ref="AN57:AS57" si="8">7250000*86%</f>
        <v>6235000</v>
      </c>
      <c r="AO57" s="349">
        <f t="shared" si="8"/>
        <v>6235000</v>
      </c>
      <c r="AP57" s="349">
        <f t="shared" si="8"/>
        <v>6235000</v>
      </c>
      <c r="AQ57" s="349">
        <f t="shared" si="8"/>
        <v>6235000</v>
      </c>
      <c r="AR57" s="349">
        <f t="shared" si="8"/>
        <v>6235000</v>
      </c>
      <c r="AS57" s="349">
        <f t="shared" si="8"/>
        <v>6235000</v>
      </c>
      <c r="AT57" s="349">
        <f>(7250000*86%)*2</f>
        <v>12470000</v>
      </c>
      <c r="AU57" s="311">
        <f>SUM(AI57:AT57)</f>
        <v>49880000</v>
      </c>
      <c r="AV57" s="305">
        <f t="shared" si="4"/>
        <v>0</v>
      </c>
      <c r="AW57" s="303"/>
      <c r="AX57" s="303">
        <f>AU57*86%</f>
        <v>42896800</v>
      </c>
      <c r="AY57" s="303">
        <v>0</v>
      </c>
      <c r="AZ57" s="303">
        <f>AU57*14%</f>
        <v>6983200.0000000009</v>
      </c>
      <c r="BA57" s="303">
        <v>0</v>
      </c>
      <c r="BB57" s="304">
        <f t="shared" si="6"/>
        <v>49880000</v>
      </c>
    </row>
    <row r="58" spans="1:54" s="306" customFormat="1" hidden="1">
      <c r="A58" s="291" t="s">
        <v>412</v>
      </c>
      <c r="B58" s="292" t="s">
        <v>413</v>
      </c>
      <c r="C58" s="292" t="s">
        <v>413</v>
      </c>
      <c r="D58" s="292" t="s">
        <v>505</v>
      </c>
      <c r="E58" s="292">
        <v>935</v>
      </c>
      <c r="F58" s="293">
        <v>7673</v>
      </c>
      <c r="G58" s="291" t="s">
        <v>414</v>
      </c>
      <c r="H58" s="291" t="s">
        <v>506</v>
      </c>
      <c r="I58" s="291" t="s">
        <v>507</v>
      </c>
      <c r="J58" s="291" t="s">
        <v>417</v>
      </c>
      <c r="K58" s="291" t="s">
        <v>418</v>
      </c>
      <c r="L58" s="291" t="s">
        <v>419</v>
      </c>
      <c r="M58" s="291" t="s">
        <v>420</v>
      </c>
      <c r="N58" s="294" t="s">
        <v>421</v>
      </c>
      <c r="O58" s="291" t="s">
        <v>422</v>
      </c>
      <c r="P58" s="291" t="s">
        <v>448</v>
      </c>
      <c r="Q58" s="295">
        <v>0.14000000000000001</v>
      </c>
      <c r="R58" s="291" t="s">
        <v>508</v>
      </c>
      <c r="S58" s="291" t="s">
        <v>509</v>
      </c>
      <c r="T58" s="292">
        <v>80141607</v>
      </c>
      <c r="U58" s="291" t="s">
        <v>510</v>
      </c>
      <c r="V58" s="292">
        <v>2</v>
      </c>
      <c r="W58" s="292">
        <v>3</v>
      </c>
      <c r="X58" s="296">
        <v>240</v>
      </c>
      <c r="Y58" s="297" t="s">
        <v>480</v>
      </c>
      <c r="Z58" s="298" t="s">
        <v>428</v>
      </c>
      <c r="AA58" s="299">
        <f>58000000*14%</f>
        <v>8120000.0000000009</v>
      </c>
      <c r="AB58" s="299">
        <f>7250000*14%</f>
        <v>1015000.0000000001</v>
      </c>
      <c r="AC58" s="298" t="s">
        <v>511</v>
      </c>
      <c r="AD58" s="298" t="s">
        <v>512</v>
      </c>
      <c r="AE58" s="300"/>
      <c r="AF58" s="301"/>
      <c r="AG58" s="302"/>
      <c r="AH58" s="302"/>
      <c r="AI58" s="347">
        <v>0</v>
      </c>
      <c r="AJ58" s="347">
        <v>0</v>
      </c>
      <c r="AK58" s="348">
        <v>0</v>
      </c>
      <c r="AL58" s="348">
        <v>0</v>
      </c>
      <c r="AM58" s="348">
        <v>0</v>
      </c>
      <c r="AN58" s="352">
        <f t="shared" ref="AN58:AS58" si="9">7250000*14%</f>
        <v>1015000.0000000001</v>
      </c>
      <c r="AO58" s="352">
        <f t="shared" si="9"/>
        <v>1015000.0000000001</v>
      </c>
      <c r="AP58" s="352">
        <f t="shared" si="9"/>
        <v>1015000.0000000001</v>
      </c>
      <c r="AQ58" s="352">
        <f t="shared" si="9"/>
        <v>1015000.0000000001</v>
      </c>
      <c r="AR58" s="352">
        <f t="shared" si="9"/>
        <v>1015000.0000000001</v>
      </c>
      <c r="AS58" s="352">
        <f t="shared" si="9"/>
        <v>1015000.0000000001</v>
      </c>
      <c r="AT58" s="352">
        <f>(7250000*14%)*2</f>
        <v>2030000.0000000002</v>
      </c>
      <c r="AU58" s="311">
        <f t="shared" ref="AU58" si="10">SUM(AI58:AT58)</f>
        <v>8120000.0000000009</v>
      </c>
      <c r="AV58" s="305">
        <f t="shared" ref="AV58" si="11">+AU58-AA58</f>
        <v>0</v>
      </c>
      <c r="AW58" s="303"/>
      <c r="AX58" s="303">
        <f>AU58*86%</f>
        <v>6983200.0000000009</v>
      </c>
      <c r="AY58" s="303">
        <v>0</v>
      </c>
      <c r="AZ58" s="303">
        <f>AU58*14%</f>
        <v>1136800.0000000002</v>
      </c>
      <c r="BA58" s="303">
        <v>0</v>
      </c>
      <c r="BB58" s="304">
        <f t="shared" ref="BB58" si="12">SUM(AX58:BA58)</f>
        <v>8120000.0000000009</v>
      </c>
    </row>
    <row r="59" spans="1:54" s="306" customFormat="1">
      <c r="A59" s="291" t="s">
        <v>412</v>
      </c>
      <c r="B59" s="292" t="s">
        <v>413</v>
      </c>
      <c r="C59" s="292" t="s">
        <v>413</v>
      </c>
      <c r="D59" s="292" t="s">
        <v>513</v>
      </c>
      <c r="E59" s="292">
        <v>937</v>
      </c>
      <c r="F59" s="293">
        <v>7673</v>
      </c>
      <c r="G59" s="291" t="s">
        <v>414</v>
      </c>
      <c r="H59" s="291" t="s">
        <v>514</v>
      </c>
      <c r="I59" s="291" t="s">
        <v>515</v>
      </c>
      <c r="J59" s="291" t="s">
        <v>417</v>
      </c>
      <c r="K59" s="291" t="s">
        <v>418</v>
      </c>
      <c r="L59" s="291" t="s">
        <v>419</v>
      </c>
      <c r="M59" s="291" t="s">
        <v>420</v>
      </c>
      <c r="N59" s="294" t="s">
        <v>421</v>
      </c>
      <c r="O59" s="291" t="s">
        <v>422</v>
      </c>
      <c r="P59" s="291" t="s">
        <v>423</v>
      </c>
      <c r="Q59" s="295">
        <v>0.71</v>
      </c>
      <c r="R59" s="291" t="s">
        <v>516</v>
      </c>
      <c r="S59" s="291" t="s">
        <v>517</v>
      </c>
      <c r="T59" s="292" t="s">
        <v>518</v>
      </c>
      <c r="U59" s="291" t="s">
        <v>519</v>
      </c>
      <c r="V59" s="292">
        <v>4</v>
      </c>
      <c r="W59" s="292">
        <v>5</v>
      </c>
      <c r="X59" s="296">
        <v>60</v>
      </c>
      <c r="Y59" s="297" t="s">
        <v>520</v>
      </c>
      <c r="Z59" s="298" t="s">
        <v>428</v>
      </c>
      <c r="AA59" s="367">
        <f>5117000*71%</f>
        <v>3633070</v>
      </c>
      <c r="AB59" s="299">
        <f>2558500*71%</f>
        <v>1816535</v>
      </c>
      <c r="AC59" s="298" t="s">
        <v>521</v>
      </c>
      <c r="AD59" s="298" t="s">
        <v>522</v>
      </c>
      <c r="AE59" s="300"/>
      <c r="AF59" s="301"/>
      <c r="AG59" s="302"/>
      <c r="AH59" s="303"/>
      <c r="AI59" s="347">
        <v>0</v>
      </c>
      <c r="AJ59" s="347">
        <v>0</v>
      </c>
      <c r="AK59" s="348">
        <v>0</v>
      </c>
      <c r="AL59" s="348">
        <v>0</v>
      </c>
      <c r="AM59" s="348">
        <v>0</v>
      </c>
      <c r="AN59" s="348">
        <v>0</v>
      </c>
      <c r="AO59" s="348">
        <v>0</v>
      </c>
      <c r="AP59" s="348">
        <v>0</v>
      </c>
      <c r="AQ59" s="348">
        <v>0</v>
      </c>
      <c r="AR59" s="348">
        <v>0</v>
      </c>
      <c r="AS59" s="348">
        <v>0</v>
      </c>
      <c r="AT59" s="349">
        <f>5117000*71%</f>
        <v>3633070</v>
      </c>
      <c r="AU59" s="311">
        <f t="shared" si="3"/>
        <v>3633070</v>
      </c>
      <c r="AV59" s="305">
        <f t="shared" si="4"/>
        <v>0</v>
      </c>
      <c r="AW59" s="303"/>
      <c r="AX59" s="303">
        <f>AU59*71%</f>
        <v>2579479.6999999997</v>
      </c>
      <c r="AY59" s="303">
        <v>0</v>
      </c>
      <c r="AZ59" s="303">
        <f>AU59*29%</f>
        <v>1053590.2999999998</v>
      </c>
      <c r="BA59" s="303">
        <v>0</v>
      </c>
      <c r="BB59" s="304">
        <f>SUM(AX59:BA59)</f>
        <v>3633069.9999999995</v>
      </c>
    </row>
    <row r="60" spans="1:54" s="306" customFormat="1" hidden="1">
      <c r="A60" s="291" t="s">
        <v>412</v>
      </c>
      <c r="B60" s="292" t="s">
        <v>413</v>
      </c>
      <c r="C60" s="292" t="s">
        <v>413</v>
      </c>
      <c r="D60" s="292" t="s">
        <v>513</v>
      </c>
      <c r="E60" s="292">
        <v>937</v>
      </c>
      <c r="F60" s="293">
        <v>7673</v>
      </c>
      <c r="G60" s="291" t="s">
        <v>414</v>
      </c>
      <c r="H60" s="291" t="s">
        <v>514</v>
      </c>
      <c r="I60" s="291" t="s">
        <v>515</v>
      </c>
      <c r="J60" s="291" t="s">
        <v>417</v>
      </c>
      <c r="K60" s="291" t="s">
        <v>418</v>
      </c>
      <c r="L60" s="291" t="s">
        <v>419</v>
      </c>
      <c r="M60" s="291" t="s">
        <v>420</v>
      </c>
      <c r="N60" s="294" t="s">
        <v>421</v>
      </c>
      <c r="O60" s="291" t="s">
        <v>422</v>
      </c>
      <c r="P60" s="291" t="s">
        <v>448</v>
      </c>
      <c r="Q60" s="295">
        <v>0.28999999999999998</v>
      </c>
      <c r="R60" s="291" t="s">
        <v>516</v>
      </c>
      <c r="S60" s="291" t="s">
        <v>517</v>
      </c>
      <c r="T60" s="292" t="s">
        <v>518</v>
      </c>
      <c r="U60" s="291" t="s">
        <v>519</v>
      </c>
      <c r="V60" s="292">
        <v>4</v>
      </c>
      <c r="W60" s="292">
        <v>5</v>
      </c>
      <c r="X60" s="296">
        <v>60</v>
      </c>
      <c r="Y60" s="297" t="s">
        <v>520</v>
      </c>
      <c r="Z60" s="298" t="s">
        <v>428</v>
      </c>
      <c r="AA60" s="299">
        <f>5117000*29%</f>
        <v>1483930</v>
      </c>
      <c r="AB60" s="299">
        <f>2558500*29%</f>
        <v>741965</v>
      </c>
      <c r="AC60" s="298" t="s">
        <v>521</v>
      </c>
      <c r="AD60" s="298" t="s">
        <v>522</v>
      </c>
      <c r="AE60" s="300"/>
      <c r="AF60" s="301"/>
      <c r="AG60" s="302"/>
      <c r="AH60" s="302"/>
      <c r="AI60" s="347">
        <v>0</v>
      </c>
      <c r="AJ60" s="347">
        <v>0</v>
      </c>
      <c r="AK60" s="348">
        <v>0</v>
      </c>
      <c r="AL60" s="348">
        <v>0</v>
      </c>
      <c r="AM60" s="348">
        <v>0</v>
      </c>
      <c r="AN60" s="348">
        <v>0</v>
      </c>
      <c r="AO60" s="348">
        <v>0</v>
      </c>
      <c r="AP60" s="348">
        <v>0</v>
      </c>
      <c r="AQ60" s="348">
        <v>0</v>
      </c>
      <c r="AR60" s="348">
        <v>0</v>
      </c>
      <c r="AS60" s="348">
        <v>0</v>
      </c>
      <c r="AT60" s="352">
        <f>5117000*29%</f>
        <v>1483930</v>
      </c>
      <c r="AU60" s="311">
        <f t="shared" ref="AU60" si="13">SUM(AI60:AT60)</f>
        <v>1483930</v>
      </c>
      <c r="AV60" s="305">
        <f t="shared" ref="AV60" si="14">+AU60-AA60</f>
        <v>0</v>
      </c>
      <c r="AW60" s="303"/>
      <c r="AX60" s="303">
        <f>AU60*71%</f>
        <v>1053590.3</v>
      </c>
      <c r="AY60" s="303">
        <v>0</v>
      </c>
      <c r="AZ60" s="303">
        <f>AU60*29%</f>
        <v>430339.69999999995</v>
      </c>
      <c r="BA60" s="303">
        <v>0</v>
      </c>
      <c r="BB60" s="304">
        <f>SUM(AX60:BA60)</f>
        <v>1483930</v>
      </c>
    </row>
    <row r="61" spans="1:54" s="306" customFormat="1">
      <c r="A61" s="291" t="s">
        <v>412</v>
      </c>
      <c r="B61" s="292" t="s">
        <v>413</v>
      </c>
      <c r="C61" s="292" t="s">
        <v>413</v>
      </c>
      <c r="D61" s="292" t="s">
        <v>523</v>
      </c>
      <c r="E61" s="292">
        <v>938</v>
      </c>
      <c r="F61" s="293">
        <v>7673</v>
      </c>
      <c r="G61" s="291" t="s">
        <v>414</v>
      </c>
      <c r="H61" s="291" t="s">
        <v>524</v>
      </c>
      <c r="I61" s="291" t="s">
        <v>492</v>
      </c>
      <c r="J61" s="291" t="s">
        <v>417</v>
      </c>
      <c r="K61" s="291" t="s">
        <v>418</v>
      </c>
      <c r="L61" s="291" t="s">
        <v>419</v>
      </c>
      <c r="M61" s="291" t="s">
        <v>420</v>
      </c>
      <c r="N61" s="294" t="s">
        <v>421</v>
      </c>
      <c r="O61" s="291" t="s">
        <v>422</v>
      </c>
      <c r="P61" s="291" t="s">
        <v>423</v>
      </c>
      <c r="Q61" s="295">
        <v>0.95</v>
      </c>
      <c r="R61" s="291" t="s">
        <v>525</v>
      </c>
      <c r="S61" s="291" t="s">
        <v>526</v>
      </c>
      <c r="T61" s="292" t="s">
        <v>527</v>
      </c>
      <c r="U61" s="291" t="s">
        <v>528</v>
      </c>
      <c r="V61" s="292">
        <v>3</v>
      </c>
      <c r="W61" s="292">
        <v>5</v>
      </c>
      <c r="X61" s="296">
        <v>360</v>
      </c>
      <c r="Y61" s="297" t="s">
        <v>529</v>
      </c>
      <c r="Z61" s="298" t="s">
        <v>428</v>
      </c>
      <c r="AA61" s="367">
        <f>471340694*95%</f>
        <v>447773659.29999995</v>
      </c>
      <c r="AB61" s="299">
        <f>39278391.1666667*95%</f>
        <v>37314471.608333364</v>
      </c>
      <c r="AC61" s="298" t="s">
        <v>530</v>
      </c>
      <c r="AD61" s="298" t="s">
        <v>504</v>
      </c>
      <c r="AE61" s="300"/>
      <c r="AF61" s="301"/>
      <c r="AG61" s="302"/>
      <c r="AH61" s="303"/>
      <c r="AI61" s="349">
        <f t="shared" ref="AI61:AT61" si="15">39278391.1666667*95%</f>
        <v>37314471.608333364</v>
      </c>
      <c r="AJ61" s="349">
        <f t="shared" si="15"/>
        <v>37314471.608333364</v>
      </c>
      <c r="AK61" s="349">
        <f t="shared" si="15"/>
        <v>37314471.608333364</v>
      </c>
      <c r="AL61" s="349">
        <f t="shared" si="15"/>
        <v>37314471.608333364</v>
      </c>
      <c r="AM61" s="349">
        <f t="shared" si="15"/>
        <v>37314471.608333364</v>
      </c>
      <c r="AN61" s="349">
        <f t="shared" si="15"/>
        <v>37314471.608333364</v>
      </c>
      <c r="AO61" s="349">
        <f t="shared" si="15"/>
        <v>37314471.608333364</v>
      </c>
      <c r="AP61" s="349">
        <f t="shared" si="15"/>
        <v>37314471.608333364</v>
      </c>
      <c r="AQ61" s="349">
        <f t="shared" si="15"/>
        <v>37314471.608333364</v>
      </c>
      <c r="AR61" s="349">
        <f t="shared" si="15"/>
        <v>37314471.608333364</v>
      </c>
      <c r="AS61" s="349">
        <f t="shared" si="15"/>
        <v>37314471.608333364</v>
      </c>
      <c r="AT61" s="349">
        <f t="shared" si="15"/>
        <v>37314471.608333364</v>
      </c>
      <c r="AU61" s="311">
        <f t="shared" si="3"/>
        <v>447773659.30000025</v>
      </c>
      <c r="AV61" s="305">
        <f t="shared" si="4"/>
        <v>0</v>
      </c>
      <c r="AW61" s="303"/>
      <c r="AX61" s="303">
        <f>AU61*95%</f>
        <v>425384976.33500022</v>
      </c>
      <c r="AY61" s="303">
        <v>0</v>
      </c>
      <c r="AZ61" s="303">
        <f>AU61*5%</f>
        <v>22388682.965000015</v>
      </c>
      <c r="BA61" s="303">
        <v>0</v>
      </c>
      <c r="BB61" s="304">
        <f t="shared" si="6"/>
        <v>447773659.30000025</v>
      </c>
    </row>
    <row r="62" spans="1:54" s="306" customFormat="1" hidden="1">
      <c r="A62" s="291" t="s">
        <v>412</v>
      </c>
      <c r="B62" s="292" t="s">
        <v>413</v>
      </c>
      <c r="C62" s="292" t="s">
        <v>413</v>
      </c>
      <c r="D62" s="292" t="s">
        <v>523</v>
      </c>
      <c r="E62" s="292">
        <v>938</v>
      </c>
      <c r="F62" s="293">
        <v>7673</v>
      </c>
      <c r="G62" s="291" t="s">
        <v>414</v>
      </c>
      <c r="H62" s="291" t="s">
        <v>524</v>
      </c>
      <c r="I62" s="291" t="s">
        <v>492</v>
      </c>
      <c r="J62" s="291" t="s">
        <v>417</v>
      </c>
      <c r="K62" s="291" t="s">
        <v>418</v>
      </c>
      <c r="L62" s="291" t="s">
        <v>419</v>
      </c>
      <c r="M62" s="291" t="s">
        <v>420</v>
      </c>
      <c r="N62" s="294" t="s">
        <v>421</v>
      </c>
      <c r="O62" s="291" t="s">
        <v>422</v>
      </c>
      <c r="P62" s="291" t="s">
        <v>448</v>
      </c>
      <c r="Q62" s="295">
        <v>0.05</v>
      </c>
      <c r="R62" s="291" t="s">
        <v>525</v>
      </c>
      <c r="S62" s="291" t="s">
        <v>526</v>
      </c>
      <c r="T62" s="292" t="s">
        <v>527</v>
      </c>
      <c r="U62" s="291" t="s">
        <v>528</v>
      </c>
      <c r="V62" s="292">
        <v>3</v>
      </c>
      <c r="W62" s="292">
        <v>5</v>
      </c>
      <c r="X62" s="296">
        <v>360</v>
      </c>
      <c r="Y62" s="297" t="s">
        <v>529</v>
      </c>
      <c r="Z62" s="298" t="s">
        <v>428</v>
      </c>
      <c r="AA62" s="299">
        <f>471340694*5%</f>
        <v>23567034.700000003</v>
      </c>
      <c r="AB62" s="299">
        <f>39278391.1666667*5%</f>
        <v>1963919.5583333352</v>
      </c>
      <c r="AC62" s="298" t="s">
        <v>530</v>
      </c>
      <c r="AD62" s="298" t="s">
        <v>504</v>
      </c>
      <c r="AE62" s="300"/>
      <c r="AF62" s="301"/>
      <c r="AG62" s="302"/>
      <c r="AH62" s="302"/>
      <c r="AI62" s="352">
        <f t="shared" ref="AI62:AT62" si="16">39278391.1666667*5%</f>
        <v>1963919.5583333352</v>
      </c>
      <c r="AJ62" s="352">
        <f t="shared" si="16"/>
        <v>1963919.5583333352</v>
      </c>
      <c r="AK62" s="352">
        <f t="shared" si="16"/>
        <v>1963919.5583333352</v>
      </c>
      <c r="AL62" s="352">
        <f t="shared" si="16"/>
        <v>1963919.5583333352</v>
      </c>
      <c r="AM62" s="352">
        <f t="shared" si="16"/>
        <v>1963919.5583333352</v>
      </c>
      <c r="AN62" s="352">
        <f t="shared" si="16"/>
        <v>1963919.5583333352</v>
      </c>
      <c r="AO62" s="352">
        <f t="shared" si="16"/>
        <v>1963919.5583333352</v>
      </c>
      <c r="AP62" s="352">
        <f t="shared" si="16"/>
        <v>1963919.5583333352</v>
      </c>
      <c r="AQ62" s="352">
        <f t="shared" si="16"/>
        <v>1963919.5583333352</v>
      </c>
      <c r="AR62" s="352">
        <f t="shared" si="16"/>
        <v>1963919.5583333352</v>
      </c>
      <c r="AS62" s="352">
        <f t="shared" si="16"/>
        <v>1963919.5583333352</v>
      </c>
      <c r="AT62" s="352">
        <f t="shared" si="16"/>
        <v>1963919.5583333352</v>
      </c>
      <c r="AU62" s="311">
        <f t="shared" ref="AU62" si="17">SUM(AI62:AT62)</f>
        <v>23567034.700000018</v>
      </c>
      <c r="AV62" s="305">
        <f t="shared" ref="AV62" si="18">+AU62-AA62</f>
        <v>0</v>
      </c>
      <c r="AW62" s="303"/>
      <c r="AX62" s="303">
        <f>AU62*95%</f>
        <v>22388682.965000015</v>
      </c>
      <c r="AY62" s="303">
        <v>0</v>
      </c>
      <c r="AZ62" s="303">
        <f>AU62*5%</f>
        <v>1178351.735000001</v>
      </c>
      <c r="BA62" s="303">
        <v>0</v>
      </c>
      <c r="BB62" s="304">
        <f t="shared" ref="BB62" si="19">SUM(AX62:BA62)</f>
        <v>23567034.700000014</v>
      </c>
    </row>
    <row r="63" spans="1:54" s="267" customFormat="1">
      <c r="A63" s="257" t="s">
        <v>412</v>
      </c>
      <c r="B63" s="258" t="s">
        <v>413</v>
      </c>
      <c r="C63" s="258" t="s">
        <v>413</v>
      </c>
      <c r="D63" s="258" t="s">
        <v>531</v>
      </c>
      <c r="E63" s="258">
        <v>939</v>
      </c>
      <c r="F63" s="259">
        <v>7673</v>
      </c>
      <c r="G63" s="257" t="s">
        <v>414</v>
      </c>
      <c r="H63" s="257" t="s">
        <v>532</v>
      </c>
      <c r="I63" s="257" t="s">
        <v>515</v>
      </c>
      <c r="J63" s="257" t="s">
        <v>417</v>
      </c>
      <c r="K63" s="257" t="s">
        <v>418</v>
      </c>
      <c r="L63" s="257" t="s">
        <v>419</v>
      </c>
      <c r="M63" s="257" t="s">
        <v>420</v>
      </c>
      <c r="N63" s="269" t="s">
        <v>421</v>
      </c>
      <c r="O63" s="257" t="s">
        <v>422</v>
      </c>
      <c r="P63" s="257" t="s">
        <v>423</v>
      </c>
      <c r="Q63" s="260">
        <v>1</v>
      </c>
      <c r="R63" s="257" t="s">
        <v>533</v>
      </c>
      <c r="S63" s="257" t="s">
        <v>534</v>
      </c>
      <c r="T63" s="258" t="s">
        <v>535</v>
      </c>
      <c r="U63" s="257" t="s">
        <v>536</v>
      </c>
      <c r="V63" s="258">
        <v>2</v>
      </c>
      <c r="W63" s="258">
        <v>2</v>
      </c>
      <c r="X63" s="258">
        <v>30</v>
      </c>
      <c r="Y63" s="270" t="s">
        <v>520</v>
      </c>
      <c r="Z63" s="261" t="s">
        <v>428</v>
      </c>
      <c r="AA63" s="367">
        <v>5539000</v>
      </c>
      <c r="AB63" s="262">
        <v>5539000</v>
      </c>
      <c r="AC63" s="261" t="s">
        <v>537</v>
      </c>
      <c r="AD63" s="261" t="s">
        <v>512</v>
      </c>
      <c r="AE63" s="263"/>
      <c r="AF63" s="264"/>
      <c r="AG63" s="271"/>
      <c r="AH63" s="288"/>
      <c r="AI63" s="343">
        <v>0</v>
      </c>
      <c r="AJ63" s="343">
        <v>0</v>
      </c>
      <c r="AK63" s="344">
        <v>0</v>
      </c>
      <c r="AL63" s="344">
        <v>0</v>
      </c>
      <c r="AM63" s="344">
        <v>0</v>
      </c>
      <c r="AN63" s="344">
        <v>0</v>
      </c>
      <c r="AO63" s="344">
        <v>0</v>
      </c>
      <c r="AP63" s="344">
        <v>0</v>
      </c>
      <c r="AQ63" s="344">
        <v>0</v>
      </c>
      <c r="AR63" s="344">
        <v>0</v>
      </c>
      <c r="AS63" s="344">
        <v>5539000</v>
      </c>
      <c r="AT63" s="344"/>
      <c r="AU63" s="310">
        <f t="shared" si="3"/>
        <v>5539000</v>
      </c>
      <c r="AV63" s="290">
        <f t="shared" si="4"/>
        <v>0</v>
      </c>
      <c r="AW63" s="288"/>
      <c r="AX63" s="288">
        <f>AU63</f>
        <v>5539000</v>
      </c>
      <c r="AY63" s="288">
        <v>0</v>
      </c>
      <c r="AZ63" s="288">
        <v>0</v>
      </c>
      <c r="BA63" s="288">
        <v>0</v>
      </c>
      <c r="BB63" s="289">
        <f t="shared" si="6"/>
        <v>5539000</v>
      </c>
    </row>
    <row r="64" spans="1:54" s="267" customFormat="1">
      <c r="A64" s="257" t="s">
        <v>412</v>
      </c>
      <c r="B64" s="258" t="s">
        <v>413</v>
      </c>
      <c r="C64" s="258" t="s">
        <v>413</v>
      </c>
      <c r="D64" s="258" t="s">
        <v>538</v>
      </c>
      <c r="E64" s="258">
        <v>941</v>
      </c>
      <c r="F64" s="259">
        <v>7673</v>
      </c>
      <c r="G64" s="257" t="s">
        <v>414</v>
      </c>
      <c r="H64" s="257" t="s">
        <v>539</v>
      </c>
      <c r="I64" s="257" t="s">
        <v>540</v>
      </c>
      <c r="J64" s="257" t="s">
        <v>417</v>
      </c>
      <c r="K64" s="257" t="s">
        <v>418</v>
      </c>
      <c r="L64" s="257" t="s">
        <v>419</v>
      </c>
      <c r="M64" s="257" t="s">
        <v>420</v>
      </c>
      <c r="N64" s="269" t="s">
        <v>421</v>
      </c>
      <c r="O64" s="257" t="s">
        <v>422</v>
      </c>
      <c r="P64" s="257" t="s">
        <v>423</v>
      </c>
      <c r="Q64" s="260">
        <v>1</v>
      </c>
      <c r="R64" s="257" t="s">
        <v>541</v>
      </c>
      <c r="S64" s="257" t="s">
        <v>542</v>
      </c>
      <c r="T64" s="258">
        <v>31162800</v>
      </c>
      <c r="U64" s="257" t="s">
        <v>543</v>
      </c>
      <c r="V64" s="258">
        <v>2</v>
      </c>
      <c r="W64" s="258">
        <v>4</v>
      </c>
      <c r="X64" s="272">
        <v>180</v>
      </c>
      <c r="Y64" s="270" t="s">
        <v>489</v>
      </c>
      <c r="Z64" s="261" t="s">
        <v>428</v>
      </c>
      <c r="AA64" s="367">
        <v>20000000</v>
      </c>
      <c r="AB64" s="262">
        <v>3333333.3333333302</v>
      </c>
      <c r="AC64" s="261" t="s">
        <v>544</v>
      </c>
      <c r="AD64" s="261" t="s">
        <v>512</v>
      </c>
      <c r="AE64" s="263"/>
      <c r="AF64" s="264"/>
      <c r="AG64" s="271"/>
      <c r="AH64" s="288"/>
      <c r="AI64" s="343">
        <v>0</v>
      </c>
      <c r="AJ64" s="343">
        <v>0</v>
      </c>
      <c r="AK64" s="344">
        <v>0</v>
      </c>
      <c r="AL64" s="344">
        <v>0</v>
      </c>
      <c r="AM64" s="344">
        <v>0</v>
      </c>
      <c r="AN64" s="344">
        <v>0</v>
      </c>
      <c r="AO64" s="344">
        <v>3333333.3333333302</v>
      </c>
      <c r="AP64" s="344">
        <v>3333333.3333333302</v>
      </c>
      <c r="AQ64" s="344">
        <v>3333333.3333333302</v>
      </c>
      <c r="AR64" s="344">
        <v>3333333.3333333302</v>
      </c>
      <c r="AS64" s="344">
        <v>3333333.3333333302</v>
      </c>
      <c r="AT64" s="344">
        <v>3333333.3333333302</v>
      </c>
      <c r="AU64" s="310">
        <f t="shared" si="3"/>
        <v>19999999.999999981</v>
      </c>
      <c r="AV64" s="290">
        <f t="shared" si="4"/>
        <v>0</v>
      </c>
      <c r="AW64" s="288"/>
      <c r="AX64" s="288">
        <f>AU64</f>
        <v>19999999.999999981</v>
      </c>
      <c r="AY64" s="288">
        <v>0</v>
      </c>
      <c r="AZ64" s="288">
        <v>0</v>
      </c>
      <c r="BA64" s="288">
        <v>0</v>
      </c>
      <c r="BB64" s="289">
        <f t="shared" si="6"/>
        <v>19999999.999999981</v>
      </c>
    </row>
    <row r="65" spans="1:54" s="306" customFormat="1">
      <c r="A65" s="291" t="s">
        <v>412</v>
      </c>
      <c r="B65" s="292" t="s">
        <v>413</v>
      </c>
      <c r="C65" s="292" t="s">
        <v>413</v>
      </c>
      <c r="D65" s="292" t="s">
        <v>545</v>
      </c>
      <c r="E65" s="292">
        <v>942</v>
      </c>
      <c r="F65" s="293">
        <v>7673</v>
      </c>
      <c r="G65" s="291" t="s">
        <v>414</v>
      </c>
      <c r="H65" s="291" t="s">
        <v>546</v>
      </c>
      <c r="I65" s="291" t="s">
        <v>492</v>
      </c>
      <c r="J65" s="291" t="s">
        <v>417</v>
      </c>
      <c r="K65" s="291" t="s">
        <v>418</v>
      </c>
      <c r="L65" s="291" t="s">
        <v>419</v>
      </c>
      <c r="M65" s="291" t="s">
        <v>420</v>
      </c>
      <c r="N65" s="294" t="s">
        <v>421</v>
      </c>
      <c r="O65" s="291" t="s">
        <v>422</v>
      </c>
      <c r="P65" s="291" t="s">
        <v>423</v>
      </c>
      <c r="Q65" s="295">
        <v>0.81</v>
      </c>
      <c r="R65" s="291" t="s">
        <v>499</v>
      </c>
      <c r="S65" s="291" t="s">
        <v>500</v>
      </c>
      <c r="T65" s="292" t="s">
        <v>547</v>
      </c>
      <c r="U65" s="291" t="s">
        <v>548</v>
      </c>
      <c r="V65" s="292">
        <v>3</v>
      </c>
      <c r="W65" s="292">
        <v>4</v>
      </c>
      <c r="X65" s="296">
        <v>360</v>
      </c>
      <c r="Y65" s="297" t="s">
        <v>520</v>
      </c>
      <c r="Z65" s="298" t="s">
        <v>428</v>
      </c>
      <c r="AA65" s="367">
        <f>71651306*81%</f>
        <v>58037557.860000007</v>
      </c>
      <c r="AB65" s="299">
        <f>5970942.16666667*81%</f>
        <v>4836463.1550000031</v>
      </c>
      <c r="AC65" s="298" t="s">
        <v>549</v>
      </c>
      <c r="AD65" s="298" t="s">
        <v>504</v>
      </c>
      <c r="AE65" s="300"/>
      <c r="AF65" s="301"/>
      <c r="AG65" s="307"/>
      <c r="AH65" s="303"/>
      <c r="AI65" s="349">
        <f t="shared" ref="AI65:AT65" si="20">5970942.16666667*81%</f>
        <v>4836463.1550000031</v>
      </c>
      <c r="AJ65" s="349">
        <f t="shared" si="20"/>
        <v>4836463.1550000031</v>
      </c>
      <c r="AK65" s="349">
        <f t="shared" si="20"/>
        <v>4836463.1550000031</v>
      </c>
      <c r="AL65" s="349">
        <f t="shared" si="20"/>
        <v>4836463.1550000031</v>
      </c>
      <c r="AM65" s="349">
        <f t="shared" si="20"/>
        <v>4836463.1550000031</v>
      </c>
      <c r="AN65" s="349">
        <f t="shared" si="20"/>
        <v>4836463.1550000031</v>
      </c>
      <c r="AO65" s="349">
        <f t="shared" si="20"/>
        <v>4836463.1550000031</v>
      </c>
      <c r="AP65" s="349">
        <f t="shared" si="20"/>
        <v>4836463.1550000031</v>
      </c>
      <c r="AQ65" s="349">
        <f t="shared" si="20"/>
        <v>4836463.1550000031</v>
      </c>
      <c r="AR65" s="349">
        <f t="shared" si="20"/>
        <v>4836463.1550000031</v>
      </c>
      <c r="AS65" s="349">
        <f t="shared" si="20"/>
        <v>4836463.1550000031</v>
      </c>
      <c r="AT65" s="349">
        <f t="shared" si="20"/>
        <v>4836463.1550000031</v>
      </c>
      <c r="AU65" s="311">
        <f t="shared" si="3"/>
        <v>58037557.860000022</v>
      </c>
      <c r="AV65" s="305">
        <f t="shared" si="4"/>
        <v>0</v>
      </c>
      <c r="AW65" s="303"/>
      <c r="AX65" s="303">
        <f>AU65*81%</f>
        <v>47010421.866600022</v>
      </c>
      <c r="AY65" s="303">
        <v>0</v>
      </c>
      <c r="AZ65" s="303">
        <f>AU65*19%</f>
        <v>11027135.993400004</v>
      </c>
      <c r="BA65" s="303">
        <v>0</v>
      </c>
      <c r="BB65" s="304">
        <f t="shared" si="6"/>
        <v>58037557.860000029</v>
      </c>
    </row>
    <row r="66" spans="1:54" s="306" customFormat="1" hidden="1">
      <c r="A66" s="291" t="s">
        <v>412</v>
      </c>
      <c r="B66" s="292" t="s">
        <v>413</v>
      </c>
      <c r="C66" s="292" t="s">
        <v>413</v>
      </c>
      <c r="D66" s="292" t="s">
        <v>545</v>
      </c>
      <c r="E66" s="292">
        <v>942</v>
      </c>
      <c r="F66" s="293">
        <v>7673</v>
      </c>
      <c r="G66" s="291" t="s">
        <v>414</v>
      </c>
      <c r="H66" s="291" t="s">
        <v>546</v>
      </c>
      <c r="I66" s="291" t="s">
        <v>492</v>
      </c>
      <c r="J66" s="291" t="s">
        <v>417</v>
      </c>
      <c r="K66" s="291" t="s">
        <v>418</v>
      </c>
      <c r="L66" s="291" t="s">
        <v>419</v>
      </c>
      <c r="M66" s="291" t="s">
        <v>420</v>
      </c>
      <c r="N66" s="294" t="s">
        <v>421</v>
      </c>
      <c r="O66" s="291" t="s">
        <v>422</v>
      </c>
      <c r="P66" s="291" t="s">
        <v>448</v>
      </c>
      <c r="Q66" s="295">
        <v>0.19</v>
      </c>
      <c r="R66" s="291" t="s">
        <v>499</v>
      </c>
      <c r="S66" s="291" t="s">
        <v>500</v>
      </c>
      <c r="T66" s="292" t="s">
        <v>547</v>
      </c>
      <c r="U66" s="291" t="s">
        <v>548</v>
      </c>
      <c r="V66" s="292">
        <v>3</v>
      </c>
      <c r="W66" s="292">
        <v>4</v>
      </c>
      <c r="X66" s="296">
        <v>360</v>
      </c>
      <c r="Y66" s="297" t="s">
        <v>520</v>
      </c>
      <c r="Z66" s="298" t="s">
        <v>428</v>
      </c>
      <c r="AA66" s="299">
        <f>71651306*19%</f>
        <v>13613748.140000001</v>
      </c>
      <c r="AB66" s="299">
        <f>5970942.16666667*19%</f>
        <v>1134479.0116666672</v>
      </c>
      <c r="AC66" s="298" t="s">
        <v>549</v>
      </c>
      <c r="AD66" s="298" t="s">
        <v>504</v>
      </c>
      <c r="AE66" s="300"/>
      <c r="AF66" s="301"/>
      <c r="AG66" s="307"/>
      <c r="AH66" s="302"/>
      <c r="AI66" s="352">
        <f t="shared" ref="AI66:AT66" si="21">5970942.16666667*19%</f>
        <v>1134479.0116666672</v>
      </c>
      <c r="AJ66" s="352">
        <f t="shared" si="21"/>
        <v>1134479.0116666672</v>
      </c>
      <c r="AK66" s="352">
        <f t="shared" si="21"/>
        <v>1134479.0116666672</v>
      </c>
      <c r="AL66" s="352">
        <f t="shared" si="21"/>
        <v>1134479.0116666672</v>
      </c>
      <c r="AM66" s="352">
        <f t="shared" si="21"/>
        <v>1134479.0116666672</v>
      </c>
      <c r="AN66" s="352">
        <f t="shared" si="21"/>
        <v>1134479.0116666672</v>
      </c>
      <c r="AO66" s="352">
        <f t="shared" si="21"/>
        <v>1134479.0116666672</v>
      </c>
      <c r="AP66" s="352">
        <f t="shared" si="21"/>
        <v>1134479.0116666672</v>
      </c>
      <c r="AQ66" s="352">
        <f t="shared" si="21"/>
        <v>1134479.0116666672</v>
      </c>
      <c r="AR66" s="352">
        <f t="shared" si="21"/>
        <v>1134479.0116666672</v>
      </c>
      <c r="AS66" s="352">
        <f t="shared" si="21"/>
        <v>1134479.0116666672</v>
      </c>
      <c r="AT66" s="352">
        <f t="shared" si="21"/>
        <v>1134479.0116666672</v>
      </c>
      <c r="AU66" s="311">
        <f t="shared" ref="AU66" si="22">SUM(AI66:AT66)</f>
        <v>13613748.140000002</v>
      </c>
      <c r="AV66" s="305">
        <f t="shared" ref="AV66" si="23">+AU66-AA66</f>
        <v>0</v>
      </c>
      <c r="AW66" s="303"/>
      <c r="AX66" s="303">
        <f>AU66*81%</f>
        <v>11027135.993400002</v>
      </c>
      <c r="AY66" s="303">
        <v>0</v>
      </c>
      <c r="AZ66" s="303">
        <f>AU66*19%</f>
        <v>2586612.1466000006</v>
      </c>
      <c r="BA66" s="303">
        <v>0</v>
      </c>
      <c r="BB66" s="304">
        <f t="shared" ref="BB66" si="24">SUM(AX66:BA66)</f>
        <v>13613748.140000002</v>
      </c>
    </row>
    <row r="67" spans="1:54" s="306" customFormat="1">
      <c r="A67" s="291" t="s">
        <v>412</v>
      </c>
      <c r="B67" s="292" t="s">
        <v>413</v>
      </c>
      <c r="C67" s="292" t="s">
        <v>413</v>
      </c>
      <c r="D67" s="292" t="s">
        <v>550</v>
      </c>
      <c r="E67" s="292">
        <v>943</v>
      </c>
      <c r="F67" s="293">
        <v>7673</v>
      </c>
      <c r="G67" s="291" t="s">
        <v>414</v>
      </c>
      <c r="H67" s="291" t="s">
        <v>551</v>
      </c>
      <c r="I67" s="291" t="s">
        <v>515</v>
      </c>
      <c r="J67" s="291" t="s">
        <v>417</v>
      </c>
      <c r="K67" s="291" t="s">
        <v>418</v>
      </c>
      <c r="L67" s="291" t="s">
        <v>419</v>
      </c>
      <c r="M67" s="291" t="s">
        <v>420</v>
      </c>
      <c r="N67" s="294" t="s">
        <v>421</v>
      </c>
      <c r="O67" s="291" t="s">
        <v>422</v>
      </c>
      <c r="P67" s="291" t="s">
        <v>423</v>
      </c>
      <c r="Q67" s="295">
        <v>0.91</v>
      </c>
      <c r="R67" s="291" t="s">
        <v>552</v>
      </c>
      <c r="S67" s="291" t="s">
        <v>553</v>
      </c>
      <c r="T67" s="292" t="s">
        <v>554</v>
      </c>
      <c r="U67" s="291" t="s">
        <v>555</v>
      </c>
      <c r="V67" s="292">
        <v>3</v>
      </c>
      <c r="W67" s="292">
        <v>4</v>
      </c>
      <c r="X67" s="292">
        <v>240</v>
      </c>
      <c r="Y67" s="297" t="s">
        <v>489</v>
      </c>
      <c r="Z67" s="298" t="s">
        <v>428</v>
      </c>
      <c r="AA67" s="367">
        <f>5500000*91%</f>
        <v>5005000</v>
      </c>
      <c r="AB67" s="299">
        <f>687500*91%</f>
        <v>625625</v>
      </c>
      <c r="AC67" s="298" t="s">
        <v>556</v>
      </c>
      <c r="AD67" s="298" t="s">
        <v>557</v>
      </c>
      <c r="AE67" s="300"/>
      <c r="AF67" s="301"/>
      <c r="AG67" s="302"/>
      <c r="AH67" s="303"/>
      <c r="AI67" s="347">
        <v>0</v>
      </c>
      <c r="AJ67" s="347">
        <v>0</v>
      </c>
      <c r="AK67" s="347">
        <v>0</v>
      </c>
      <c r="AL67" s="347">
        <v>0</v>
      </c>
      <c r="AM67" s="349">
        <f t="shared" ref="AM67:AT67" si="25">687500*91%</f>
        <v>625625</v>
      </c>
      <c r="AN67" s="349">
        <f t="shared" si="25"/>
        <v>625625</v>
      </c>
      <c r="AO67" s="349">
        <f t="shared" si="25"/>
        <v>625625</v>
      </c>
      <c r="AP67" s="349">
        <f t="shared" si="25"/>
        <v>625625</v>
      </c>
      <c r="AQ67" s="349">
        <f t="shared" si="25"/>
        <v>625625</v>
      </c>
      <c r="AR67" s="349">
        <f t="shared" si="25"/>
        <v>625625</v>
      </c>
      <c r="AS67" s="349">
        <f t="shared" si="25"/>
        <v>625625</v>
      </c>
      <c r="AT67" s="349">
        <f t="shared" si="25"/>
        <v>625625</v>
      </c>
      <c r="AU67" s="311">
        <f t="shared" si="3"/>
        <v>5005000</v>
      </c>
      <c r="AV67" s="305">
        <f t="shared" si="4"/>
        <v>0</v>
      </c>
      <c r="AW67" s="303"/>
      <c r="AX67" s="303">
        <f>AU67*91%</f>
        <v>4554550</v>
      </c>
      <c r="AY67" s="303">
        <v>0</v>
      </c>
      <c r="AZ67" s="303">
        <f>AU67*9%</f>
        <v>450450</v>
      </c>
      <c r="BA67" s="303">
        <v>0</v>
      </c>
      <c r="BB67" s="304">
        <f t="shared" si="6"/>
        <v>5005000</v>
      </c>
    </row>
    <row r="68" spans="1:54" s="306" customFormat="1" hidden="1">
      <c r="A68" s="291" t="s">
        <v>412</v>
      </c>
      <c r="B68" s="292" t="s">
        <v>413</v>
      </c>
      <c r="C68" s="292" t="s">
        <v>413</v>
      </c>
      <c r="D68" s="292" t="s">
        <v>550</v>
      </c>
      <c r="E68" s="292">
        <v>943</v>
      </c>
      <c r="F68" s="293">
        <v>7673</v>
      </c>
      <c r="G68" s="291" t="s">
        <v>414</v>
      </c>
      <c r="H68" s="291" t="s">
        <v>551</v>
      </c>
      <c r="I68" s="291" t="s">
        <v>515</v>
      </c>
      <c r="J68" s="291" t="s">
        <v>417</v>
      </c>
      <c r="K68" s="291" t="s">
        <v>418</v>
      </c>
      <c r="L68" s="291" t="s">
        <v>419</v>
      </c>
      <c r="M68" s="291" t="s">
        <v>420</v>
      </c>
      <c r="N68" s="294" t="s">
        <v>421</v>
      </c>
      <c r="O68" s="291" t="s">
        <v>422</v>
      </c>
      <c r="P68" s="291" t="s">
        <v>448</v>
      </c>
      <c r="Q68" s="295">
        <v>0.09</v>
      </c>
      <c r="R68" s="291" t="s">
        <v>552</v>
      </c>
      <c r="S68" s="291" t="s">
        <v>553</v>
      </c>
      <c r="T68" s="292" t="s">
        <v>554</v>
      </c>
      <c r="U68" s="291" t="s">
        <v>555</v>
      </c>
      <c r="V68" s="292">
        <v>3</v>
      </c>
      <c r="W68" s="292">
        <v>4</v>
      </c>
      <c r="X68" s="292">
        <v>240</v>
      </c>
      <c r="Y68" s="297" t="s">
        <v>489</v>
      </c>
      <c r="Z68" s="298" t="s">
        <v>428</v>
      </c>
      <c r="AA68" s="299">
        <f>5500000*9%</f>
        <v>495000</v>
      </c>
      <c r="AB68" s="299">
        <f>687500*9%</f>
        <v>61875</v>
      </c>
      <c r="AC68" s="298" t="s">
        <v>556</v>
      </c>
      <c r="AD68" s="298" t="s">
        <v>557</v>
      </c>
      <c r="AE68" s="300"/>
      <c r="AF68" s="301"/>
      <c r="AG68" s="302"/>
      <c r="AH68" s="302"/>
      <c r="AI68" s="347">
        <v>0</v>
      </c>
      <c r="AJ68" s="347">
        <v>0</v>
      </c>
      <c r="AK68" s="347">
        <v>0</v>
      </c>
      <c r="AL68" s="347">
        <v>0</v>
      </c>
      <c r="AM68" s="352">
        <f t="shared" ref="AM68:AT68" si="26">687500*9%</f>
        <v>61875</v>
      </c>
      <c r="AN68" s="352">
        <f t="shared" si="26"/>
        <v>61875</v>
      </c>
      <c r="AO68" s="352">
        <f t="shared" si="26"/>
        <v>61875</v>
      </c>
      <c r="AP68" s="352">
        <f t="shared" si="26"/>
        <v>61875</v>
      </c>
      <c r="AQ68" s="352">
        <f t="shared" si="26"/>
        <v>61875</v>
      </c>
      <c r="AR68" s="352">
        <f t="shared" si="26"/>
        <v>61875</v>
      </c>
      <c r="AS68" s="352">
        <f t="shared" si="26"/>
        <v>61875</v>
      </c>
      <c r="AT68" s="352">
        <f t="shared" si="26"/>
        <v>61875</v>
      </c>
      <c r="AU68" s="311">
        <f t="shared" ref="AU68" si="27">SUM(AI68:AT68)</f>
        <v>495000</v>
      </c>
      <c r="AV68" s="305">
        <f t="shared" ref="AV68" si="28">+AU68-AA68</f>
        <v>0</v>
      </c>
      <c r="AW68" s="303"/>
      <c r="AX68" s="303">
        <f>AU68*91%</f>
        <v>450450</v>
      </c>
      <c r="AY68" s="303">
        <v>0</v>
      </c>
      <c r="AZ68" s="303">
        <f>AU68*9%</f>
        <v>44550</v>
      </c>
      <c r="BA68" s="303">
        <v>0</v>
      </c>
      <c r="BB68" s="304">
        <f t="shared" ref="BB68" si="29">SUM(AX68:BA68)</f>
        <v>495000</v>
      </c>
    </row>
    <row r="69" spans="1:54" s="267" customFormat="1">
      <c r="A69" s="257" t="s">
        <v>412</v>
      </c>
      <c r="B69" s="258" t="s">
        <v>413</v>
      </c>
      <c r="C69" s="258" t="s">
        <v>413</v>
      </c>
      <c r="D69" s="258" t="s">
        <v>558</v>
      </c>
      <c r="E69" s="258">
        <v>945</v>
      </c>
      <c r="F69" s="259">
        <v>7673</v>
      </c>
      <c r="G69" s="257" t="s">
        <v>414</v>
      </c>
      <c r="H69" s="257" t="s">
        <v>559</v>
      </c>
      <c r="I69" s="257" t="s">
        <v>492</v>
      </c>
      <c r="J69" s="257" t="s">
        <v>417</v>
      </c>
      <c r="K69" s="257" t="s">
        <v>418</v>
      </c>
      <c r="L69" s="257" t="s">
        <v>419</v>
      </c>
      <c r="M69" s="257" t="s">
        <v>420</v>
      </c>
      <c r="N69" s="269" t="s">
        <v>421</v>
      </c>
      <c r="O69" s="257" t="s">
        <v>422</v>
      </c>
      <c r="P69" s="257" t="s">
        <v>423</v>
      </c>
      <c r="Q69" s="260">
        <v>1</v>
      </c>
      <c r="R69" s="257" t="s">
        <v>560</v>
      </c>
      <c r="S69" s="257" t="s">
        <v>561</v>
      </c>
      <c r="T69" s="258">
        <v>82101905</v>
      </c>
      <c r="U69" s="257" t="s">
        <v>562</v>
      </c>
      <c r="V69" s="258">
        <v>5</v>
      </c>
      <c r="W69" s="258">
        <v>8</v>
      </c>
      <c r="X69" s="258">
        <v>360</v>
      </c>
      <c r="Y69" s="270" t="s">
        <v>480</v>
      </c>
      <c r="Z69" s="261" t="s">
        <v>428</v>
      </c>
      <c r="AA69" s="367">
        <v>10550000</v>
      </c>
      <c r="AB69" s="262">
        <v>879166.66666666698</v>
      </c>
      <c r="AC69" s="261" t="s">
        <v>563</v>
      </c>
      <c r="AD69" s="261" t="s">
        <v>564</v>
      </c>
      <c r="AE69" s="263"/>
      <c r="AF69" s="264"/>
      <c r="AG69" s="271"/>
      <c r="AH69" s="288"/>
      <c r="AI69" s="343">
        <v>0</v>
      </c>
      <c r="AJ69" s="343">
        <v>0</v>
      </c>
      <c r="AK69" s="344">
        <v>0</v>
      </c>
      <c r="AL69" s="344">
        <v>0</v>
      </c>
      <c r="AM69" s="344">
        <v>0</v>
      </c>
      <c r="AN69" s="344">
        <v>0</v>
      </c>
      <c r="AO69" s="344">
        <f t="shared" ref="AO69:AT69" si="30">879166.666666667*2</f>
        <v>1758333.333333334</v>
      </c>
      <c r="AP69" s="344">
        <f t="shared" si="30"/>
        <v>1758333.333333334</v>
      </c>
      <c r="AQ69" s="344">
        <f t="shared" si="30"/>
        <v>1758333.333333334</v>
      </c>
      <c r="AR69" s="344">
        <f t="shared" si="30"/>
        <v>1758333.333333334</v>
      </c>
      <c r="AS69" s="344">
        <f t="shared" si="30"/>
        <v>1758333.333333334</v>
      </c>
      <c r="AT69" s="344">
        <f t="shared" si="30"/>
        <v>1758333.333333334</v>
      </c>
      <c r="AU69" s="310">
        <f t="shared" si="3"/>
        <v>10550000.000000004</v>
      </c>
      <c r="AV69" s="290">
        <f t="shared" si="4"/>
        <v>0</v>
      </c>
      <c r="AW69" s="288"/>
      <c r="AX69" s="288">
        <f>AU69</f>
        <v>10550000.000000004</v>
      </c>
      <c r="AY69" s="288">
        <v>0</v>
      </c>
      <c r="AZ69" s="288">
        <v>0</v>
      </c>
      <c r="BA69" s="288">
        <v>0</v>
      </c>
      <c r="BB69" s="289">
        <f t="shared" si="6"/>
        <v>10550000.000000004</v>
      </c>
    </row>
    <row r="70" spans="1:54" s="267" customFormat="1" hidden="1">
      <c r="A70" s="257" t="s">
        <v>412</v>
      </c>
      <c r="B70" s="258" t="s">
        <v>413</v>
      </c>
      <c r="C70" s="258" t="s">
        <v>413</v>
      </c>
      <c r="D70" s="258" t="s">
        <v>565</v>
      </c>
      <c r="E70" s="258">
        <v>946</v>
      </c>
      <c r="F70" s="259">
        <v>7673</v>
      </c>
      <c r="G70" s="257" t="s">
        <v>414</v>
      </c>
      <c r="H70" s="257" t="s">
        <v>566</v>
      </c>
      <c r="I70" s="257" t="s">
        <v>567</v>
      </c>
      <c r="J70" s="257" t="s">
        <v>417</v>
      </c>
      <c r="K70" s="257" t="s">
        <v>418</v>
      </c>
      <c r="L70" s="257" t="s">
        <v>419</v>
      </c>
      <c r="M70" s="257" t="s">
        <v>420</v>
      </c>
      <c r="N70" s="257" t="s">
        <v>421</v>
      </c>
      <c r="O70" s="257" t="s">
        <v>447</v>
      </c>
      <c r="P70" s="257" t="s">
        <v>448</v>
      </c>
      <c r="Q70" s="260">
        <v>1</v>
      </c>
      <c r="R70" s="257" t="s">
        <v>568</v>
      </c>
      <c r="S70" s="257" t="s">
        <v>569</v>
      </c>
      <c r="T70" s="258" t="s">
        <v>570</v>
      </c>
      <c r="U70" s="257" t="s">
        <v>571</v>
      </c>
      <c r="V70" s="258">
        <v>2</v>
      </c>
      <c r="W70" s="258">
        <v>2</v>
      </c>
      <c r="X70" s="258">
        <v>315</v>
      </c>
      <c r="Y70" s="257" t="s">
        <v>520</v>
      </c>
      <c r="Z70" s="261" t="s">
        <v>428</v>
      </c>
      <c r="AA70" s="367">
        <v>8000000</v>
      </c>
      <c r="AB70" s="262">
        <v>761904.76190476189</v>
      </c>
      <c r="AC70" s="261" t="s">
        <v>572</v>
      </c>
      <c r="AD70" s="261" t="s">
        <v>512</v>
      </c>
      <c r="AE70" s="263"/>
      <c r="AF70" s="264"/>
      <c r="AG70" s="271"/>
      <c r="AH70" s="271"/>
      <c r="AI70" s="343">
        <v>0</v>
      </c>
      <c r="AJ70" s="343">
        <v>0</v>
      </c>
      <c r="AK70" s="344">
        <v>0</v>
      </c>
      <c r="AL70" s="344">
        <v>0</v>
      </c>
      <c r="AM70" s="344">
        <v>0</v>
      </c>
      <c r="AN70" s="344">
        <v>1000000</v>
      </c>
      <c r="AO70" s="344">
        <v>1000000</v>
      </c>
      <c r="AP70" s="344">
        <v>1000000</v>
      </c>
      <c r="AQ70" s="344">
        <v>1000000</v>
      </c>
      <c r="AR70" s="344">
        <v>1000000</v>
      </c>
      <c r="AS70" s="344">
        <v>1000000</v>
      </c>
      <c r="AT70" s="344">
        <v>2000000</v>
      </c>
      <c r="AU70" s="310">
        <f t="shared" si="3"/>
        <v>8000000</v>
      </c>
      <c r="AV70" s="290">
        <f t="shared" si="4"/>
        <v>0</v>
      </c>
      <c r="AW70" s="288"/>
      <c r="AX70" s="288">
        <v>0</v>
      </c>
      <c r="AY70" s="288">
        <v>0</v>
      </c>
      <c r="AZ70" s="288">
        <f>AU70</f>
        <v>8000000</v>
      </c>
      <c r="BA70" s="288">
        <v>0</v>
      </c>
      <c r="BB70" s="289">
        <f t="shared" si="6"/>
        <v>8000000</v>
      </c>
    </row>
    <row r="71" spans="1:54" s="333" customFormat="1">
      <c r="A71" s="319" t="s">
        <v>412</v>
      </c>
      <c r="B71" s="320" t="s">
        <v>413</v>
      </c>
      <c r="C71" s="320" t="s">
        <v>413</v>
      </c>
      <c r="D71" s="320" t="s">
        <v>573</v>
      </c>
      <c r="E71" s="320">
        <v>952</v>
      </c>
      <c r="F71" s="321">
        <v>7673</v>
      </c>
      <c r="G71" s="319" t="s">
        <v>414</v>
      </c>
      <c r="H71" s="319" t="s">
        <v>574</v>
      </c>
      <c r="I71" s="319" t="s">
        <v>484</v>
      </c>
      <c r="J71" s="319" t="s">
        <v>417</v>
      </c>
      <c r="K71" s="319" t="s">
        <v>418</v>
      </c>
      <c r="L71" s="319" t="s">
        <v>419</v>
      </c>
      <c r="M71" s="319" t="s">
        <v>420</v>
      </c>
      <c r="N71" s="319" t="s">
        <v>421</v>
      </c>
      <c r="O71" s="319" t="s">
        <v>422</v>
      </c>
      <c r="P71" s="334" t="s">
        <v>423</v>
      </c>
      <c r="Q71" s="322">
        <v>1</v>
      </c>
      <c r="R71" s="323" t="s">
        <v>575</v>
      </c>
      <c r="S71" s="335" t="s">
        <v>576</v>
      </c>
      <c r="T71" s="320" t="s">
        <v>577</v>
      </c>
      <c r="U71" s="319" t="s">
        <v>578</v>
      </c>
      <c r="V71" s="320">
        <v>3</v>
      </c>
      <c r="W71" s="336">
        <v>5</v>
      </c>
      <c r="X71" s="320">
        <v>30</v>
      </c>
      <c r="Y71" s="319" t="s">
        <v>520</v>
      </c>
      <c r="Z71" s="337" t="s">
        <v>428</v>
      </c>
      <c r="AA71" s="369">
        <v>92608376</v>
      </c>
      <c r="AB71" s="324">
        <v>92608376</v>
      </c>
      <c r="AC71" s="323" t="s">
        <v>579</v>
      </c>
      <c r="AD71" s="323" t="s">
        <v>482</v>
      </c>
      <c r="AE71" s="325"/>
      <c r="AF71" s="326"/>
      <c r="AG71" s="327"/>
      <c r="AH71" s="328"/>
      <c r="AI71" s="345">
        <v>0</v>
      </c>
      <c r="AJ71" s="345">
        <v>0</v>
      </c>
      <c r="AK71" s="346">
        <v>0</v>
      </c>
      <c r="AL71" s="346">
        <v>0</v>
      </c>
      <c r="AM71" s="346">
        <v>0</v>
      </c>
      <c r="AN71" s="346">
        <v>0</v>
      </c>
      <c r="AO71" s="346">
        <v>0</v>
      </c>
      <c r="AP71" s="346">
        <v>0</v>
      </c>
      <c r="AQ71" s="346">
        <v>0</v>
      </c>
      <c r="AR71" s="346">
        <v>0</v>
      </c>
      <c r="AS71" s="346">
        <v>92608376</v>
      </c>
      <c r="AT71" s="346">
        <v>0</v>
      </c>
      <c r="AU71" s="329">
        <f t="shared" si="3"/>
        <v>92608376</v>
      </c>
      <c r="AV71" s="330">
        <f t="shared" si="4"/>
        <v>0</v>
      </c>
      <c r="AW71" s="331"/>
      <c r="AX71" s="331">
        <f>AU71</f>
        <v>92608376</v>
      </c>
      <c r="AY71" s="331">
        <v>0</v>
      </c>
      <c r="AZ71" s="331">
        <v>0</v>
      </c>
      <c r="BA71" s="331">
        <v>0</v>
      </c>
      <c r="BB71" s="332">
        <f t="shared" si="6"/>
        <v>92608376</v>
      </c>
    </row>
    <row r="72" spans="1:54" s="267" customFormat="1" hidden="1">
      <c r="A72" s="257" t="s">
        <v>412</v>
      </c>
      <c r="B72" s="258" t="s">
        <v>413</v>
      </c>
      <c r="C72" s="258" t="s">
        <v>413</v>
      </c>
      <c r="D72" s="258">
        <v>952</v>
      </c>
      <c r="E72" s="258">
        <v>931</v>
      </c>
      <c r="F72" s="259">
        <v>7673</v>
      </c>
      <c r="G72" s="257" t="s">
        <v>414</v>
      </c>
      <c r="H72" s="257" t="s">
        <v>580</v>
      </c>
      <c r="I72" s="257" t="s">
        <v>492</v>
      </c>
      <c r="J72" s="257" t="s">
        <v>417</v>
      </c>
      <c r="K72" s="257" t="s">
        <v>418</v>
      </c>
      <c r="L72" s="257" t="s">
        <v>419</v>
      </c>
      <c r="M72" s="257" t="s">
        <v>420</v>
      </c>
      <c r="N72" s="257" t="s">
        <v>421</v>
      </c>
      <c r="O72" s="257" t="s">
        <v>447</v>
      </c>
      <c r="P72" s="257" t="s">
        <v>581</v>
      </c>
      <c r="Q72" s="260">
        <v>1</v>
      </c>
      <c r="R72" s="257" t="s">
        <v>582</v>
      </c>
      <c r="S72" s="257" t="s">
        <v>583</v>
      </c>
      <c r="T72" s="257">
        <v>93141501</v>
      </c>
      <c r="U72" s="257" t="s">
        <v>584</v>
      </c>
      <c r="V72" s="258">
        <v>3</v>
      </c>
      <c r="W72" s="258">
        <v>7</v>
      </c>
      <c r="X72" s="258">
        <v>210</v>
      </c>
      <c r="Y72" s="270" t="s">
        <v>427</v>
      </c>
      <c r="Z72" s="261" t="s">
        <v>585</v>
      </c>
      <c r="AA72" s="273">
        <v>1076000000</v>
      </c>
      <c r="AB72" s="262">
        <v>153714285.714286</v>
      </c>
      <c r="AC72" s="261" t="s">
        <v>586</v>
      </c>
      <c r="AD72" s="274" t="s">
        <v>451</v>
      </c>
      <c r="AE72" s="275"/>
      <c r="AF72" s="264"/>
      <c r="AG72" s="266"/>
      <c r="AH72" s="265"/>
      <c r="AI72" s="343">
        <v>0</v>
      </c>
      <c r="AJ72" s="343">
        <v>0</v>
      </c>
      <c r="AK72" s="343">
        <v>0</v>
      </c>
      <c r="AL72" s="343">
        <v>0</v>
      </c>
      <c r="AM72" s="344">
        <v>0</v>
      </c>
      <c r="AN72" s="344">
        <v>153714285.7142857</v>
      </c>
      <c r="AO72" s="344">
        <v>153714285.7142857</v>
      </c>
      <c r="AP72" s="344">
        <v>153714285.7142857</v>
      </c>
      <c r="AQ72" s="344">
        <v>153714285.7142857</v>
      </c>
      <c r="AR72" s="344">
        <v>153714285.7142857</v>
      </c>
      <c r="AS72" s="344">
        <v>153714285.7142857</v>
      </c>
      <c r="AT72" s="344">
        <v>153714285.7142857</v>
      </c>
      <c r="AU72" s="310">
        <f t="shared" ref="AU72:AU75" si="31">SUM(AI72:AT72)</f>
        <v>1076000000</v>
      </c>
      <c r="AV72" s="290">
        <f t="shared" ref="AV72:AV74" si="32">+AU72-AA72</f>
        <v>0</v>
      </c>
      <c r="AW72" s="288"/>
      <c r="AX72" s="288">
        <v>0</v>
      </c>
      <c r="AY72" s="288">
        <v>0</v>
      </c>
      <c r="AZ72" s="288">
        <v>0</v>
      </c>
      <c r="BA72" s="288">
        <f>AU72</f>
        <v>1076000000</v>
      </c>
      <c r="BB72" s="289">
        <f t="shared" ref="BB72:BB75" si="33">SUM(AX72:BA72)</f>
        <v>1076000000</v>
      </c>
    </row>
    <row r="73" spans="1:54" hidden="1">
      <c r="A73" s="223" t="s">
        <v>412</v>
      </c>
      <c r="B73" s="224" t="s">
        <v>413</v>
      </c>
      <c r="C73" s="224" t="s">
        <v>413</v>
      </c>
      <c r="D73" s="224">
        <v>953</v>
      </c>
      <c r="E73" s="224">
        <v>958</v>
      </c>
      <c r="F73" s="226">
        <v>7673</v>
      </c>
      <c r="G73" s="223" t="s">
        <v>414</v>
      </c>
      <c r="H73" s="223" t="s">
        <v>580</v>
      </c>
      <c r="I73" s="223" t="s">
        <v>416</v>
      </c>
      <c r="J73" s="223" t="s">
        <v>417</v>
      </c>
      <c r="K73" s="223" t="s">
        <v>418</v>
      </c>
      <c r="L73" s="223" t="s">
        <v>419</v>
      </c>
      <c r="M73" s="223" t="s">
        <v>420</v>
      </c>
      <c r="N73" s="223" t="s">
        <v>421</v>
      </c>
      <c r="O73" s="223" t="s">
        <v>447</v>
      </c>
      <c r="P73" s="223" t="s">
        <v>581</v>
      </c>
      <c r="Q73" s="227">
        <v>1</v>
      </c>
      <c r="R73" s="223" t="s">
        <v>424</v>
      </c>
      <c r="S73" s="223" t="s">
        <v>425</v>
      </c>
      <c r="T73" s="223">
        <v>80111620</v>
      </c>
      <c r="U73" s="223" t="s">
        <v>587</v>
      </c>
      <c r="V73" s="224">
        <v>1</v>
      </c>
      <c r="W73" s="224">
        <v>1</v>
      </c>
      <c r="X73" s="224">
        <v>330</v>
      </c>
      <c r="Y73" s="244" t="s">
        <v>427</v>
      </c>
      <c r="Z73" s="230" t="s">
        <v>585</v>
      </c>
      <c r="AA73" s="245">
        <v>77000000</v>
      </c>
      <c r="AB73" s="231">
        <v>7000000</v>
      </c>
      <c r="AC73" s="246" t="s">
        <v>588</v>
      </c>
      <c r="AD73" s="246" t="s">
        <v>451</v>
      </c>
      <c r="AE73" s="232"/>
      <c r="AF73" s="233"/>
      <c r="AG73" s="235"/>
      <c r="AH73" s="235"/>
      <c r="AI73" s="342">
        <f t="shared" ref="AI73:AI75" si="34">AB73/30*10</f>
        <v>2333333.3333333335</v>
      </c>
      <c r="AJ73" s="342">
        <f t="shared" ref="AJ73:AJ75" si="35">AB73</f>
        <v>7000000</v>
      </c>
      <c r="AK73" s="342">
        <v>7000000</v>
      </c>
      <c r="AL73" s="342">
        <v>7000000</v>
      </c>
      <c r="AM73" s="312">
        <v>7000000</v>
      </c>
      <c r="AN73" s="312">
        <v>7000000</v>
      </c>
      <c r="AO73" s="312">
        <v>7000000</v>
      </c>
      <c r="AP73" s="312">
        <v>7000000</v>
      </c>
      <c r="AQ73" s="312">
        <v>7000000</v>
      </c>
      <c r="AR73" s="312">
        <v>7000000</v>
      </c>
      <c r="AS73" s="312">
        <v>7000000</v>
      </c>
      <c r="AT73" s="312">
        <f t="shared" ref="AT73:AT75" si="36">AB73/30*20</f>
        <v>4666666.666666667</v>
      </c>
      <c r="AU73" s="309">
        <f t="shared" si="31"/>
        <v>77000000.000000015</v>
      </c>
      <c r="AV73" s="286">
        <f t="shared" si="32"/>
        <v>0</v>
      </c>
      <c r="AX73" s="283">
        <v>0</v>
      </c>
      <c r="AY73" s="283">
        <v>0</v>
      </c>
      <c r="AZ73" s="283">
        <v>0</v>
      </c>
      <c r="BA73" s="283">
        <f>AU73</f>
        <v>77000000.000000015</v>
      </c>
      <c r="BB73" s="282">
        <f t="shared" si="33"/>
        <v>77000000.000000015</v>
      </c>
    </row>
    <row r="74" spans="1:54" hidden="1">
      <c r="A74" s="223" t="s">
        <v>589</v>
      </c>
      <c r="B74" s="224" t="s">
        <v>413</v>
      </c>
      <c r="C74" s="224" t="s">
        <v>413</v>
      </c>
      <c r="D74" s="224"/>
      <c r="E74" s="224">
        <v>959</v>
      </c>
      <c r="F74" s="226">
        <v>7673</v>
      </c>
      <c r="G74" s="223" t="s">
        <v>414</v>
      </c>
      <c r="H74" s="223" t="s">
        <v>580</v>
      </c>
      <c r="I74" s="223" t="s">
        <v>416</v>
      </c>
      <c r="J74" s="223" t="s">
        <v>417</v>
      </c>
      <c r="K74" s="223" t="s">
        <v>418</v>
      </c>
      <c r="L74" s="223" t="s">
        <v>419</v>
      </c>
      <c r="M74" s="223" t="s">
        <v>420</v>
      </c>
      <c r="N74" s="223" t="s">
        <v>421</v>
      </c>
      <c r="O74" s="223" t="s">
        <v>447</v>
      </c>
      <c r="P74" s="223" t="s">
        <v>581</v>
      </c>
      <c r="Q74" s="227">
        <v>1</v>
      </c>
      <c r="R74" s="223" t="s">
        <v>424</v>
      </c>
      <c r="S74" s="223" t="s">
        <v>425</v>
      </c>
      <c r="T74" s="223">
        <v>80111620</v>
      </c>
      <c r="U74" s="223" t="s">
        <v>590</v>
      </c>
      <c r="V74" s="224">
        <v>1</v>
      </c>
      <c r="W74" s="224">
        <v>1</v>
      </c>
      <c r="X74" s="224">
        <v>330</v>
      </c>
      <c r="Y74" s="244" t="s">
        <v>427</v>
      </c>
      <c r="Z74" s="230" t="s">
        <v>585</v>
      </c>
      <c r="AA74" s="245">
        <v>77000000</v>
      </c>
      <c r="AB74" s="231">
        <v>7000000</v>
      </c>
      <c r="AC74" s="246" t="s">
        <v>591</v>
      </c>
      <c r="AD74" s="246" t="s">
        <v>451</v>
      </c>
      <c r="AE74" s="232"/>
      <c r="AF74" s="233"/>
      <c r="AG74" s="235"/>
      <c r="AH74" s="235"/>
      <c r="AI74" s="342">
        <f t="shared" si="34"/>
        <v>2333333.3333333335</v>
      </c>
      <c r="AJ74" s="342">
        <f t="shared" si="35"/>
        <v>7000000</v>
      </c>
      <c r="AK74" s="342">
        <v>7000000</v>
      </c>
      <c r="AL74" s="342">
        <v>7000000</v>
      </c>
      <c r="AM74" s="312">
        <v>7000000</v>
      </c>
      <c r="AN74" s="312">
        <v>7000000</v>
      </c>
      <c r="AO74" s="312">
        <v>7000000</v>
      </c>
      <c r="AP74" s="312">
        <v>7000000</v>
      </c>
      <c r="AQ74" s="312">
        <v>7000000</v>
      </c>
      <c r="AR74" s="312">
        <v>7000000</v>
      </c>
      <c r="AS74" s="312">
        <v>7000000</v>
      </c>
      <c r="AT74" s="312">
        <f t="shared" si="36"/>
        <v>4666666.666666667</v>
      </c>
      <c r="AU74" s="309">
        <f t="shared" si="31"/>
        <v>77000000.000000015</v>
      </c>
      <c r="AV74" s="286">
        <f t="shared" si="32"/>
        <v>0</v>
      </c>
      <c r="AX74" s="283">
        <v>0</v>
      </c>
      <c r="AY74" s="283">
        <v>0</v>
      </c>
      <c r="AZ74" s="283">
        <v>0</v>
      </c>
      <c r="BA74" s="283">
        <f>AU74</f>
        <v>77000000.000000015</v>
      </c>
      <c r="BB74" s="282">
        <f t="shared" si="33"/>
        <v>77000000.000000015</v>
      </c>
    </row>
    <row r="75" spans="1:54">
      <c r="A75" s="247" t="s">
        <v>412</v>
      </c>
      <c r="B75" s="248" t="s">
        <v>413</v>
      </c>
      <c r="C75" s="248" t="s">
        <v>592</v>
      </c>
      <c r="D75" s="248" t="s">
        <v>593</v>
      </c>
      <c r="E75" s="225" t="s">
        <v>594</v>
      </c>
      <c r="F75" s="249">
        <v>7673</v>
      </c>
      <c r="G75" s="247" t="s">
        <v>414</v>
      </c>
      <c r="H75" s="247" t="s">
        <v>595</v>
      </c>
      <c r="I75" s="247" t="s">
        <v>492</v>
      </c>
      <c r="J75" s="247" t="s">
        <v>417</v>
      </c>
      <c r="K75" s="247" t="s">
        <v>418</v>
      </c>
      <c r="L75" s="247" t="s">
        <v>419</v>
      </c>
      <c r="M75" s="247" t="s">
        <v>420</v>
      </c>
      <c r="N75" s="247" t="s">
        <v>421</v>
      </c>
      <c r="O75" s="247" t="s">
        <v>596</v>
      </c>
      <c r="P75" s="247" t="s">
        <v>423</v>
      </c>
      <c r="Q75" s="250">
        <v>0.33</v>
      </c>
      <c r="R75" s="247" t="s">
        <v>597</v>
      </c>
      <c r="S75" s="247" t="s">
        <v>598</v>
      </c>
      <c r="T75" s="251" t="s">
        <v>145</v>
      </c>
      <c r="U75" s="252" t="s">
        <v>599</v>
      </c>
      <c r="V75" s="248" t="s">
        <v>145</v>
      </c>
      <c r="W75" s="248" t="s">
        <v>145</v>
      </c>
      <c r="X75" s="248" t="s">
        <v>145</v>
      </c>
      <c r="Y75" s="247" t="s">
        <v>600</v>
      </c>
      <c r="Z75" s="253" t="s">
        <v>601</v>
      </c>
      <c r="AA75" s="370">
        <f>150000000*33%</f>
        <v>49500000</v>
      </c>
      <c r="AB75" s="255"/>
      <c r="AC75" s="256"/>
      <c r="AD75" s="256" t="s">
        <v>602</v>
      </c>
      <c r="AE75" s="236"/>
      <c r="AF75" s="233"/>
      <c r="AG75" s="236"/>
      <c r="AH75" s="285"/>
      <c r="AI75" s="342">
        <f t="shared" si="34"/>
        <v>0</v>
      </c>
      <c r="AJ75" s="342">
        <f t="shared" si="35"/>
        <v>0</v>
      </c>
      <c r="AK75" s="350">
        <v>0</v>
      </c>
      <c r="AL75" s="350">
        <v>0</v>
      </c>
      <c r="AM75" s="312">
        <v>0</v>
      </c>
      <c r="AN75" s="312">
        <f>50000000*33%</f>
        <v>16500000</v>
      </c>
      <c r="AO75" s="312">
        <v>0</v>
      </c>
      <c r="AP75" s="312">
        <f>50000000*33%</f>
        <v>16500000</v>
      </c>
      <c r="AQ75" s="312">
        <v>0</v>
      </c>
      <c r="AR75" s="312">
        <f>50000000*33%</f>
        <v>16500000</v>
      </c>
      <c r="AS75" s="312">
        <v>0</v>
      </c>
      <c r="AT75" s="312">
        <f t="shared" si="36"/>
        <v>0</v>
      </c>
      <c r="AU75" s="309">
        <f t="shared" si="31"/>
        <v>49500000</v>
      </c>
      <c r="AV75" s="286">
        <f>+AU75-AA75</f>
        <v>0</v>
      </c>
      <c r="AX75" s="283">
        <f>AU75*33%</f>
        <v>16335000</v>
      </c>
      <c r="AY75" s="283">
        <v>0</v>
      </c>
      <c r="AZ75" s="283">
        <f>AU75*67%</f>
        <v>33165000.000000004</v>
      </c>
      <c r="BA75" s="283">
        <v>0</v>
      </c>
      <c r="BB75" s="282">
        <f t="shared" si="33"/>
        <v>49500000</v>
      </c>
    </row>
    <row r="76" spans="1:54" hidden="1">
      <c r="A76" s="247" t="s">
        <v>412</v>
      </c>
      <c r="B76" s="248" t="s">
        <v>413</v>
      </c>
      <c r="C76" s="248" t="s">
        <v>592</v>
      </c>
      <c r="D76" s="248" t="s">
        <v>593</v>
      </c>
      <c r="E76" s="225" t="s">
        <v>594</v>
      </c>
      <c r="F76" s="249">
        <v>7673</v>
      </c>
      <c r="G76" s="247" t="s">
        <v>414</v>
      </c>
      <c r="H76" s="247" t="s">
        <v>595</v>
      </c>
      <c r="I76" s="247" t="s">
        <v>492</v>
      </c>
      <c r="J76" s="247" t="s">
        <v>417</v>
      </c>
      <c r="K76" s="247" t="s">
        <v>418</v>
      </c>
      <c r="L76" s="247" t="s">
        <v>419</v>
      </c>
      <c r="M76" s="247" t="s">
        <v>420</v>
      </c>
      <c r="N76" s="247" t="s">
        <v>421</v>
      </c>
      <c r="O76" s="247" t="s">
        <v>596</v>
      </c>
      <c r="P76" s="247" t="s">
        <v>448</v>
      </c>
      <c r="Q76" s="250">
        <v>0.67</v>
      </c>
      <c r="R76" s="247" t="s">
        <v>597</v>
      </c>
      <c r="S76" s="247" t="s">
        <v>598</v>
      </c>
      <c r="T76" s="251" t="s">
        <v>145</v>
      </c>
      <c r="U76" s="252" t="s">
        <v>599</v>
      </c>
      <c r="V76" s="248" t="s">
        <v>145</v>
      </c>
      <c r="W76" s="248" t="s">
        <v>145</v>
      </c>
      <c r="X76" s="248" t="s">
        <v>145</v>
      </c>
      <c r="Y76" s="247" t="s">
        <v>600</v>
      </c>
      <c r="Z76" s="253" t="s">
        <v>601</v>
      </c>
      <c r="AA76" s="254">
        <f>150000000*67%</f>
        <v>100500000</v>
      </c>
      <c r="AB76" s="255"/>
      <c r="AC76" s="256"/>
      <c r="AD76" s="256" t="s">
        <v>602</v>
      </c>
      <c r="AE76" s="236"/>
      <c r="AF76" s="233"/>
      <c r="AG76" s="236"/>
      <c r="AH76" s="236"/>
      <c r="AI76" s="342">
        <f t="shared" ref="AI76" si="37">AB76/30*10</f>
        <v>0</v>
      </c>
      <c r="AJ76" s="342">
        <f t="shared" ref="AJ76" si="38">AB76</f>
        <v>0</v>
      </c>
      <c r="AK76" s="350">
        <v>0</v>
      </c>
      <c r="AL76" s="350">
        <v>0</v>
      </c>
      <c r="AM76" s="312">
        <v>0</v>
      </c>
      <c r="AN76" s="312">
        <f>50000000*67%</f>
        <v>33500000.000000004</v>
      </c>
      <c r="AO76" s="312">
        <v>0</v>
      </c>
      <c r="AP76" s="312">
        <f>50000000*67%</f>
        <v>33500000.000000004</v>
      </c>
      <c r="AQ76" s="312">
        <v>0</v>
      </c>
      <c r="AR76" s="312">
        <f>50000000*67%</f>
        <v>33500000.000000004</v>
      </c>
      <c r="AS76" s="312">
        <v>0</v>
      </c>
      <c r="AT76" s="312">
        <f t="shared" ref="AT76" si="39">AB76/30*20</f>
        <v>0</v>
      </c>
      <c r="AU76" s="309">
        <f t="shared" ref="AU76:AU77" si="40">SUM(AI76:AT76)</f>
        <v>100500000.00000001</v>
      </c>
      <c r="AV76" s="286">
        <f>+AU76-AA76</f>
        <v>0</v>
      </c>
      <c r="AX76" s="283">
        <f>AU76*33%</f>
        <v>33165000.000000007</v>
      </c>
      <c r="AY76" s="283">
        <v>0</v>
      </c>
      <c r="AZ76" s="283">
        <f>AU76*67%</f>
        <v>67335000.000000015</v>
      </c>
      <c r="BA76" s="283">
        <v>0</v>
      </c>
      <c r="BB76" s="282">
        <f t="shared" ref="BB76:BB77" si="41">SUM(AX76:BA76)</f>
        <v>100500000.00000003</v>
      </c>
    </row>
    <row r="77" spans="1:54" s="276" customFormat="1">
      <c r="A77"/>
      <c r="B77"/>
      <c r="C77"/>
      <c r="D77"/>
      <c r="E77"/>
      <c r="F77"/>
      <c r="G77"/>
      <c r="H77"/>
      <c r="I77"/>
      <c r="J77"/>
      <c r="K77"/>
      <c r="L77"/>
      <c r="M77"/>
      <c r="N77"/>
      <c r="O77"/>
      <c r="P77" s="247" t="s">
        <v>423</v>
      </c>
      <c r="Q77" s="338">
        <v>1</v>
      </c>
      <c r="R77"/>
      <c r="S77"/>
      <c r="T77"/>
      <c r="U77"/>
      <c r="V77"/>
      <c r="W77"/>
      <c r="X77"/>
      <c r="Y77"/>
      <c r="Z77"/>
      <c r="AA77" s="371">
        <v>14783248</v>
      </c>
      <c r="AC77" s="339" t="s">
        <v>603</v>
      </c>
      <c r="AD77"/>
      <c r="AE77"/>
      <c r="AF77"/>
      <c r="AG77"/>
      <c r="AH77"/>
      <c r="AI77" s="312">
        <v>0</v>
      </c>
      <c r="AJ77" s="312">
        <v>0</v>
      </c>
      <c r="AK77" s="312">
        <v>0</v>
      </c>
      <c r="AL77" s="312">
        <v>0</v>
      </c>
      <c r="AM77" s="312">
        <v>0</v>
      </c>
      <c r="AN77" s="312">
        <v>0</v>
      </c>
      <c r="AO77" s="312">
        <v>0</v>
      </c>
      <c r="AP77" s="312">
        <v>0</v>
      </c>
      <c r="AQ77" s="312">
        <v>14783248</v>
      </c>
      <c r="AR77" s="312">
        <v>0</v>
      </c>
      <c r="AS77" s="312">
        <v>0</v>
      </c>
      <c r="AT77" s="312">
        <v>0</v>
      </c>
      <c r="AU77" s="309">
        <f t="shared" si="40"/>
        <v>14783248</v>
      </c>
      <c r="AV77" s="282"/>
      <c r="AW77" s="282"/>
      <c r="AX77" s="312">
        <f>+AU77</f>
        <v>14783248</v>
      </c>
      <c r="AY77" s="283">
        <v>0</v>
      </c>
      <c r="AZ77" s="283">
        <v>0</v>
      </c>
      <c r="BA77" s="283">
        <v>0</v>
      </c>
      <c r="BB77" s="282">
        <f t="shared" si="41"/>
        <v>14783248</v>
      </c>
    </row>
    <row r="78" spans="1:54" s="276" customFormat="1" hidden="1">
      <c r="A78"/>
      <c r="B78"/>
      <c r="C78"/>
      <c r="D78"/>
      <c r="E78"/>
      <c r="F78"/>
      <c r="G78"/>
      <c r="H78"/>
      <c r="I78"/>
      <c r="J78"/>
      <c r="K78"/>
      <c r="L78"/>
      <c r="M78"/>
      <c r="N78"/>
      <c r="O78"/>
      <c r="P78" s="341"/>
      <c r="Q78" s="338"/>
      <c r="R78"/>
      <c r="S78"/>
      <c r="T78"/>
      <c r="U78"/>
      <c r="V78"/>
      <c r="W78"/>
      <c r="X78"/>
      <c r="Y78"/>
      <c r="Z78"/>
      <c r="AA78" s="340">
        <f>SUM(AA2:AA77)</f>
        <v>5425259000</v>
      </c>
      <c r="AC78" s="339"/>
      <c r="AD78"/>
      <c r="AE78"/>
      <c r="AF78"/>
      <c r="AG78"/>
      <c r="AH78"/>
      <c r="AI78" s="354">
        <f>SUM(AI2:AI77)</f>
        <v>144889000.00000006</v>
      </c>
      <c r="AJ78" s="354">
        <f t="shared" ref="AJ78:AT78" si="42">SUM(AJ2:AJ77)</f>
        <v>316828333.33333337</v>
      </c>
      <c r="AK78" s="354">
        <f t="shared" si="42"/>
        <v>316828333.33333337</v>
      </c>
      <c r="AL78" s="354">
        <f t="shared" si="42"/>
        <v>316828333.33333337</v>
      </c>
      <c r="AM78" s="354">
        <f t="shared" si="42"/>
        <v>317515833.33333337</v>
      </c>
      <c r="AN78" s="354">
        <f t="shared" si="42"/>
        <v>552017333.33333337</v>
      </c>
      <c r="AO78" s="354">
        <f t="shared" si="42"/>
        <v>507109000</v>
      </c>
      <c r="AP78" s="354">
        <f t="shared" si="42"/>
        <v>631013600</v>
      </c>
      <c r="AQ78" s="354">
        <f t="shared" si="42"/>
        <v>521892248</v>
      </c>
      <c r="AR78" s="354">
        <f t="shared" si="42"/>
        <v>705145826</v>
      </c>
      <c r="AS78" s="354">
        <f t="shared" si="42"/>
        <v>605256376</v>
      </c>
      <c r="AT78" s="354">
        <f t="shared" si="42"/>
        <v>489934783.33333349</v>
      </c>
      <c r="AU78" s="354">
        <f>SUM(AI78:AT78)</f>
        <v>5425259000</v>
      </c>
      <c r="AV78" s="282"/>
      <c r="AW78" s="282"/>
      <c r="AX78" s="283"/>
      <c r="AY78" s="283"/>
      <c r="AZ78" s="283"/>
      <c r="BA78" s="283"/>
      <c r="BB78" s="317">
        <f>SUM(BB2:BB77)</f>
        <v>5425259000</v>
      </c>
    </row>
    <row r="79" spans="1:54">
      <c r="AI79" s="355" t="s">
        <v>62</v>
      </c>
      <c r="AJ79" s="355" t="s">
        <v>63</v>
      </c>
      <c r="AK79" s="355" t="s">
        <v>398</v>
      </c>
      <c r="AL79" s="355" t="s">
        <v>399</v>
      </c>
      <c r="AM79" s="355" t="s">
        <v>400</v>
      </c>
      <c r="AN79" s="355" t="s">
        <v>401</v>
      </c>
      <c r="AO79" s="355" t="s">
        <v>402</v>
      </c>
      <c r="AP79" s="355" t="s">
        <v>403</v>
      </c>
      <c r="AQ79" s="355" t="s">
        <v>404</v>
      </c>
      <c r="AR79" s="355" t="s">
        <v>405</v>
      </c>
      <c r="AS79" s="355" t="s">
        <v>406</v>
      </c>
      <c r="AT79" s="355" t="s">
        <v>407</v>
      </c>
      <c r="AU79" s="354"/>
    </row>
    <row r="80" spans="1:54">
      <c r="AH80" s="283" t="s">
        <v>408</v>
      </c>
      <c r="AI80" s="308">
        <f>+AI2+AI3+AI4+AI5+AI6+AI7+AI8+AI9+AI10+AI11+AI12+AI13+AI14+AI15+AI16+AI17+AI18+AI19+AI20+AI21+AI22+AI23+AI24+AI25+AI26+AI27+AI28+AI29+AI30+AI31+AI53+AI54+AI56+AI57+AI59+AI61+AI63+AI64+AI65+AI67+AI69+AI71+AI75+AI77</f>
        <v>93098268.096666679</v>
      </c>
      <c r="AJ80" s="308">
        <f t="shared" ref="AJ80:AT80" si="43">+AJ2+AJ3+AJ4+AJ5+AJ6+AJ7+AJ8+AJ9+AJ10+AJ11+AJ12+AJ13+AJ14+AJ15+AJ16+AJ17+AJ18+AJ19+AJ20+AJ21+AJ22+AJ23+AJ24+AJ25+AJ26+AJ27+AJ28+AJ29+AJ30+AJ31+AJ53+AJ54+AJ56+AJ57+AJ59+AJ61+AJ63+AJ64+AJ65+AJ67+AJ69+AJ71+AJ75+AJ77</f>
        <v>167652934.76333335</v>
      </c>
      <c r="AK80" s="308">
        <f t="shared" si="43"/>
        <v>167652934.76333335</v>
      </c>
      <c r="AL80" s="308">
        <f t="shared" si="43"/>
        <v>167652934.76333335</v>
      </c>
      <c r="AM80" s="308">
        <f t="shared" si="43"/>
        <v>168278559.76333335</v>
      </c>
      <c r="AN80" s="308">
        <f t="shared" si="43"/>
        <v>213550774.04904768</v>
      </c>
      <c r="AO80" s="308">
        <f t="shared" si="43"/>
        <v>202142440.71571437</v>
      </c>
      <c r="AP80" s="308">
        <f t="shared" si="43"/>
        <v>218642440.71571437</v>
      </c>
      <c r="AQ80" s="308">
        <f t="shared" si="43"/>
        <v>216925688.71571437</v>
      </c>
      <c r="AR80" s="308">
        <f t="shared" si="43"/>
        <v>311250816.71571434</v>
      </c>
      <c r="AS80" s="308">
        <f t="shared" si="43"/>
        <v>300289816.71571434</v>
      </c>
      <c r="AT80" s="308">
        <f t="shared" si="43"/>
        <v>174733177.38238099</v>
      </c>
      <c r="AU80" s="311">
        <f>SUM(AI80:AT80)</f>
        <v>2401870787.1600008</v>
      </c>
      <c r="AV80" s="308">
        <v>2501937000</v>
      </c>
      <c r="AW80" s="313">
        <f>+AV80-AU80</f>
        <v>100066212.8399992</v>
      </c>
      <c r="AX80" s="308"/>
      <c r="AY80" s="308"/>
    </row>
    <row r="81" spans="1:51">
      <c r="AA81" s="353">
        <f>SUM(AA2:AA52)+AA73+AA74</f>
        <v>2997679000</v>
      </c>
      <c r="AH81" s="283" t="s">
        <v>409</v>
      </c>
      <c r="AI81" s="308">
        <f>+AI55</f>
        <v>0</v>
      </c>
      <c r="AJ81" s="308">
        <f t="shared" ref="AJ81:AT81" si="44">+AJ55</f>
        <v>0</v>
      </c>
      <c r="AK81" s="308">
        <f t="shared" si="44"/>
        <v>0</v>
      </c>
      <c r="AL81" s="308">
        <f t="shared" si="44"/>
        <v>0</v>
      </c>
      <c r="AM81" s="308">
        <f t="shared" si="44"/>
        <v>0</v>
      </c>
      <c r="AN81" s="308">
        <f t="shared" si="44"/>
        <v>0</v>
      </c>
      <c r="AO81" s="308">
        <f t="shared" si="44"/>
        <v>0</v>
      </c>
      <c r="AP81" s="308">
        <f t="shared" si="44"/>
        <v>73904600</v>
      </c>
      <c r="AQ81" s="308">
        <f t="shared" si="44"/>
        <v>0</v>
      </c>
      <c r="AR81" s="308">
        <f t="shared" si="44"/>
        <v>55428450</v>
      </c>
      <c r="AS81" s="308">
        <f t="shared" si="44"/>
        <v>0</v>
      </c>
      <c r="AT81" s="308">
        <f t="shared" si="44"/>
        <v>55428450</v>
      </c>
      <c r="AU81" s="311">
        <f t="shared" ref="AU81:AU83" si="45">SUM(AI81:AT81)</f>
        <v>184761500</v>
      </c>
      <c r="AV81" s="308">
        <v>184762000</v>
      </c>
      <c r="AW81" s="313">
        <f>+AV81-AU81</f>
        <v>500</v>
      </c>
      <c r="AX81" s="308"/>
      <c r="AY81" s="308"/>
    </row>
    <row r="82" spans="1:51">
      <c r="AH82" s="283" t="s">
        <v>410</v>
      </c>
      <c r="AI82" s="308">
        <f>+AI32+AI33+AI34+AI35+AI36+AI37+AI38+AI39+AI40+AI41+AI42+AI43+AI44+AI45+AI46+AI47+AI48+AI49+AI50+AI51+AI52+AI58+AI60+AI62+AI66+AI68+AI70+AI76</f>
        <v>47124065.236666664</v>
      </c>
      <c r="AJ82" s="308">
        <f t="shared" ref="AJ82:AT82" si="46">+AJ32+AJ33+AJ34+AJ35+AJ36+AJ37+AJ38+AJ39+AJ40+AJ41+AJ42+AJ43+AJ44+AJ45+AJ46+AJ47+AJ48+AJ49+AJ50+AJ51+AJ52+AJ58+AJ60+AJ62+AJ66+AJ68+AJ70+AJ76</f>
        <v>135175398.56999999</v>
      </c>
      <c r="AK82" s="308">
        <f t="shared" si="46"/>
        <v>135175398.56999999</v>
      </c>
      <c r="AL82" s="308">
        <f t="shared" si="46"/>
        <v>135175398.56999999</v>
      </c>
      <c r="AM82" s="308">
        <f t="shared" si="46"/>
        <v>135237273.56999999</v>
      </c>
      <c r="AN82" s="308">
        <f t="shared" si="46"/>
        <v>170752273.56999999</v>
      </c>
      <c r="AO82" s="308">
        <f t="shared" si="46"/>
        <v>137252273.56999999</v>
      </c>
      <c r="AP82" s="308">
        <f t="shared" si="46"/>
        <v>170752273.56999999</v>
      </c>
      <c r="AQ82" s="308">
        <f t="shared" si="46"/>
        <v>137252273.56999999</v>
      </c>
      <c r="AR82" s="308">
        <f t="shared" si="46"/>
        <v>170752273.56999999</v>
      </c>
      <c r="AS82" s="308">
        <f t="shared" si="46"/>
        <v>137252273.56999999</v>
      </c>
      <c r="AT82" s="308">
        <f t="shared" si="46"/>
        <v>96725536.903333321</v>
      </c>
      <c r="AU82" s="311">
        <f t="shared" si="45"/>
        <v>1608626712.8399997</v>
      </c>
      <c r="AV82" s="308">
        <v>1508560000</v>
      </c>
      <c r="AW82" s="313">
        <f>+AV82-AU82</f>
        <v>-100066712.83999968</v>
      </c>
      <c r="AX82" s="308"/>
      <c r="AY82" s="308"/>
    </row>
    <row r="83" spans="1:51">
      <c r="AH83" s="283" t="s">
        <v>411</v>
      </c>
      <c r="AI83" s="308">
        <f>+AI72+AI73+AI74</f>
        <v>4666666.666666667</v>
      </c>
      <c r="AJ83" s="308">
        <f t="shared" ref="AJ83:AT83" si="47">+AJ72+AJ73+AJ74</f>
        <v>14000000</v>
      </c>
      <c r="AK83" s="308">
        <f t="shared" si="47"/>
        <v>14000000</v>
      </c>
      <c r="AL83" s="308">
        <f t="shared" si="47"/>
        <v>14000000</v>
      </c>
      <c r="AM83" s="308">
        <f t="shared" si="47"/>
        <v>14000000</v>
      </c>
      <c r="AN83" s="308">
        <f t="shared" si="47"/>
        <v>167714285.7142857</v>
      </c>
      <c r="AO83" s="308">
        <f t="shared" si="47"/>
        <v>167714285.7142857</v>
      </c>
      <c r="AP83" s="308">
        <f t="shared" si="47"/>
        <v>167714285.7142857</v>
      </c>
      <c r="AQ83" s="308">
        <f t="shared" si="47"/>
        <v>167714285.7142857</v>
      </c>
      <c r="AR83" s="308">
        <f t="shared" si="47"/>
        <v>167714285.7142857</v>
      </c>
      <c r="AS83" s="308">
        <f t="shared" si="47"/>
        <v>167714285.7142857</v>
      </c>
      <c r="AT83" s="308">
        <f t="shared" si="47"/>
        <v>163047619.04761901</v>
      </c>
      <c r="AU83" s="311">
        <f t="shared" si="45"/>
        <v>1230000000</v>
      </c>
      <c r="AV83" s="308">
        <v>1230000000</v>
      </c>
      <c r="AW83" s="313">
        <f>+AV83-AU83</f>
        <v>0</v>
      </c>
      <c r="AX83" s="308"/>
      <c r="AY83" s="308"/>
    </row>
    <row r="85" spans="1:51">
      <c r="A85" s="378" t="s">
        <v>604</v>
      </c>
      <c r="B85" s="379" t="s">
        <v>605</v>
      </c>
      <c r="C85" s="379" t="s">
        <v>606</v>
      </c>
      <c r="D85" s="379" t="s">
        <v>607</v>
      </c>
      <c r="E85" s="379" t="s">
        <v>608</v>
      </c>
      <c r="F85" s="379" t="s">
        <v>609</v>
      </c>
      <c r="G85" s="379" t="s">
        <v>392</v>
      </c>
      <c r="H85" s="379" t="s">
        <v>393</v>
      </c>
      <c r="I85" s="379" t="s">
        <v>610</v>
      </c>
      <c r="J85" s="379" t="s">
        <v>611</v>
      </c>
      <c r="K85" s="380"/>
    </row>
    <row r="86" spans="1:51">
      <c r="A86" s="381" t="s">
        <v>612</v>
      </c>
      <c r="B86" s="381" t="s">
        <v>613</v>
      </c>
      <c r="C86" s="381" t="s">
        <v>614</v>
      </c>
      <c r="D86" s="381" t="s">
        <v>615</v>
      </c>
      <c r="E86" s="381" t="s">
        <v>616</v>
      </c>
      <c r="F86" s="381" t="s">
        <v>617</v>
      </c>
      <c r="G86" s="381" t="s">
        <v>618</v>
      </c>
      <c r="H86" s="381" t="s">
        <v>619</v>
      </c>
      <c r="I86" s="382">
        <v>73200000</v>
      </c>
      <c r="J86" s="382">
        <v>73200000</v>
      </c>
      <c r="K86" s="380"/>
    </row>
    <row r="87" spans="1:51">
      <c r="A87" s="381" t="s">
        <v>501</v>
      </c>
      <c r="B87" s="381" t="s">
        <v>620</v>
      </c>
      <c r="C87" s="381" t="s">
        <v>614</v>
      </c>
      <c r="D87" s="381" t="s">
        <v>615</v>
      </c>
      <c r="E87" s="381" t="s">
        <v>621</v>
      </c>
      <c r="F87" s="381" t="s">
        <v>617</v>
      </c>
      <c r="G87" s="381" t="s">
        <v>622</v>
      </c>
      <c r="H87" s="381" t="s">
        <v>619</v>
      </c>
      <c r="I87" s="382">
        <v>87226500</v>
      </c>
      <c r="J87" s="382">
        <v>87226500</v>
      </c>
      <c r="K87" s="380"/>
    </row>
    <row r="88" spans="1:51">
      <c r="A88" s="381" t="s">
        <v>623</v>
      </c>
      <c r="B88" s="381" t="s">
        <v>624</v>
      </c>
      <c r="C88" s="381" t="s">
        <v>625</v>
      </c>
      <c r="D88" s="381" t="s">
        <v>625</v>
      </c>
      <c r="E88" s="381" t="s">
        <v>626</v>
      </c>
      <c r="F88" s="381" t="s">
        <v>617</v>
      </c>
      <c r="G88" s="381" t="s">
        <v>627</v>
      </c>
      <c r="H88" s="381" t="s">
        <v>619</v>
      </c>
      <c r="I88" s="382">
        <v>1240568013</v>
      </c>
      <c r="J88" s="382">
        <v>1240568013</v>
      </c>
      <c r="K88" s="380"/>
    </row>
    <row r="89" spans="1:51">
      <c r="A89" s="381" t="s">
        <v>518</v>
      </c>
      <c r="B89" s="381" t="s">
        <v>628</v>
      </c>
      <c r="C89" s="381" t="s">
        <v>398</v>
      </c>
      <c r="D89" s="381" t="s">
        <v>625</v>
      </c>
      <c r="E89" s="381" t="s">
        <v>629</v>
      </c>
      <c r="F89" s="381" t="s">
        <v>617</v>
      </c>
      <c r="G89" s="381" t="s">
        <v>622</v>
      </c>
      <c r="H89" s="381" t="s">
        <v>619</v>
      </c>
      <c r="I89" s="382">
        <v>176753000</v>
      </c>
      <c r="J89" s="382">
        <v>176753000</v>
      </c>
      <c r="K89" s="380"/>
    </row>
    <row r="90" spans="1:51">
      <c r="A90" s="381" t="s">
        <v>630</v>
      </c>
      <c r="B90" s="381" t="s">
        <v>631</v>
      </c>
      <c r="C90" s="381" t="s">
        <v>615</v>
      </c>
      <c r="D90" s="381" t="s">
        <v>625</v>
      </c>
      <c r="E90" s="381" t="s">
        <v>621</v>
      </c>
      <c r="F90" s="381" t="s">
        <v>617</v>
      </c>
      <c r="G90" s="381" t="s">
        <v>627</v>
      </c>
      <c r="H90" s="381" t="s">
        <v>619</v>
      </c>
      <c r="I90" s="382">
        <v>1214626088</v>
      </c>
      <c r="J90" s="382">
        <v>1214626088</v>
      </c>
      <c r="K90" s="380"/>
    </row>
    <row r="91" spans="1:51">
      <c r="A91" s="381" t="s">
        <v>535</v>
      </c>
      <c r="B91" s="381" t="s">
        <v>632</v>
      </c>
      <c r="C91" s="381" t="s">
        <v>614</v>
      </c>
      <c r="D91" s="381" t="s">
        <v>614</v>
      </c>
      <c r="E91" s="381" t="s">
        <v>626</v>
      </c>
      <c r="F91" s="381" t="s">
        <v>617</v>
      </c>
      <c r="G91" s="381" t="s">
        <v>618</v>
      </c>
      <c r="H91" s="381" t="s">
        <v>619</v>
      </c>
      <c r="I91" s="382">
        <v>16072165</v>
      </c>
      <c r="J91" s="382">
        <v>16072165</v>
      </c>
      <c r="K91" s="380"/>
    </row>
    <row r="92" spans="1:51">
      <c r="A92" s="381" t="s">
        <v>633</v>
      </c>
      <c r="B92" s="381" t="s">
        <v>634</v>
      </c>
      <c r="C92" s="381" t="s">
        <v>625</v>
      </c>
      <c r="D92" s="381" t="s">
        <v>625</v>
      </c>
      <c r="E92" s="381" t="s">
        <v>626</v>
      </c>
      <c r="F92" s="381" t="s">
        <v>617</v>
      </c>
      <c r="G92" s="381" t="s">
        <v>622</v>
      </c>
      <c r="H92" s="381" t="s">
        <v>619</v>
      </c>
      <c r="I92" s="382">
        <v>50181055</v>
      </c>
      <c r="J92" s="382">
        <v>50181055</v>
      </c>
      <c r="K92" s="380"/>
    </row>
    <row r="93" spans="1:51">
      <c r="A93" s="381" t="s">
        <v>547</v>
      </c>
      <c r="B93" s="381" t="s">
        <v>635</v>
      </c>
      <c r="C93" s="381" t="s">
        <v>625</v>
      </c>
      <c r="D93" s="381" t="s">
        <v>625</v>
      </c>
      <c r="E93" s="381" t="s">
        <v>626</v>
      </c>
      <c r="F93" s="381" t="s">
        <v>617</v>
      </c>
      <c r="G93" s="381" t="s">
        <v>618</v>
      </c>
      <c r="H93" s="381" t="s">
        <v>619</v>
      </c>
      <c r="I93" s="382">
        <v>1376964398</v>
      </c>
      <c r="J93" s="382">
        <v>1376964398</v>
      </c>
      <c r="K93" s="380"/>
    </row>
    <row r="94" spans="1:51">
      <c r="A94" s="381" t="s">
        <v>554</v>
      </c>
      <c r="B94" s="381" t="s">
        <v>636</v>
      </c>
      <c r="C94" s="381" t="s">
        <v>615</v>
      </c>
      <c r="D94" s="381" t="s">
        <v>398</v>
      </c>
      <c r="E94" s="381" t="s">
        <v>637</v>
      </c>
      <c r="F94" s="381" t="s">
        <v>617</v>
      </c>
      <c r="G94" s="381" t="s">
        <v>622</v>
      </c>
      <c r="H94" s="381" t="s">
        <v>619</v>
      </c>
      <c r="I94" s="382">
        <v>24402000</v>
      </c>
      <c r="J94" s="382">
        <v>24402000</v>
      </c>
      <c r="K94" s="380"/>
    </row>
    <row r="95" spans="1:51">
      <c r="A95" s="381" t="s">
        <v>638</v>
      </c>
      <c r="B95" s="381" t="s">
        <v>639</v>
      </c>
      <c r="C95" s="381" t="s">
        <v>625</v>
      </c>
      <c r="D95" s="381" t="s">
        <v>640</v>
      </c>
      <c r="E95" s="381" t="s">
        <v>621</v>
      </c>
      <c r="F95" s="381" t="s">
        <v>617</v>
      </c>
      <c r="G95" s="381" t="s">
        <v>627</v>
      </c>
      <c r="H95" s="381" t="s">
        <v>619</v>
      </c>
      <c r="I95" s="382">
        <v>490322584</v>
      </c>
      <c r="J95" s="382">
        <v>490322584</v>
      </c>
      <c r="K95" s="380"/>
    </row>
    <row r="96" spans="1:51">
      <c r="A96" s="381" t="s">
        <v>570</v>
      </c>
      <c r="B96" s="381" t="s">
        <v>641</v>
      </c>
      <c r="C96" s="381" t="s">
        <v>614</v>
      </c>
      <c r="D96" s="381" t="s">
        <v>614</v>
      </c>
      <c r="E96" s="381" t="s">
        <v>642</v>
      </c>
      <c r="F96" s="381" t="s">
        <v>617</v>
      </c>
      <c r="G96" s="381" t="s">
        <v>618</v>
      </c>
      <c r="H96" s="381" t="s">
        <v>619</v>
      </c>
      <c r="I96" s="382">
        <v>1002549647</v>
      </c>
      <c r="J96" s="382">
        <v>1002549647</v>
      </c>
      <c r="K96" s="380"/>
    </row>
    <row r="97" spans="1:11">
      <c r="A97" s="381" t="s">
        <v>577</v>
      </c>
      <c r="B97" s="381" t="s">
        <v>643</v>
      </c>
      <c r="C97" s="381" t="s">
        <v>644</v>
      </c>
      <c r="D97" s="381" t="s">
        <v>644</v>
      </c>
      <c r="E97" s="381" t="s">
        <v>626</v>
      </c>
      <c r="F97" s="381" t="s">
        <v>617</v>
      </c>
      <c r="G97" s="381" t="s">
        <v>618</v>
      </c>
      <c r="H97" s="381" t="s">
        <v>619</v>
      </c>
      <c r="I97" s="382">
        <v>111567387</v>
      </c>
      <c r="J97" s="382">
        <v>111567387</v>
      </c>
      <c r="K97" s="380"/>
    </row>
    <row r="98" spans="1:11">
      <c r="A98" s="381" t="s">
        <v>645</v>
      </c>
      <c r="B98" s="381" t="s">
        <v>646</v>
      </c>
      <c r="C98" s="381" t="s">
        <v>615</v>
      </c>
      <c r="D98" s="381" t="s">
        <v>625</v>
      </c>
      <c r="E98" s="381" t="s">
        <v>647</v>
      </c>
      <c r="F98" s="381" t="s">
        <v>617</v>
      </c>
      <c r="G98" s="381" t="s">
        <v>627</v>
      </c>
      <c r="H98" s="381" t="s">
        <v>619</v>
      </c>
      <c r="I98" s="382">
        <v>157760500</v>
      </c>
      <c r="J98" s="382">
        <v>157760500</v>
      </c>
      <c r="K98" s="380"/>
    </row>
    <row r="99" spans="1:11">
      <c r="A99" s="381" t="s">
        <v>648</v>
      </c>
      <c r="B99" s="381" t="s">
        <v>649</v>
      </c>
      <c r="C99" s="381" t="s">
        <v>615</v>
      </c>
      <c r="D99" s="381" t="s">
        <v>625</v>
      </c>
      <c r="E99" s="381" t="s">
        <v>626</v>
      </c>
      <c r="F99" s="381" t="s">
        <v>617</v>
      </c>
      <c r="G99" s="381" t="s">
        <v>622</v>
      </c>
      <c r="H99" s="381" t="s">
        <v>619</v>
      </c>
      <c r="I99" s="382">
        <v>92608376</v>
      </c>
      <c r="J99" s="382">
        <v>92608376</v>
      </c>
      <c r="K99" s="380"/>
    </row>
    <row r="100" spans="1:11">
      <c r="A100" s="381" t="s">
        <v>650</v>
      </c>
      <c r="B100" s="381" t="s">
        <v>651</v>
      </c>
      <c r="C100" s="381" t="s">
        <v>398</v>
      </c>
      <c r="D100" s="381" t="s">
        <v>625</v>
      </c>
      <c r="E100" s="381" t="s">
        <v>637</v>
      </c>
      <c r="F100" s="381" t="s">
        <v>617</v>
      </c>
      <c r="G100" s="381" t="s">
        <v>652</v>
      </c>
      <c r="H100" s="381" t="s">
        <v>619</v>
      </c>
      <c r="I100" s="382">
        <v>184761500</v>
      </c>
      <c r="J100" s="382">
        <v>184761500</v>
      </c>
      <c r="K100" s="380"/>
    </row>
    <row r="101" spans="1:11">
      <c r="A101" s="380"/>
      <c r="B101" s="380"/>
      <c r="C101" s="380"/>
      <c r="D101" s="380"/>
      <c r="E101" s="380"/>
      <c r="F101" s="380"/>
      <c r="G101" s="380"/>
      <c r="H101" s="380"/>
      <c r="I101" s="380"/>
      <c r="J101" s="380"/>
      <c r="K101" s="380"/>
    </row>
    <row r="102" spans="1:11">
      <c r="A102" s="380"/>
      <c r="B102" s="380"/>
      <c r="C102" s="380"/>
      <c r="D102" s="380"/>
      <c r="E102" s="380"/>
      <c r="F102" s="380"/>
      <c r="G102" s="380"/>
      <c r="H102" s="380"/>
      <c r="I102" s="380"/>
      <c r="J102" s="380"/>
      <c r="K102" s="380"/>
    </row>
    <row r="103" spans="1:11">
      <c r="A103" s="380"/>
      <c r="B103" s="380"/>
      <c r="C103" s="380"/>
      <c r="D103" s="380"/>
      <c r="E103" s="380"/>
      <c r="F103" s="380"/>
      <c r="G103" s="380"/>
      <c r="H103" s="380"/>
      <c r="I103" s="380"/>
      <c r="J103" s="380"/>
      <c r="K103" s="380"/>
    </row>
    <row r="104" spans="1:11">
      <c r="A104" s="380"/>
      <c r="B104" s="380"/>
      <c r="C104" s="380"/>
      <c r="D104" s="380"/>
      <c r="E104" s="380"/>
      <c r="F104" s="380"/>
      <c r="G104" s="380"/>
      <c r="H104" s="380"/>
      <c r="I104" s="380"/>
      <c r="J104" s="380"/>
      <c r="K104" s="380"/>
    </row>
  </sheetData>
  <autoFilter ref="A1:BB78" xr:uid="{BD30285D-3F4B-47FA-A11D-96046964CD7B}">
    <filterColumn colId="15">
      <filters>
        <filter val="M1. Formar 26.100 mujeres en sus derechos a través de procesos de desarrollo de capacidades en el uso TIC"/>
      </filters>
    </filterColumn>
  </autoFilter>
  <phoneticPr fontId="59" type="noConversion"/>
  <printOptions horizontalCentered="1"/>
  <pageMargins left="0.19685039370078741" right="0.19685039370078741" top="0.19685039370078741" bottom="0.19685039370078741" header="0" footer="0"/>
  <pageSetup scale="21"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D341F55659C9A4985F05E4B957308E7" ma:contentTypeVersion="16" ma:contentTypeDescription="Crear nuevo documento." ma:contentTypeScope="" ma:versionID="1826004696ec8555fdb6054fb0a8d013">
  <xsd:schema xmlns:xsd="http://www.w3.org/2001/XMLSchema" xmlns:xs="http://www.w3.org/2001/XMLSchema" xmlns:p="http://schemas.microsoft.com/office/2006/metadata/properties" xmlns:ns2="bfb5676e-0d71-42df-8fc5-13002709b90b" xmlns:ns3="f5e60779-6af5-4dde-a1c8-ebb5582c629e" targetNamespace="http://schemas.microsoft.com/office/2006/metadata/properties" ma:root="true" ma:fieldsID="f3e60601b6c7acb4181a2aa73b9ac79a" ns2:_="" ns3:_="">
    <xsd:import namespace="bfb5676e-0d71-42df-8fc5-13002709b90b"/>
    <xsd:import namespace="f5e60779-6af5-4dde-a1c8-ebb5582c629e"/>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b5676e-0d71-42df-8fc5-13002709b9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e60779-6af5-4dde-a1c8-ebb5582c629e"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6691ca9c-6b0b-4471-b295-8a95b19cc813}" ma:internalName="TaxCatchAll" ma:showField="CatchAllData" ma:web="f5e60779-6af5-4dde-a1c8-ebb5582c62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5e60779-6af5-4dde-a1c8-ebb5582c629e" xsi:nil="true"/>
    <lcf76f155ced4ddcb4097134ff3c332f xmlns="bfb5676e-0d71-42df-8fc5-13002709b90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2.xml><?xml version="1.0" encoding="utf-8"?>
<ds:datastoreItem xmlns:ds="http://schemas.openxmlformats.org/officeDocument/2006/customXml" ds:itemID="{85B55B14-8D01-4534-A42B-42549DF55E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b5676e-0d71-42df-8fc5-13002709b90b"/>
    <ds:schemaRef ds:uri="f5e60779-6af5-4dde-a1c8-ebb5582c62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B01EBC-CDAB-4356-8BBC-1C4D074A9D8F}">
  <ds:schemaRefs>
    <ds:schemaRef ds:uri="http://schemas.microsoft.com/office/2006/metadata/properties"/>
    <ds:schemaRef ds:uri="http://schemas.microsoft.com/office/infopath/2007/PartnerControls"/>
    <ds:schemaRef ds:uri="f5e60779-6af5-4dde-a1c8-ebb5582c629e"/>
    <ds:schemaRef ds:uri="bfb5676e-0d71-42df-8fc5-13002709b90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7</vt:i4>
      </vt:variant>
    </vt:vector>
  </HeadingPairs>
  <TitlesOfParts>
    <vt:vector size="23" baseType="lpstr">
      <vt:lpstr>Meta 1</vt:lpstr>
      <vt:lpstr>Meta 2</vt:lpstr>
      <vt:lpstr>Meta 3</vt:lpstr>
      <vt:lpstr>Meta 4</vt:lpstr>
      <vt:lpstr>Meta 1..n</vt:lpstr>
      <vt:lpstr>Territorialización PA</vt:lpstr>
      <vt:lpstr>Indicadores PA</vt:lpstr>
      <vt:lpstr>Prog.Pptal</vt:lpstr>
      <vt:lpstr>Vigencia</vt:lpstr>
      <vt:lpstr>Reserva</vt:lpstr>
      <vt:lpstr>Avance PDD</vt:lpstr>
      <vt:lpstr>Instructivo</vt:lpstr>
      <vt:lpstr>Generalidades</vt:lpstr>
      <vt:lpstr>Hoja2</vt:lpstr>
      <vt:lpstr>Hoja13</vt:lpstr>
      <vt:lpstr>Hoja1</vt:lpstr>
      <vt:lpstr>'Meta 1'!Área_de_impresión</vt:lpstr>
      <vt:lpstr>'Meta 2'!Área_de_impresión</vt:lpstr>
      <vt:lpstr>'Meta 3'!Área_de_impresión</vt:lpstr>
      <vt:lpstr>'Meta 4'!Área_de_impresión</vt:lpstr>
      <vt:lpstr>'Territorialización PA'!Área_de_impresión</vt:lpstr>
      <vt:lpstr>'Indicadores PA'!Títulos_a_imprimir</vt:lpstr>
      <vt:lpstr>'Territorialización PA'!Títulos_a_imprimir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Angela Marcela Forero Ruiz</cp:lastModifiedBy>
  <cp:revision/>
  <dcterms:created xsi:type="dcterms:W3CDTF">2011-04-26T22:16:52Z</dcterms:created>
  <dcterms:modified xsi:type="dcterms:W3CDTF">2022-06-09T21:15:38Z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0x010100ED341F55659C9A4985F05E4B957308E7</vt:lpwstr>
  </property>
  <property fmtid="{D5CDD505-2E9C-101B-9397-08002B2CF9AE}" pid="3" name="MediaServiceImageTags">
    <vt:lpwstr/>
  </property>
</Properties>
</file>