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secretariadistritald-my.sharepoint.com/personal/sorjuela_sdmujer_gov_co/Documents/SD MUJER/PLAN DE ACCION/2022/01. ENERO/"/>
    </mc:Choice>
  </mc:AlternateContent>
  <xr:revisionPtr revIDLastSave="18" documentId="8_{22C06B77-E980-47BA-AAA0-0783F1722228}" xr6:coauthVersionLast="47" xr6:coauthVersionMax="47" xr10:uidLastSave="{CA88229C-8F73-4A24-9DE0-9618379EC751}"/>
  <bookViews>
    <workbookView xWindow="-120" yWindow="-120" windowWidth="20730" windowHeight="11160" tabRatio="871" firstSheet="1" activeTab="1" xr2:uid="{00000000-000D-0000-FFFF-FFFF00000000}"/>
  </bookViews>
  <sheets>
    <sheet name="VALIDACION" sheetId="17" state="hidden" r:id="rId1"/>
    <sheet name="Metas 1" sheetId="1" r:id="rId2"/>
    <sheet name="Meta 1..n" sheetId="2" state="hidden" r:id="rId3"/>
    <sheet name="Metas 2" sheetId="3" r:id="rId4"/>
    <sheet name="Metas 3" sheetId="4" r:id="rId5"/>
    <sheet name="Metas 4 (Contrato relevos)" sheetId="5" r:id="rId6"/>
    <sheet name="Metas 5" sheetId="6" r:id="rId7"/>
    <sheet name="Metas 6 (ONU Mujeres)" sheetId="7" r:id="rId8"/>
    <sheet name="Metas 7 (Unidades Moviles)" sheetId="8" r:id="rId9"/>
    <sheet name="Ptto2022" sheetId="16" state="hidden" r:id="rId10"/>
    <sheet name="Indicadores PA" sheetId="9" r:id="rId11"/>
    <sheet name="Indic Gestión SPI" sheetId="15" state="hidden" r:id="rId12"/>
    <sheet name="Territorialización PA" sheetId="10" r:id="rId13"/>
    <sheet name="Instructivo" sheetId="11" state="hidden" r:id="rId14"/>
    <sheet name="Generalidades" sheetId="12" state="hidden" r:id="rId15"/>
    <sheet name="Hoja13" sheetId="13" state="hidden" r:id="rId16"/>
    <sheet name="Hoja1" sheetId="14" state="hidden" r:id="rId17"/>
  </sheets>
  <externalReferences>
    <externalReference r:id="rId18"/>
    <externalReference r:id="rId19"/>
  </externalReferences>
  <definedNames>
    <definedName name="PROGRAMAS">'[1]Sectores y Programas'!$C$4:$D$175</definedName>
    <definedName name="sectores">'[1]Sectores y Programas'!$H$5:$I$37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4" i="17" l="1"/>
  <c r="D89" i="17" l="1"/>
  <c r="B89" i="17"/>
  <c r="D87" i="17"/>
  <c r="B87" i="17"/>
  <c r="D85" i="17"/>
  <c r="B85" i="17"/>
  <c r="D83" i="17"/>
  <c r="B83" i="17"/>
  <c r="D81" i="17"/>
  <c r="B81" i="17"/>
  <c r="D79" i="17"/>
  <c r="B79" i="17"/>
  <c r="D77" i="17"/>
  <c r="B77" i="17"/>
  <c r="D75" i="17"/>
  <c r="B75" i="17"/>
  <c r="D73" i="17"/>
  <c r="B73" i="17"/>
  <c r="D71" i="17"/>
  <c r="B71" i="17"/>
  <c r="D69" i="17"/>
  <c r="B69" i="17"/>
  <c r="Q68" i="17"/>
  <c r="P68" i="17"/>
  <c r="O68" i="17"/>
  <c r="N68" i="17"/>
  <c r="M68" i="17"/>
  <c r="L68" i="17"/>
  <c r="K68" i="17"/>
  <c r="J68" i="17"/>
  <c r="I68" i="17"/>
  <c r="H68" i="17"/>
  <c r="G68" i="17"/>
  <c r="F68" i="17"/>
  <c r="Q67" i="17"/>
  <c r="P67" i="17"/>
  <c r="O67" i="17"/>
  <c r="N67" i="17"/>
  <c r="M67" i="17"/>
  <c r="L67" i="17"/>
  <c r="R67" i="17" s="1"/>
  <c r="K67" i="17"/>
  <c r="J67" i="17"/>
  <c r="I67" i="17"/>
  <c r="H67" i="17"/>
  <c r="G67" i="17"/>
  <c r="F67" i="17"/>
  <c r="D67" i="17"/>
  <c r="B67" i="17"/>
  <c r="Q66" i="17"/>
  <c r="P66" i="17"/>
  <c r="O66" i="17"/>
  <c r="N66" i="17"/>
  <c r="M66" i="17"/>
  <c r="L66" i="17"/>
  <c r="K66" i="17"/>
  <c r="J66" i="17"/>
  <c r="R66" i="17" s="1"/>
  <c r="I66" i="17"/>
  <c r="H66" i="17"/>
  <c r="G66" i="17"/>
  <c r="F66" i="17"/>
  <c r="Q65" i="17"/>
  <c r="P65" i="17"/>
  <c r="O65" i="17"/>
  <c r="N65" i="17"/>
  <c r="M65" i="17"/>
  <c r="L65" i="17"/>
  <c r="K65" i="17"/>
  <c r="J65" i="17"/>
  <c r="I65" i="17"/>
  <c r="H65" i="17"/>
  <c r="G65" i="17"/>
  <c r="F65" i="17"/>
  <c r="R65" i="17" s="1"/>
  <c r="D65" i="17"/>
  <c r="B65" i="17"/>
  <c r="Q64" i="17"/>
  <c r="P64" i="17"/>
  <c r="O64" i="17"/>
  <c r="N64" i="17"/>
  <c r="M64" i="17"/>
  <c r="L64" i="17"/>
  <c r="R64" i="17" s="1"/>
  <c r="K64" i="17"/>
  <c r="J64" i="17"/>
  <c r="I64" i="17"/>
  <c r="H64" i="17"/>
  <c r="G64" i="17"/>
  <c r="F64" i="17"/>
  <c r="Q63" i="17"/>
  <c r="P63" i="17"/>
  <c r="O63" i="17"/>
  <c r="N63" i="17"/>
  <c r="M63" i="17"/>
  <c r="L63" i="17"/>
  <c r="K63" i="17"/>
  <c r="J63" i="17"/>
  <c r="I63" i="17"/>
  <c r="H63" i="17"/>
  <c r="R63" i="17" s="1"/>
  <c r="G63" i="17"/>
  <c r="F63" i="17"/>
  <c r="D63" i="17"/>
  <c r="B63" i="17"/>
  <c r="Q62" i="17"/>
  <c r="P62" i="17"/>
  <c r="O62" i="17"/>
  <c r="N62" i="17"/>
  <c r="M62" i="17"/>
  <c r="L62" i="17"/>
  <c r="K62" i="17"/>
  <c r="J62" i="17"/>
  <c r="I62" i="17"/>
  <c r="H62" i="17"/>
  <c r="G62" i="17"/>
  <c r="F62" i="17"/>
  <c r="R62" i="17" s="1"/>
  <c r="Q61" i="17"/>
  <c r="P61" i="17"/>
  <c r="O61" i="17"/>
  <c r="N61" i="17"/>
  <c r="M61" i="17"/>
  <c r="L61" i="17"/>
  <c r="K61" i="17"/>
  <c r="J61" i="17"/>
  <c r="R61" i="17" s="1"/>
  <c r="I61" i="17"/>
  <c r="H61" i="17"/>
  <c r="G61" i="17"/>
  <c r="F61" i="17"/>
  <c r="D61" i="17"/>
  <c r="B61" i="17"/>
  <c r="U51" i="17"/>
  <c r="T51" i="17"/>
  <c r="S51" i="17"/>
  <c r="R51" i="17"/>
  <c r="Q51" i="17"/>
  <c r="P51" i="17"/>
  <c r="O51" i="17"/>
  <c r="N51" i="17"/>
  <c r="M51" i="17"/>
  <c r="L51" i="17"/>
  <c r="K51" i="17"/>
  <c r="J51" i="17"/>
  <c r="I51" i="17"/>
  <c r="H51" i="17"/>
  <c r="U50" i="17"/>
  <c r="T50" i="17"/>
  <c r="S50" i="17"/>
  <c r="R50" i="17"/>
  <c r="Q50" i="17"/>
  <c r="P50" i="17"/>
  <c r="O50" i="17"/>
  <c r="N50" i="17"/>
  <c r="M50" i="17"/>
  <c r="L50" i="17"/>
  <c r="K50" i="17"/>
  <c r="J50" i="17"/>
  <c r="I50" i="17"/>
  <c r="H50" i="17"/>
  <c r="F50" i="17"/>
  <c r="AK49" i="17"/>
  <c r="AJ49" i="17"/>
  <c r="AI49" i="17"/>
  <c r="AH49" i="17"/>
  <c r="AG49" i="17"/>
  <c r="AG56" i="17" s="1"/>
  <c r="AF49" i="17"/>
  <c r="AE49" i="17"/>
  <c r="AD49" i="17"/>
  <c r="AC49" i="17"/>
  <c r="AB49" i="17"/>
  <c r="AA49" i="17"/>
  <c r="Z49" i="17"/>
  <c r="Y49" i="17"/>
  <c r="Y56" i="17" s="1"/>
  <c r="X49" i="17"/>
  <c r="T49" i="17"/>
  <c r="S49" i="17"/>
  <c r="R49" i="17"/>
  <c r="Q49" i="17"/>
  <c r="P49" i="17"/>
  <c r="O49" i="17"/>
  <c r="N49" i="17"/>
  <c r="M49" i="17"/>
  <c r="L49" i="17"/>
  <c r="K49" i="17"/>
  <c r="J49" i="17"/>
  <c r="I49" i="17"/>
  <c r="H49" i="17"/>
  <c r="AK48" i="17"/>
  <c r="AK55" i="17" s="1"/>
  <c r="AJ48" i="17"/>
  <c r="AI48" i="17"/>
  <c r="AH48" i="17"/>
  <c r="AG48" i="17"/>
  <c r="AF48" i="17"/>
  <c r="AE48" i="17"/>
  <c r="AD48" i="17"/>
  <c r="AC48" i="17"/>
  <c r="AC55" i="17" s="1"/>
  <c r="AB48" i="17"/>
  <c r="AA48" i="17"/>
  <c r="Z48" i="17"/>
  <c r="Y48" i="17"/>
  <c r="X48" i="17"/>
  <c r="U48" i="17"/>
  <c r="T48" i="17"/>
  <c r="S48" i="17"/>
  <c r="S55" i="17" s="1"/>
  <c r="R48" i="17"/>
  <c r="Q48" i="17"/>
  <c r="P48" i="17"/>
  <c r="O48" i="17"/>
  <c r="N48" i="17"/>
  <c r="M48" i="17"/>
  <c r="L48" i="17"/>
  <c r="K48" i="17"/>
  <c r="K55" i="17" s="1"/>
  <c r="J48" i="17"/>
  <c r="I48" i="17"/>
  <c r="H48" i="17"/>
  <c r="AK47" i="17"/>
  <c r="AJ47" i="17"/>
  <c r="AI47" i="17"/>
  <c r="AH47" i="17"/>
  <c r="AG47" i="17"/>
  <c r="AG54" i="17" s="1"/>
  <c r="AF47" i="17"/>
  <c r="AE47" i="17"/>
  <c r="AD47" i="17"/>
  <c r="AC47" i="17"/>
  <c r="AB47" i="17"/>
  <c r="AA47" i="17"/>
  <c r="Z47" i="17"/>
  <c r="Y47" i="17"/>
  <c r="Y54" i="17" s="1"/>
  <c r="X47" i="17"/>
  <c r="U47" i="17"/>
  <c r="T47" i="17"/>
  <c r="S47" i="17"/>
  <c r="R47" i="17"/>
  <c r="Q47" i="17"/>
  <c r="P47" i="17"/>
  <c r="O47" i="17"/>
  <c r="N47" i="17"/>
  <c r="M47" i="17"/>
  <c r="L47" i="17"/>
  <c r="K47" i="17"/>
  <c r="J47" i="17"/>
  <c r="I47" i="17"/>
  <c r="H47" i="17"/>
  <c r="AK46" i="17"/>
  <c r="AK53" i="17" s="1"/>
  <c r="AJ46" i="17"/>
  <c r="AI46" i="17"/>
  <c r="AH46" i="17"/>
  <c r="AG46" i="17"/>
  <c r="AF46" i="17"/>
  <c r="AE46" i="17"/>
  <c r="AD46" i="17"/>
  <c r="AC46" i="17"/>
  <c r="AC53" i="17" s="1"/>
  <c r="AB46" i="17"/>
  <c r="AA46" i="17"/>
  <c r="Z46" i="17"/>
  <c r="Y46" i="17"/>
  <c r="X46" i="17"/>
  <c r="U46" i="17"/>
  <c r="T46" i="17"/>
  <c r="S46" i="17"/>
  <c r="S53" i="17" s="1"/>
  <c r="R46" i="17"/>
  <c r="Q46" i="17"/>
  <c r="P46" i="17"/>
  <c r="O46" i="17"/>
  <c r="N46" i="17"/>
  <c r="M46" i="17"/>
  <c r="L46" i="17"/>
  <c r="K46" i="17"/>
  <c r="K53" i="17" s="1"/>
  <c r="J46" i="17"/>
  <c r="I46" i="17"/>
  <c r="H46" i="17"/>
  <c r="C46" i="17"/>
  <c r="B46" i="17"/>
  <c r="U45" i="17"/>
  <c r="T45" i="17"/>
  <c r="S45" i="17"/>
  <c r="R45" i="17"/>
  <c r="Q45" i="17"/>
  <c r="P45" i="17"/>
  <c r="O45" i="17"/>
  <c r="N45" i="17"/>
  <c r="M45" i="17"/>
  <c r="L45" i="17"/>
  <c r="K45" i="17"/>
  <c r="J45" i="17"/>
  <c r="I45" i="17"/>
  <c r="H45" i="17"/>
  <c r="U44" i="17"/>
  <c r="T44" i="17"/>
  <c r="S44" i="17"/>
  <c r="R44" i="17"/>
  <c r="Q44" i="17"/>
  <c r="P44" i="17"/>
  <c r="O44" i="17"/>
  <c r="N44" i="17"/>
  <c r="M44" i="17"/>
  <c r="L44" i="17"/>
  <c r="K44" i="17"/>
  <c r="J44" i="17"/>
  <c r="I44" i="17"/>
  <c r="H44" i="17"/>
  <c r="F44" i="17"/>
  <c r="AK43" i="17"/>
  <c r="AJ43" i="17"/>
  <c r="AI43" i="17"/>
  <c r="AH43" i="17"/>
  <c r="AG43" i="17"/>
  <c r="AF43" i="17"/>
  <c r="AF56" i="17" s="1"/>
  <c r="AE43" i="17"/>
  <c r="AD43" i="17"/>
  <c r="AC43" i="17"/>
  <c r="AB43" i="17"/>
  <c r="AA43" i="17"/>
  <c r="Z43" i="17"/>
  <c r="Y43" i="17"/>
  <c r="X43" i="17"/>
  <c r="T43" i="17"/>
  <c r="S43" i="17"/>
  <c r="R43" i="17"/>
  <c r="Q43" i="17"/>
  <c r="P43" i="17"/>
  <c r="O43" i="17"/>
  <c r="N43" i="17"/>
  <c r="M43" i="17"/>
  <c r="L43" i="17"/>
  <c r="K43" i="17"/>
  <c r="J43" i="17"/>
  <c r="I43" i="17"/>
  <c r="H43" i="17"/>
  <c r="AK42" i="17"/>
  <c r="AJ42" i="17"/>
  <c r="AI42" i="17"/>
  <c r="AH42" i="17"/>
  <c r="AG42" i="17"/>
  <c r="AF42" i="17"/>
  <c r="AE42" i="17"/>
  <c r="AD42" i="17"/>
  <c r="AC42" i="17"/>
  <c r="AB42" i="17"/>
  <c r="AB55" i="17" s="1"/>
  <c r="AA42" i="17"/>
  <c r="Z42" i="17"/>
  <c r="Y42" i="17"/>
  <c r="X42" i="17"/>
  <c r="U42" i="17"/>
  <c r="T42" i="17"/>
  <c r="S42" i="17"/>
  <c r="R42" i="17"/>
  <c r="R55" i="17" s="1"/>
  <c r="Q42" i="17"/>
  <c r="P42" i="17"/>
  <c r="O42" i="17"/>
  <c r="N42" i="17"/>
  <c r="M42" i="17"/>
  <c r="L42" i="17"/>
  <c r="K42" i="17"/>
  <c r="J42" i="17"/>
  <c r="J55" i="17" s="1"/>
  <c r="I42" i="17"/>
  <c r="H42" i="17"/>
  <c r="AK41" i="17"/>
  <c r="AJ41" i="17"/>
  <c r="AI41" i="17"/>
  <c r="AH41" i="17"/>
  <c r="AG41" i="17"/>
  <c r="AF41" i="17"/>
  <c r="AF54" i="17" s="1"/>
  <c r="AE41" i="17"/>
  <c r="AD41" i="17"/>
  <c r="AC41" i="17"/>
  <c r="AB41" i="17"/>
  <c r="AA41" i="17"/>
  <c r="Z41" i="17"/>
  <c r="Y41" i="17"/>
  <c r="X41" i="17"/>
  <c r="X54" i="17" s="1"/>
  <c r="U41" i="17"/>
  <c r="T41" i="17"/>
  <c r="S41" i="17"/>
  <c r="R41" i="17"/>
  <c r="Q41" i="17"/>
  <c r="P41" i="17"/>
  <c r="O41" i="17"/>
  <c r="N41" i="17"/>
  <c r="N54" i="17" s="1"/>
  <c r="M41" i="17"/>
  <c r="L41" i="17"/>
  <c r="K41" i="17"/>
  <c r="J41" i="17"/>
  <c r="I41" i="17"/>
  <c r="H41" i="17"/>
  <c r="AK40" i="17"/>
  <c r="AJ40" i="17"/>
  <c r="AI40" i="17"/>
  <c r="AH40" i="17"/>
  <c r="AG40" i="17"/>
  <c r="AF40" i="17"/>
  <c r="AE40" i="17"/>
  <c r="AD40" i="17"/>
  <c r="AC40" i="17"/>
  <c r="AB40" i="17"/>
  <c r="AB53" i="17" s="1"/>
  <c r="AA40" i="17"/>
  <c r="Z40" i="17"/>
  <c r="Y40" i="17"/>
  <c r="X40" i="17"/>
  <c r="U40" i="17"/>
  <c r="T40" i="17"/>
  <c r="S40" i="17"/>
  <c r="R40" i="17"/>
  <c r="R53" i="17" s="1"/>
  <c r="Q40" i="17"/>
  <c r="P40" i="17"/>
  <c r="O40" i="17"/>
  <c r="N40" i="17"/>
  <c r="M40" i="17"/>
  <c r="L40" i="17"/>
  <c r="K40" i="17"/>
  <c r="J40" i="17"/>
  <c r="J53" i="17" s="1"/>
  <c r="I40" i="17"/>
  <c r="H40" i="17"/>
  <c r="C40" i="17"/>
  <c r="B40" i="17"/>
  <c r="U39" i="17"/>
  <c r="T39" i="17"/>
  <c r="S39" i="17"/>
  <c r="R39" i="17"/>
  <c r="Q39" i="17"/>
  <c r="P39" i="17"/>
  <c r="O39" i="17"/>
  <c r="N39" i="17"/>
  <c r="M39" i="17"/>
  <c r="L39" i="17"/>
  <c r="K39" i="17"/>
  <c r="J39" i="17"/>
  <c r="I39" i="17"/>
  <c r="H39" i="17"/>
  <c r="U38" i="17"/>
  <c r="T38" i="17"/>
  <c r="S38" i="17"/>
  <c r="R38" i="17"/>
  <c r="Q38" i="17"/>
  <c r="P38" i="17"/>
  <c r="O38" i="17"/>
  <c r="N38" i="17"/>
  <c r="M38" i="17"/>
  <c r="L38" i="17"/>
  <c r="K38" i="17"/>
  <c r="J38" i="17"/>
  <c r="I38" i="17"/>
  <c r="H38" i="17"/>
  <c r="F38" i="17"/>
  <c r="AK37" i="17"/>
  <c r="AJ37" i="17"/>
  <c r="AI37" i="17"/>
  <c r="AH37" i="17"/>
  <c r="AG37" i="17"/>
  <c r="AF37" i="17"/>
  <c r="AE37" i="17"/>
  <c r="AE56" i="17" s="1"/>
  <c r="AD37" i="17"/>
  <c r="AC37" i="17"/>
  <c r="AB37" i="17"/>
  <c r="AA37" i="17"/>
  <c r="Z37" i="17"/>
  <c r="Y37" i="17"/>
  <c r="X37" i="17"/>
  <c r="T37" i="17"/>
  <c r="S37" i="17"/>
  <c r="R37" i="17"/>
  <c r="Q37" i="17"/>
  <c r="P37" i="17"/>
  <c r="O37" i="17"/>
  <c r="N37" i="17"/>
  <c r="M37" i="17"/>
  <c r="M56" i="17" s="1"/>
  <c r="L37" i="17"/>
  <c r="K37" i="17"/>
  <c r="J37" i="17"/>
  <c r="I37" i="17"/>
  <c r="H37" i="17"/>
  <c r="AK36" i="17"/>
  <c r="AJ36" i="17"/>
  <c r="AI36" i="17"/>
  <c r="AH36" i="17"/>
  <c r="AG36" i="17"/>
  <c r="AF36" i="17"/>
  <c r="AE36" i="17"/>
  <c r="AD36" i="17"/>
  <c r="AC36" i="17"/>
  <c r="AB36" i="17"/>
  <c r="AA36" i="17"/>
  <c r="Z36" i="17"/>
  <c r="Y36" i="17"/>
  <c r="X36" i="17"/>
  <c r="U36" i="17"/>
  <c r="T36" i="17"/>
  <c r="S36" i="17"/>
  <c r="R36" i="17"/>
  <c r="Q36" i="17"/>
  <c r="P36" i="17"/>
  <c r="O36" i="17"/>
  <c r="N36" i="17"/>
  <c r="M36" i="17"/>
  <c r="L36" i="17"/>
  <c r="K36" i="17"/>
  <c r="J36" i="17"/>
  <c r="I36" i="17"/>
  <c r="H36" i="17"/>
  <c r="AK35" i="17"/>
  <c r="AJ35" i="17"/>
  <c r="AI35" i="17"/>
  <c r="AH35" i="17"/>
  <c r="AG35" i="17"/>
  <c r="AF35" i="17"/>
  <c r="AE35" i="17"/>
  <c r="AE54" i="17" s="1"/>
  <c r="AD35" i="17"/>
  <c r="AC35" i="17"/>
  <c r="AB35" i="17"/>
  <c r="AA35" i="17"/>
  <c r="Z35" i="17"/>
  <c r="Y35" i="17"/>
  <c r="X35" i="17"/>
  <c r="U35" i="17"/>
  <c r="T35" i="17"/>
  <c r="S35" i="17"/>
  <c r="R35" i="17"/>
  <c r="Q35" i="17"/>
  <c r="P35" i="17"/>
  <c r="O35" i="17"/>
  <c r="N35" i="17"/>
  <c r="M35" i="17"/>
  <c r="L35" i="17"/>
  <c r="K35" i="17"/>
  <c r="J35" i="17"/>
  <c r="I35" i="17"/>
  <c r="H35" i="17"/>
  <c r="AK34" i="17"/>
  <c r="AJ34" i="17"/>
  <c r="AI34" i="17"/>
  <c r="AH34" i="17"/>
  <c r="AG34" i="17"/>
  <c r="AF34" i="17"/>
  <c r="AE34" i="17"/>
  <c r="AD34" i="17"/>
  <c r="AC34" i="17"/>
  <c r="AB34" i="17"/>
  <c r="AA34" i="17"/>
  <c r="Z34" i="17"/>
  <c r="Y34" i="17"/>
  <c r="X34" i="17"/>
  <c r="U34" i="17"/>
  <c r="T34" i="17"/>
  <c r="S34" i="17"/>
  <c r="R34" i="17"/>
  <c r="Q34" i="17"/>
  <c r="P34" i="17"/>
  <c r="O34" i="17"/>
  <c r="N34" i="17"/>
  <c r="M34" i="17"/>
  <c r="L34" i="17"/>
  <c r="K34" i="17"/>
  <c r="J34" i="17"/>
  <c r="I34" i="17"/>
  <c r="I53" i="17" s="1"/>
  <c r="H34" i="17"/>
  <c r="C34" i="17"/>
  <c r="B34" i="17"/>
  <c r="U33" i="17"/>
  <c r="T33" i="17"/>
  <c r="S33" i="17"/>
  <c r="R33" i="17"/>
  <c r="Q33" i="17"/>
  <c r="P33" i="17"/>
  <c r="O33" i="17"/>
  <c r="N33" i="17"/>
  <c r="M33" i="17"/>
  <c r="L33" i="17"/>
  <c r="K33" i="17"/>
  <c r="J33" i="17"/>
  <c r="I33" i="17"/>
  <c r="H33" i="17"/>
  <c r="U32" i="17"/>
  <c r="T32" i="17"/>
  <c r="S32" i="17"/>
  <c r="R32" i="17"/>
  <c r="Q32" i="17"/>
  <c r="P32" i="17"/>
  <c r="O32" i="17"/>
  <c r="N32" i="17"/>
  <c r="M32" i="17"/>
  <c r="L32" i="17"/>
  <c r="K32" i="17"/>
  <c r="J32" i="17"/>
  <c r="I32" i="17"/>
  <c r="H32" i="17"/>
  <c r="F32" i="17"/>
  <c r="AK31" i="17"/>
  <c r="AJ31" i="17"/>
  <c r="AI31" i="17"/>
  <c r="AH31" i="17"/>
  <c r="AG31" i="17"/>
  <c r="AF31" i="17"/>
  <c r="AE31" i="17"/>
  <c r="AD31" i="17"/>
  <c r="AD56" i="17" s="1"/>
  <c r="AC31" i="17"/>
  <c r="AB31" i="17"/>
  <c r="AA31" i="17"/>
  <c r="Z31" i="17"/>
  <c r="Y31" i="17"/>
  <c r="X31" i="17"/>
  <c r="T31" i="17"/>
  <c r="S31" i="17"/>
  <c r="R31" i="17"/>
  <c r="Q31" i="17"/>
  <c r="P31" i="17"/>
  <c r="O31" i="17"/>
  <c r="N31" i="17"/>
  <c r="M31" i="17"/>
  <c r="L31" i="17"/>
  <c r="L56" i="17" s="1"/>
  <c r="K31" i="17"/>
  <c r="J31" i="17"/>
  <c r="I31" i="17"/>
  <c r="H31" i="17"/>
  <c r="AK30" i="17"/>
  <c r="AJ30" i="17"/>
  <c r="AI30" i="17"/>
  <c r="AH30" i="17"/>
  <c r="AH55" i="17" s="1"/>
  <c r="AG30" i="17"/>
  <c r="AF30" i="17"/>
  <c r="AE30" i="17"/>
  <c r="AD30" i="17"/>
  <c r="AC30" i="17"/>
  <c r="AB30" i="17"/>
  <c r="AA30" i="17"/>
  <c r="Z30" i="17"/>
  <c r="Z55" i="17" s="1"/>
  <c r="Y30" i="17"/>
  <c r="X30" i="17"/>
  <c r="U30" i="17"/>
  <c r="T30" i="17"/>
  <c r="S30" i="17"/>
  <c r="R30" i="17"/>
  <c r="Q30" i="17"/>
  <c r="P30" i="17"/>
  <c r="P55" i="17" s="1"/>
  <c r="O30" i="17"/>
  <c r="N30" i="17"/>
  <c r="M30" i="17"/>
  <c r="L30" i="17"/>
  <c r="K30" i="17"/>
  <c r="J30" i="17"/>
  <c r="I30" i="17"/>
  <c r="H30" i="17"/>
  <c r="AK29" i="17"/>
  <c r="AJ29" i="17"/>
  <c r="AI29" i="17"/>
  <c r="AH29" i="17"/>
  <c r="AG29" i="17"/>
  <c r="AF29" i="17"/>
  <c r="AE29" i="17"/>
  <c r="AD29" i="17"/>
  <c r="AD54" i="17" s="1"/>
  <c r="AC29" i="17"/>
  <c r="AB29" i="17"/>
  <c r="AA29" i="17"/>
  <c r="Z29" i="17"/>
  <c r="Y29" i="17"/>
  <c r="X29" i="17"/>
  <c r="U29" i="17"/>
  <c r="T29" i="17"/>
  <c r="S29" i="17"/>
  <c r="R29" i="17"/>
  <c r="Q29" i="17"/>
  <c r="P29" i="17"/>
  <c r="O29" i="17"/>
  <c r="N29" i="17"/>
  <c r="M29" i="17"/>
  <c r="L29" i="17"/>
  <c r="K29" i="17"/>
  <c r="J29" i="17"/>
  <c r="I29" i="17"/>
  <c r="H29" i="17"/>
  <c r="AK28" i="17"/>
  <c r="AJ28" i="17"/>
  <c r="AI28" i="17"/>
  <c r="AH28" i="17"/>
  <c r="AH53" i="17" s="1"/>
  <c r="AG28" i="17"/>
  <c r="AF28" i="17"/>
  <c r="AE28" i="17"/>
  <c r="AD28" i="17"/>
  <c r="AC28" i="17"/>
  <c r="AB28" i="17"/>
  <c r="AA28" i="17"/>
  <c r="Z28" i="17"/>
  <c r="Z53" i="17" s="1"/>
  <c r="Y28" i="17"/>
  <c r="X28" i="17"/>
  <c r="U28" i="17"/>
  <c r="T28" i="17"/>
  <c r="S28" i="17"/>
  <c r="R28" i="17"/>
  <c r="Q28" i="17"/>
  <c r="P28" i="17"/>
  <c r="P53" i="17" s="1"/>
  <c r="O28" i="17"/>
  <c r="N28" i="17"/>
  <c r="M28" i="17"/>
  <c r="L28" i="17"/>
  <c r="K28" i="17"/>
  <c r="J28" i="17"/>
  <c r="I28" i="17"/>
  <c r="H28" i="17"/>
  <c r="C28" i="17"/>
  <c r="B28" i="17"/>
  <c r="U27" i="17"/>
  <c r="T27" i="17"/>
  <c r="S27" i="17"/>
  <c r="R27" i="17"/>
  <c r="Q27" i="17"/>
  <c r="P27" i="17"/>
  <c r="O27" i="17"/>
  <c r="N27" i="17"/>
  <c r="M27" i="17"/>
  <c r="L27" i="17"/>
  <c r="K27" i="17"/>
  <c r="J27" i="17"/>
  <c r="I27" i="17"/>
  <c r="H27" i="17"/>
  <c r="U26" i="17"/>
  <c r="T26" i="17"/>
  <c r="S26" i="17"/>
  <c r="R26" i="17"/>
  <c r="Q26" i="17"/>
  <c r="P26" i="17"/>
  <c r="O26" i="17"/>
  <c r="N26" i="17"/>
  <c r="M26" i="17"/>
  <c r="L26" i="17"/>
  <c r="K26" i="17"/>
  <c r="J26" i="17"/>
  <c r="I26" i="17"/>
  <c r="H26" i="17"/>
  <c r="F26" i="17"/>
  <c r="AK25" i="17"/>
  <c r="AJ25" i="17"/>
  <c r="AI25" i="17"/>
  <c r="AH25" i="17"/>
  <c r="AG25" i="17"/>
  <c r="AF25" i="17"/>
  <c r="AE25" i="17"/>
  <c r="AD25" i="17"/>
  <c r="AC25" i="17"/>
  <c r="AC56" i="17" s="1"/>
  <c r="AB25" i="17"/>
  <c r="AA25" i="17"/>
  <c r="Z25" i="17"/>
  <c r="Y25" i="17"/>
  <c r="X25" i="17"/>
  <c r="T25" i="17"/>
  <c r="S25" i="17"/>
  <c r="S56" i="17" s="1"/>
  <c r="R25" i="17"/>
  <c r="Q25" i="17"/>
  <c r="P25" i="17"/>
  <c r="O25" i="17"/>
  <c r="N25" i="17"/>
  <c r="M25" i="17"/>
  <c r="L25" i="17"/>
  <c r="K25" i="17"/>
  <c r="K56" i="17" s="1"/>
  <c r="J25" i="17"/>
  <c r="I25" i="17"/>
  <c r="H25" i="17"/>
  <c r="AK24" i="17"/>
  <c r="AJ24" i="17"/>
  <c r="AI24" i="17"/>
  <c r="AH24" i="17"/>
  <c r="AG24" i="17"/>
  <c r="AG55" i="17" s="1"/>
  <c r="AF24" i="17"/>
  <c r="AE24" i="17"/>
  <c r="AD24" i="17"/>
  <c r="AC24" i="17"/>
  <c r="AB24" i="17"/>
  <c r="AA24" i="17"/>
  <c r="Z24" i="17"/>
  <c r="Y24" i="17"/>
  <c r="Y55" i="17" s="1"/>
  <c r="X24" i="17"/>
  <c r="U24" i="17"/>
  <c r="T24" i="17"/>
  <c r="S24" i="17"/>
  <c r="R24" i="17"/>
  <c r="Q24" i="17"/>
  <c r="P24" i="17"/>
  <c r="O24" i="17"/>
  <c r="N24" i="17"/>
  <c r="M24" i="17"/>
  <c r="L24" i="17"/>
  <c r="K24" i="17"/>
  <c r="J24" i="17"/>
  <c r="I24" i="17"/>
  <c r="H24" i="17"/>
  <c r="AK23" i="17"/>
  <c r="AK54" i="17" s="1"/>
  <c r="AJ23" i="17"/>
  <c r="AI23" i="17"/>
  <c r="AH23" i="17"/>
  <c r="AG23" i="17"/>
  <c r="AF23" i="17"/>
  <c r="AE23" i="17"/>
  <c r="AD23" i="17"/>
  <c r="AC23" i="17"/>
  <c r="AC54" i="17" s="1"/>
  <c r="AB23" i="17"/>
  <c r="AA23" i="17"/>
  <c r="Z23" i="17"/>
  <c r="Y23" i="17"/>
  <c r="X23" i="17"/>
  <c r="U23" i="17"/>
  <c r="T23" i="17"/>
  <c r="S23" i="17"/>
  <c r="S54" i="17" s="1"/>
  <c r="R23" i="17"/>
  <c r="Q23" i="17"/>
  <c r="P23" i="17"/>
  <c r="O23" i="17"/>
  <c r="N23" i="17"/>
  <c r="M23" i="17"/>
  <c r="L23" i="17"/>
  <c r="K23" i="17"/>
  <c r="K54" i="17" s="1"/>
  <c r="J23" i="17"/>
  <c r="I23" i="17"/>
  <c r="H23" i="17"/>
  <c r="AK22" i="17"/>
  <c r="AJ22" i="17"/>
  <c r="AI22" i="17"/>
  <c r="AH22" i="17"/>
  <c r="AG22" i="17"/>
  <c r="AG53" i="17" s="1"/>
  <c r="AF22" i="17"/>
  <c r="AE22" i="17"/>
  <c r="AD22" i="17"/>
  <c r="AC22" i="17"/>
  <c r="AB22" i="17"/>
  <c r="AA22" i="17"/>
  <c r="Z22" i="17"/>
  <c r="Y22" i="17"/>
  <c r="Y53" i="17" s="1"/>
  <c r="X22" i="17"/>
  <c r="U22" i="17"/>
  <c r="T22" i="17"/>
  <c r="S22" i="17"/>
  <c r="R22" i="17"/>
  <c r="Q22" i="17"/>
  <c r="P22" i="17"/>
  <c r="O22" i="17"/>
  <c r="N22" i="17"/>
  <c r="M22" i="17"/>
  <c r="L22" i="17"/>
  <c r="K22" i="17"/>
  <c r="J22" i="17"/>
  <c r="I22" i="17"/>
  <c r="H22" i="17"/>
  <c r="C22" i="17"/>
  <c r="C67" i="17" s="1"/>
  <c r="B22" i="17"/>
  <c r="U21" i="17"/>
  <c r="T21" i="17"/>
  <c r="S21" i="17"/>
  <c r="R21" i="17"/>
  <c r="Q21" i="17"/>
  <c r="P21" i="17"/>
  <c r="O21" i="17"/>
  <c r="N21" i="17"/>
  <c r="M21" i="17"/>
  <c r="L21" i="17"/>
  <c r="K21" i="17"/>
  <c r="J21" i="17"/>
  <c r="I21" i="17"/>
  <c r="H21" i="17"/>
  <c r="U20" i="17"/>
  <c r="T20" i="17"/>
  <c r="S20" i="17"/>
  <c r="R20" i="17"/>
  <c r="Q20" i="17"/>
  <c r="P20" i="17"/>
  <c r="O20" i="17"/>
  <c r="N20" i="17"/>
  <c r="M20" i="17"/>
  <c r="L20" i="17"/>
  <c r="K20" i="17"/>
  <c r="J20" i="17"/>
  <c r="I20" i="17"/>
  <c r="H20" i="17"/>
  <c r="F20" i="17"/>
  <c r="AK19" i="17"/>
  <c r="AJ19" i="17"/>
  <c r="AI19" i="17"/>
  <c r="AH19" i="17"/>
  <c r="AG19" i="17"/>
  <c r="AF19" i="17"/>
  <c r="AE19" i="17"/>
  <c r="AD19" i="17"/>
  <c r="AC19" i="17"/>
  <c r="AB19" i="17"/>
  <c r="AB56" i="17" s="1"/>
  <c r="AA19" i="17"/>
  <c r="Z19" i="17"/>
  <c r="Y19" i="17"/>
  <c r="X19" i="17"/>
  <c r="T19" i="17"/>
  <c r="S19" i="17"/>
  <c r="R19" i="17"/>
  <c r="R56" i="17" s="1"/>
  <c r="Q19" i="17"/>
  <c r="P19" i="17"/>
  <c r="O19" i="17"/>
  <c r="N19" i="17"/>
  <c r="M19" i="17"/>
  <c r="L19" i="17"/>
  <c r="K19" i="17"/>
  <c r="J19" i="17"/>
  <c r="J56" i="17" s="1"/>
  <c r="I19" i="17"/>
  <c r="H19" i="17"/>
  <c r="AK18" i="17"/>
  <c r="AJ18" i="17"/>
  <c r="AI18" i="17"/>
  <c r="AH18" i="17"/>
  <c r="AG18" i="17"/>
  <c r="AF18" i="17"/>
  <c r="AF55" i="17" s="1"/>
  <c r="AE18" i="17"/>
  <c r="AD18" i="17"/>
  <c r="AC18" i="17"/>
  <c r="AB18" i="17"/>
  <c r="AA18" i="17"/>
  <c r="Z18" i="17"/>
  <c r="Y18" i="17"/>
  <c r="X18" i="17"/>
  <c r="X55" i="17" s="1"/>
  <c r="U18" i="17"/>
  <c r="T18" i="17"/>
  <c r="S18" i="17"/>
  <c r="R18" i="17"/>
  <c r="Q18" i="17"/>
  <c r="P18" i="17"/>
  <c r="O18" i="17"/>
  <c r="N18" i="17"/>
  <c r="N55" i="17" s="1"/>
  <c r="M18" i="17"/>
  <c r="L18" i="17"/>
  <c r="K18" i="17"/>
  <c r="J18" i="17"/>
  <c r="I18" i="17"/>
  <c r="H18" i="17"/>
  <c r="AK17" i="17"/>
  <c r="AJ17" i="17"/>
  <c r="AJ54" i="17" s="1"/>
  <c r="AI17" i="17"/>
  <c r="AH17" i="17"/>
  <c r="AG17" i="17"/>
  <c r="AF17" i="17"/>
  <c r="AE17" i="17"/>
  <c r="AD17" i="17"/>
  <c r="AC17" i="17"/>
  <c r="AB17" i="17"/>
  <c r="AB54" i="17" s="1"/>
  <c r="AA17" i="17"/>
  <c r="Z17" i="17"/>
  <c r="Y17" i="17"/>
  <c r="X17" i="17"/>
  <c r="U17" i="17"/>
  <c r="T17" i="17"/>
  <c r="S17" i="17"/>
  <c r="R17" i="17"/>
  <c r="R54" i="17" s="1"/>
  <c r="Q17" i="17"/>
  <c r="P17" i="17"/>
  <c r="O17" i="17"/>
  <c r="N17" i="17"/>
  <c r="M17" i="17"/>
  <c r="L17" i="17"/>
  <c r="K17" i="17"/>
  <c r="J17" i="17"/>
  <c r="J54" i="17" s="1"/>
  <c r="I17" i="17"/>
  <c r="H17" i="17"/>
  <c r="AK16" i="17"/>
  <c r="AJ16" i="17"/>
  <c r="AI16" i="17"/>
  <c r="AH16" i="17"/>
  <c r="AG16" i="17"/>
  <c r="AF16" i="17"/>
  <c r="AE16" i="17"/>
  <c r="AD16" i="17"/>
  <c r="AC16" i="17"/>
  <c r="AB16" i="17"/>
  <c r="AA16" i="17"/>
  <c r="Z16" i="17"/>
  <c r="Y16" i="17"/>
  <c r="X16" i="17"/>
  <c r="X53" i="17" s="1"/>
  <c r="U16" i="17"/>
  <c r="T16" i="17"/>
  <c r="S16" i="17"/>
  <c r="R16" i="17"/>
  <c r="Q16" i="17"/>
  <c r="P16" i="17"/>
  <c r="O16" i="17"/>
  <c r="N16" i="17"/>
  <c r="N53" i="17" s="1"/>
  <c r="M16" i="17"/>
  <c r="L16" i="17"/>
  <c r="K16" i="17"/>
  <c r="J16" i="17"/>
  <c r="I16" i="17"/>
  <c r="H16" i="17"/>
  <c r="C16" i="17"/>
  <c r="B16" i="17"/>
  <c r="U15" i="17"/>
  <c r="T15" i="17"/>
  <c r="S15" i="17"/>
  <c r="R15" i="17"/>
  <c r="Q15" i="17"/>
  <c r="P15" i="17"/>
  <c r="O15" i="17"/>
  <c r="N15" i="17"/>
  <c r="M15" i="17"/>
  <c r="L15" i="17"/>
  <c r="K15" i="17"/>
  <c r="J15" i="17"/>
  <c r="I15" i="17"/>
  <c r="H15" i="17"/>
  <c r="U14" i="17"/>
  <c r="T14" i="17"/>
  <c r="S14" i="17"/>
  <c r="R14" i="17"/>
  <c r="Q14" i="17"/>
  <c r="P14" i="17"/>
  <c r="O14" i="17"/>
  <c r="N14" i="17"/>
  <c r="M14" i="17"/>
  <c r="L14" i="17"/>
  <c r="K14" i="17"/>
  <c r="J14" i="17"/>
  <c r="I14" i="17"/>
  <c r="H14" i="17"/>
  <c r="F14" i="17"/>
  <c r="AK13" i="17"/>
  <c r="AJ13" i="17"/>
  <c r="AI13" i="17"/>
  <c r="AH13" i="17"/>
  <c r="AG13" i="17"/>
  <c r="AF13" i="17"/>
  <c r="AE13" i="17"/>
  <c r="AD13" i="17"/>
  <c r="AC13" i="17"/>
  <c r="AB13" i="17"/>
  <c r="AA13" i="17"/>
  <c r="Z13" i="17"/>
  <c r="Y13" i="17"/>
  <c r="X13" i="17"/>
  <c r="T13" i="17"/>
  <c r="S13" i="17"/>
  <c r="R13" i="17"/>
  <c r="Q13" i="17"/>
  <c r="Q56" i="17" s="1"/>
  <c r="P13" i="17"/>
  <c r="O13" i="17"/>
  <c r="N13" i="17"/>
  <c r="M13" i="17"/>
  <c r="L13" i="17"/>
  <c r="K13" i="17"/>
  <c r="J13" i="17"/>
  <c r="I13" i="17"/>
  <c r="I56" i="17" s="1"/>
  <c r="H13" i="17"/>
  <c r="AK12" i="17"/>
  <c r="AJ12" i="17"/>
  <c r="AI12" i="17"/>
  <c r="AH12" i="17"/>
  <c r="AG12" i="17"/>
  <c r="AF12" i="17"/>
  <c r="AE12" i="17"/>
  <c r="AD12" i="17"/>
  <c r="AC12" i="17"/>
  <c r="AB12" i="17"/>
  <c r="AA12" i="17"/>
  <c r="Z12" i="17"/>
  <c r="Y12" i="17"/>
  <c r="X12" i="17"/>
  <c r="U12" i="17"/>
  <c r="T12" i="17"/>
  <c r="S12" i="17"/>
  <c r="R12" i="17"/>
  <c r="Q12" i="17"/>
  <c r="P12" i="17"/>
  <c r="O12" i="17"/>
  <c r="N12" i="17"/>
  <c r="M12" i="17"/>
  <c r="M55" i="17" s="1"/>
  <c r="L12" i="17"/>
  <c r="K12" i="17"/>
  <c r="J12" i="17"/>
  <c r="I12" i="17"/>
  <c r="H12" i="17"/>
  <c r="AK11" i="17"/>
  <c r="AJ11" i="17"/>
  <c r="AI11" i="17"/>
  <c r="AH11" i="17"/>
  <c r="AG11" i="17"/>
  <c r="AF11" i="17"/>
  <c r="AE11" i="17"/>
  <c r="AD11" i="17"/>
  <c r="AC11" i="17"/>
  <c r="AB11" i="17"/>
  <c r="AA11" i="17"/>
  <c r="Z11" i="17"/>
  <c r="Y11" i="17"/>
  <c r="X11" i="17"/>
  <c r="U11" i="17"/>
  <c r="T11" i="17"/>
  <c r="S11" i="17"/>
  <c r="R11" i="17"/>
  <c r="Q11" i="17"/>
  <c r="Q54" i="17" s="1"/>
  <c r="P11" i="17"/>
  <c r="O11" i="17"/>
  <c r="N11" i="17"/>
  <c r="M11" i="17"/>
  <c r="L11" i="17"/>
  <c r="K11" i="17"/>
  <c r="J11" i="17"/>
  <c r="I11" i="17"/>
  <c r="I54" i="17" s="1"/>
  <c r="H11" i="17"/>
  <c r="AK10" i="17"/>
  <c r="AJ10" i="17"/>
  <c r="AI10" i="17"/>
  <c r="AH10" i="17"/>
  <c r="AG10" i="17"/>
  <c r="AF10" i="17"/>
  <c r="AE10" i="17"/>
  <c r="AE53" i="17" s="1"/>
  <c r="AD10" i="17"/>
  <c r="AC10" i="17"/>
  <c r="AB10" i="17"/>
  <c r="AA10" i="17"/>
  <c r="Z10" i="17"/>
  <c r="Y10" i="17"/>
  <c r="X10" i="17"/>
  <c r="U10" i="17"/>
  <c r="U53" i="17" s="1"/>
  <c r="T10" i="17"/>
  <c r="S10" i="17"/>
  <c r="R10" i="17"/>
  <c r="Q10" i="17"/>
  <c r="P10" i="17"/>
  <c r="O10" i="17"/>
  <c r="N10" i="17"/>
  <c r="M10" i="17"/>
  <c r="M53" i="17" s="1"/>
  <c r="L10" i="17"/>
  <c r="K10" i="17"/>
  <c r="J10" i="17"/>
  <c r="I10" i="17"/>
  <c r="H10" i="17"/>
  <c r="C10" i="17"/>
  <c r="B10" i="17"/>
  <c r="AI6" i="17"/>
  <c r="AI56" i="17" s="1"/>
  <c r="AH6" i="17"/>
  <c r="AG6" i="17"/>
  <c r="AF6" i="17"/>
  <c r="AE6" i="17"/>
  <c r="AD6" i="17"/>
  <c r="AC6" i="17"/>
  <c r="AB6" i="17"/>
  <c r="AA6" i="17"/>
  <c r="AJ6" i="17" s="1"/>
  <c r="Z6" i="17"/>
  <c r="Y6" i="17"/>
  <c r="X6" i="17"/>
  <c r="S6" i="17"/>
  <c r="R6" i="17"/>
  <c r="Q6" i="17"/>
  <c r="P6" i="17"/>
  <c r="O6" i="17"/>
  <c r="T6" i="17" s="1"/>
  <c r="N6" i="17"/>
  <c r="M6" i="17"/>
  <c r="L6" i="17"/>
  <c r="K6" i="17"/>
  <c r="J6" i="17"/>
  <c r="I6" i="17"/>
  <c r="H6" i="17"/>
  <c r="AI5" i="17"/>
  <c r="AI55" i="17" s="1"/>
  <c r="AH5" i="17"/>
  <c r="AG5" i="17"/>
  <c r="AF5" i="17"/>
  <c r="AE5" i="17"/>
  <c r="AD5" i="17"/>
  <c r="AC5" i="17"/>
  <c r="AB5" i="17"/>
  <c r="AA5" i="17"/>
  <c r="AA55" i="17" s="1"/>
  <c r="Z5" i="17"/>
  <c r="Y5" i="17"/>
  <c r="X5" i="17"/>
  <c r="S5" i="17"/>
  <c r="R5" i="17"/>
  <c r="Q5" i="17"/>
  <c r="P5" i="17"/>
  <c r="O5" i="17"/>
  <c r="T5" i="17" s="1"/>
  <c r="T55" i="17" s="1"/>
  <c r="N5" i="17"/>
  <c r="M5" i="17"/>
  <c r="L5" i="17"/>
  <c r="K5" i="17"/>
  <c r="J5" i="17"/>
  <c r="I5" i="17"/>
  <c r="H5" i="17"/>
  <c r="AI4" i="17"/>
  <c r="AI54" i="17" s="1"/>
  <c r="AH4" i="17"/>
  <c r="AG4" i="17"/>
  <c r="AF4" i="17"/>
  <c r="AE4" i="17"/>
  <c r="AD4" i="17"/>
  <c r="AC4" i="17"/>
  <c r="AB4" i="17"/>
  <c r="AA4" i="17"/>
  <c r="Z4" i="17"/>
  <c r="Y4" i="17"/>
  <c r="X4" i="17"/>
  <c r="S4" i="17"/>
  <c r="R4" i="17"/>
  <c r="Q4" i="17"/>
  <c r="P4" i="17"/>
  <c r="O4" i="17"/>
  <c r="O54" i="17" s="1"/>
  <c r="N4" i="17"/>
  <c r="M4" i="17"/>
  <c r="L4" i="17"/>
  <c r="K4" i="17"/>
  <c r="J4" i="17"/>
  <c r="I4" i="17"/>
  <c r="H4" i="17"/>
  <c r="AI3" i="17"/>
  <c r="AI53" i="17" s="1"/>
  <c r="AH3" i="17"/>
  <c r="AG3" i="17"/>
  <c r="AF3" i="17"/>
  <c r="AE3" i="17"/>
  <c r="AD3" i="17"/>
  <c r="AC3" i="17"/>
  <c r="AB3" i="17"/>
  <c r="AA3" i="17"/>
  <c r="AA53" i="17" s="1"/>
  <c r="Z3" i="17"/>
  <c r="Y3" i="17"/>
  <c r="X3" i="17"/>
  <c r="S3" i="17"/>
  <c r="R3" i="17"/>
  <c r="Q3" i="17"/>
  <c r="P3" i="17"/>
  <c r="O3" i="17"/>
  <c r="O53" i="17" s="1"/>
  <c r="N3" i="17"/>
  <c r="M3" i="17"/>
  <c r="L3" i="17"/>
  <c r="K3" i="17"/>
  <c r="J3" i="17"/>
  <c r="I3" i="17"/>
  <c r="H3" i="17"/>
  <c r="R68" i="17"/>
  <c r="D92" i="17"/>
  <c r="E56" i="17"/>
  <c r="E55" i="17"/>
  <c r="E54" i="17"/>
  <c r="E53" i="17"/>
  <c r="G51" i="17"/>
  <c r="E50" i="17"/>
  <c r="G50" i="17" s="1"/>
  <c r="G49" i="17"/>
  <c r="F48" i="17"/>
  <c r="G48" i="17" s="1"/>
  <c r="G47" i="17"/>
  <c r="F46" i="17"/>
  <c r="G46" i="17" s="1"/>
  <c r="C89" i="17"/>
  <c r="G45" i="17"/>
  <c r="E44" i="17"/>
  <c r="G44" i="17" s="1"/>
  <c r="G43" i="17"/>
  <c r="F42" i="17"/>
  <c r="G42" i="17" s="1"/>
  <c r="G41" i="17"/>
  <c r="F40" i="17"/>
  <c r="G40" i="17" s="1"/>
  <c r="C81" i="17"/>
  <c r="G39" i="17"/>
  <c r="G38" i="17"/>
  <c r="E38" i="17"/>
  <c r="G37" i="17"/>
  <c r="F36" i="17"/>
  <c r="G36" i="17" s="1"/>
  <c r="G35" i="17"/>
  <c r="F34" i="17"/>
  <c r="G34" i="17" s="1"/>
  <c r="C77" i="17"/>
  <c r="G33" i="17"/>
  <c r="E32" i="17"/>
  <c r="G31" i="17"/>
  <c r="F30" i="17"/>
  <c r="G30" i="17" s="1"/>
  <c r="M54" i="17"/>
  <c r="G29" i="17"/>
  <c r="F28" i="17"/>
  <c r="G28" i="17" s="1"/>
  <c r="C69" i="17"/>
  <c r="G27" i="17"/>
  <c r="G26" i="17"/>
  <c r="E26" i="17"/>
  <c r="G25" i="17"/>
  <c r="F24" i="17"/>
  <c r="G24" i="17" s="1"/>
  <c r="G23" i="17"/>
  <c r="F22" i="17"/>
  <c r="G22" i="17" s="1"/>
  <c r="A22" i="17"/>
  <c r="A28" i="17" s="1"/>
  <c r="A34" i="17" s="1"/>
  <c r="A40" i="17" s="1"/>
  <c r="A46" i="17" s="1"/>
  <c r="G21" i="17"/>
  <c r="E20" i="17"/>
  <c r="G20" i="17" s="1"/>
  <c r="G19" i="17"/>
  <c r="F18" i="17"/>
  <c r="G18" i="17" s="1"/>
  <c r="G17" i="17"/>
  <c r="AD53" i="17"/>
  <c r="F16" i="17"/>
  <c r="G16" i="17" s="1"/>
  <c r="C65" i="17"/>
  <c r="A16" i="17"/>
  <c r="G15" i="17"/>
  <c r="E14" i="17"/>
  <c r="G14" i="17" s="1"/>
  <c r="G13" i="17"/>
  <c r="U55" i="17"/>
  <c r="F12" i="17"/>
  <c r="G12" i="17" s="1"/>
  <c r="G11" i="17"/>
  <c r="F10" i="17"/>
  <c r="G10" i="17" s="1"/>
  <c r="C61" i="17"/>
  <c r="E8" i="17"/>
  <c r="AH56" i="17"/>
  <c r="AA56" i="17"/>
  <c r="Z56" i="17"/>
  <c r="P56" i="17"/>
  <c r="N56" i="17"/>
  <c r="AE55" i="17"/>
  <c r="AD55" i="17"/>
  <c r="Q55" i="17"/>
  <c r="L55" i="17"/>
  <c r="I55" i="17"/>
  <c r="AH54" i="17"/>
  <c r="AA54" i="17"/>
  <c r="Z54" i="17"/>
  <c r="P54" i="17"/>
  <c r="L54" i="17"/>
  <c r="H54" i="17"/>
  <c r="AF53" i="17"/>
  <c r="Q53" i="17"/>
  <c r="H53" i="17"/>
  <c r="O56" i="17" l="1"/>
  <c r="T3" i="17"/>
  <c r="T53" i="17" s="1"/>
  <c r="G32" i="17"/>
  <c r="O55" i="17"/>
  <c r="C92" i="17"/>
  <c r="AJ56" i="17"/>
  <c r="AK6" i="17"/>
  <c r="AK56" i="17" s="1"/>
  <c r="U6" i="17"/>
  <c r="T56" i="17"/>
  <c r="H55" i="17"/>
  <c r="AJ5" i="17"/>
  <c r="AJ55" i="17" s="1"/>
  <c r="L53" i="17"/>
  <c r="X56" i="17"/>
  <c r="AJ3" i="17"/>
  <c r="AJ53" i="17" s="1"/>
  <c r="H56" i="17"/>
  <c r="T54" i="17" l="1"/>
  <c r="U4" i="17"/>
  <c r="U54" i="17" s="1"/>
  <c r="C109" i="15" l="1"/>
  <c r="C83" i="15"/>
  <c r="C110" i="15" s="1"/>
  <c r="B77" i="15"/>
  <c r="B76" i="15"/>
  <c r="C29" i="15"/>
  <c r="C45" i="15"/>
  <c r="C58" i="15" s="1"/>
  <c r="AV21" i="9" l="1"/>
  <c r="AV18" i="9"/>
  <c r="AV15" i="9"/>
  <c r="AV14" i="9"/>
  <c r="AV13" i="9"/>
  <c r="Q46" i="8"/>
  <c r="R46" i="8"/>
  <c r="Q49" i="7" l="1"/>
  <c r="R49" i="7"/>
  <c r="Q44" i="6"/>
  <c r="R44" i="6"/>
  <c r="Q46" i="5"/>
  <c r="R46" i="5"/>
  <c r="Q48" i="4"/>
  <c r="R48" i="4"/>
  <c r="R46" i="3"/>
  <c r="Q46" i="3"/>
  <c r="R45" i="1"/>
  <c r="Q45" i="1"/>
  <c r="D50" i="7" l="1"/>
  <c r="E50" i="4"/>
  <c r="F50" i="4"/>
  <c r="G50" i="4"/>
  <c r="H50" i="4"/>
  <c r="I50" i="4"/>
  <c r="J50" i="4"/>
  <c r="K50" i="4"/>
  <c r="L50" i="4"/>
  <c r="M50" i="4"/>
  <c r="N50" i="4"/>
  <c r="O50" i="4"/>
  <c r="J12" i="16" l="1"/>
  <c r="J11" i="16"/>
  <c r="J10" i="16"/>
  <c r="K12" i="16" l="1"/>
  <c r="K10" i="16"/>
  <c r="K11" i="16"/>
  <c r="K9" i="16"/>
  <c r="H13" i="16"/>
  <c r="K6" i="16"/>
  <c r="J13" i="16"/>
  <c r="K7" i="16"/>
  <c r="K8" i="16"/>
  <c r="K13" i="16" l="1"/>
  <c r="A12" i="16"/>
  <c r="A11" i="16"/>
  <c r="A10" i="16"/>
  <c r="A9" i="16"/>
  <c r="A8" i="16"/>
  <c r="A7" i="16"/>
  <c r="A6" i="16"/>
  <c r="C80" i="15" l="1"/>
  <c r="C81" i="15" s="1"/>
  <c r="B73" i="15"/>
  <c r="B72" i="15"/>
  <c r="B71" i="15"/>
  <c r="B70" i="15"/>
  <c r="B69" i="15"/>
  <c r="B68" i="15"/>
  <c r="B67" i="15"/>
  <c r="B66" i="15"/>
  <c r="B65" i="15"/>
  <c r="B60" i="15"/>
  <c r="B61" i="15" s="1"/>
  <c r="C3" i="15"/>
  <c r="C4" i="15" l="1"/>
  <c r="Z24" i="3"/>
  <c r="X24" i="3"/>
  <c r="Y24" i="3"/>
  <c r="AB24" i="8"/>
  <c r="X22" i="8"/>
  <c r="U22" i="8"/>
  <c r="S22" i="8"/>
  <c r="AB24" i="7"/>
  <c r="X22" i="7"/>
  <c r="U22" i="7"/>
  <c r="T22" i="7"/>
  <c r="AB24" i="6"/>
  <c r="AC24" i="5"/>
  <c r="AB24" i="5"/>
  <c r="AC23" i="5"/>
  <c r="C9" i="16" s="1"/>
  <c r="X22" i="5"/>
  <c r="V22" i="5"/>
  <c r="U22" i="5"/>
  <c r="AC22" i="5" s="1"/>
  <c r="B9" i="16" s="1"/>
  <c r="D9" i="16" s="1"/>
  <c r="AB24" i="4"/>
  <c r="AC24" i="4" s="1"/>
  <c r="AC23" i="4"/>
  <c r="X22" i="4"/>
  <c r="V22" i="4"/>
  <c r="U22" i="4"/>
  <c r="AC22" i="4" s="1"/>
  <c r="B8" i="16" s="1"/>
  <c r="AB24" i="1"/>
  <c r="AC24" i="1" s="1"/>
  <c r="AC23" i="1"/>
  <c r="AC22" i="1"/>
  <c r="B6" i="16" s="1"/>
  <c r="AD23" i="4" l="1"/>
  <c r="C8" i="16"/>
  <c r="D8" i="16" s="1"/>
  <c r="AD23" i="1"/>
  <c r="C6" i="16"/>
  <c r="Q19" i="9"/>
  <c r="R19" i="9" s="1"/>
  <c r="D6" i="16" l="1"/>
  <c r="U31" i="9"/>
  <c r="W31" i="9"/>
  <c r="B30" i="4" l="1"/>
  <c r="F8" i="14" l="1"/>
  <c r="J7" i="14"/>
  <c r="F7" i="14"/>
  <c r="J6" i="14"/>
  <c r="F6" i="14"/>
  <c r="J5" i="14"/>
  <c r="F5" i="14"/>
  <c r="N4" i="14"/>
  <c r="J4" i="14"/>
  <c r="F4" i="14"/>
  <c r="N3" i="14"/>
  <c r="J3" i="14"/>
  <c r="F3" i="14"/>
  <c r="CA60" i="10"/>
  <c r="BZ60" i="10"/>
  <c r="BY60" i="10"/>
  <c r="BX60" i="10"/>
  <c r="BW60" i="10"/>
  <c r="BV60" i="10"/>
  <c r="BU60" i="10"/>
  <c r="BT60" i="10"/>
  <c r="BS60" i="10"/>
  <c r="BR60" i="10"/>
  <c r="BQ60" i="10"/>
  <c r="BP60" i="10"/>
  <c r="BM60" i="10"/>
  <c r="BL60" i="10"/>
  <c r="BK60" i="10"/>
  <c r="BJ60" i="10"/>
  <c r="BI60" i="10"/>
  <c r="BH60" i="10"/>
  <c r="BG60" i="10"/>
  <c r="BF60" i="10"/>
  <c r="BE60" i="10"/>
  <c r="BD60" i="10"/>
  <c r="BC60" i="10"/>
  <c r="BB60" i="10"/>
  <c r="BA60" i="10"/>
  <c r="AZ60" i="10"/>
  <c r="AY60" i="10"/>
  <c r="AX60" i="10"/>
  <c r="AW60" i="10"/>
  <c r="AV60" i="10"/>
  <c r="AU60" i="10"/>
  <c r="AT60" i="10"/>
  <c r="AS60" i="10"/>
  <c r="AR60" i="10"/>
  <c r="AQ60" i="10"/>
  <c r="AP60" i="10"/>
  <c r="AM60" i="10"/>
  <c r="AL60" i="10"/>
  <c r="AK60" i="10"/>
  <c r="AJ60" i="10"/>
  <c r="AI60" i="10"/>
  <c r="AH60" i="10"/>
  <c r="AG60" i="10"/>
  <c r="AF60" i="10"/>
  <c r="AE60" i="10"/>
  <c r="AD60" i="10"/>
  <c r="AC60" i="10"/>
  <c r="AB60" i="10"/>
  <c r="Y60" i="10"/>
  <c r="X60" i="10"/>
  <c r="W60" i="10"/>
  <c r="V60" i="10"/>
  <c r="U60" i="10"/>
  <c r="T60" i="10"/>
  <c r="S60" i="10"/>
  <c r="R60" i="10"/>
  <c r="Q60" i="10"/>
  <c r="P60" i="10"/>
  <c r="O60" i="10"/>
  <c r="N60" i="10"/>
  <c r="M60" i="10"/>
  <c r="L60" i="10"/>
  <c r="K60" i="10"/>
  <c r="J60" i="10"/>
  <c r="I60" i="10"/>
  <c r="H60" i="10"/>
  <c r="G60" i="10"/>
  <c r="F60" i="10"/>
  <c r="E60" i="10"/>
  <c r="D60" i="10"/>
  <c r="C60" i="10"/>
  <c r="B60" i="10"/>
  <c r="BO59" i="10"/>
  <c r="BN59" i="10"/>
  <c r="AA59" i="10"/>
  <c r="Z59" i="10"/>
  <c r="BO58" i="10"/>
  <c r="BN58" i="10"/>
  <c r="AA58" i="10"/>
  <c r="Z58" i="10"/>
  <c r="BO57" i="10"/>
  <c r="BN57" i="10"/>
  <c r="AA57" i="10"/>
  <c r="Z57" i="10"/>
  <c r="BO56" i="10"/>
  <c r="BN56" i="10"/>
  <c r="AA56" i="10"/>
  <c r="Z56" i="10"/>
  <c r="BO55" i="10"/>
  <c r="BN55" i="10"/>
  <c r="AA55" i="10"/>
  <c r="Z55" i="10"/>
  <c r="BO54" i="10"/>
  <c r="BN54" i="10"/>
  <c r="AA54" i="10"/>
  <c r="Z54" i="10"/>
  <c r="BO53" i="10"/>
  <c r="BN53" i="10"/>
  <c r="AA53" i="10"/>
  <c r="Z53" i="10"/>
  <c r="BO52" i="10"/>
  <c r="BN52" i="10"/>
  <c r="AA52" i="10"/>
  <c r="Z52" i="10"/>
  <c r="BO51" i="10"/>
  <c r="BN51" i="10"/>
  <c r="AA51" i="10"/>
  <c r="Z51" i="10"/>
  <c r="BO50" i="10"/>
  <c r="BN50" i="10"/>
  <c r="AA50" i="10"/>
  <c r="Z50" i="10"/>
  <c r="BO49" i="10"/>
  <c r="BN49" i="10"/>
  <c r="AA49" i="10"/>
  <c r="Z49" i="10"/>
  <c r="BO48" i="10"/>
  <c r="BN48" i="10"/>
  <c r="AA48" i="10"/>
  <c r="Z48" i="10"/>
  <c r="BO47" i="10"/>
  <c r="BN47" i="10"/>
  <c r="AA47" i="10"/>
  <c r="Z47" i="10"/>
  <c r="BO46" i="10"/>
  <c r="BN46" i="10"/>
  <c r="AA46" i="10"/>
  <c r="Z46" i="10"/>
  <c r="BO45" i="10"/>
  <c r="BN45" i="10"/>
  <c r="AA45" i="10"/>
  <c r="Z45" i="10"/>
  <c r="BO44" i="10"/>
  <c r="BN44" i="10"/>
  <c r="AA44" i="10"/>
  <c r="Z44" i="10"/>
  <c r="BO43" i="10"/>
  <c r="BN43" i="10"/>
  <c r="AA43" i="10"/>
  <c r="Z43" i="10"/>
  <c r="BO42" i="10"/>
  <c r="BN42" i="10"/>
  <c r="AA42" i="10"/>
  <c r="Z42" i="10"/>
  <c r="BO41" i="10"/>
  <c r="BN41" i="10"/>
  <c r="AA41" i="10"/>
  <c r="Z41" i="10"/>
  <c r="BO40" i="10"/>
  <c r="BN40" i="10"/>
  <c r="AA40" i="10"/>
  <c r="Z40" i="10"/>
  <c r="BO39" i="10"/>
  <c r="BO60" i="10" s="1"/>
  <c r="BN39" i="10"/>
  <c r="BN60" i="10" s="1"/>
  <c r="AA39" i="10"/>
  <c r="AA60" i="10" s="1"/>
  <c r="Z39" i="10"/>
  <c r="CA32" i="10"/>
  <c r="BZ32" i="10"/>
  <c r="BY32" i="10"/>
  <c r="BX32" i="10"/>
  <c r="BW32" i="10"/>
  <c r="BV32" i="10"/>
  <c r="BU32" i="10"/>
  <c r="BT32" i="10"/>
  <c r="BS32" i="10"/>
  <c r="BR32" i="10"/>
  <c r="BQ32" i="10"/>
  <c r="BP32" i="10"/>
  <c r="BM32" i="10"/>
  <c r="BL32" i="10"/>
  <c r="BK32" i="10"/>
  <c r="BJ32" i="10"/>
  <c r="BI32" i="10"/>
  <c r="BH32" i="10"/>
  <c r="BG32" i="10"/>
  <c r="BF32" i="10"/>
  <c r="BE32" i="10"/>
  <c r="BD32" i="10"/>
  <c r="BC32" i="10"/>
  <c r="BB32" i="10"/>
  <c r="BA32" i="10"/>
  <c r="AZ32" i="10"/>
  <c r="AY32" i="10"/>
  <c r="AX32" i="10"/>
  <c r="AW32" i="10"/>
  <c r="AV32" i="10"/>
  <c r="AU32" i="10"/>
  <c r="AT32" i="10"/>
  <c r="AS32" i="10"/>
  <c r="AR32" i="10"/>
  <c r="AQ32" i="10"/>
  <c r="AP32" i="10"/>
  <c r="AM32" i="10"/>
  <c r="AL32" i="10"/>
  <c r="AK32" i="10"/>
  <c r="AJ32" i="10"/>
  <c r="AI32" i="10"/>
  <c r="AH32" i="10"/>
  <c r="AG32" i="10"/>
  <c r="AF32" i="10"/>
  <c r="AE32" i="10"/>
  <c r="AD32" i="10"/>
  <c r="AC32" i="10"/>
  <c r="AB32" i="10"/>
  <c r="Y32" i="10"/>
  <c r="X32" i="10"/>
  <c r="W32" i="10"/>
  <c r="V32" i="10"/>
  <c r="U32" i="10"/>
  <c r="T32" i="10"/>
  <c r="S32" i="10"/>
  <c r="R32" i="10"/>
  <c r="Q32" i="10"/>
  <c r="P32" i="10"/>
  <c r="O32" i="10"/>
  <c r="N32" i="10"/>
  <c r="M32" i="10"/>
  <c r="L32" i="10"/>
  <c r="K32" i="10"/>
  <c r="J32" i="10"/>
  <c r="I32" i="10"/>
  <c r="H32" i="10"/>
  <c r="G32" i="10"/>
  <c r="F32" i="10"/>
  <c r="E32" i="10"/>
  <c r="D32" i="10"/>
  <c r="C32" i="10"/>
  <c r="B32" i="10"/>
  <c r="BO31" i="10"/>
  <c r="BN31" i="10"/>
  <c r="AA31" i="10"/>
  <c r="Z31" i="10"/>
  <c r="BO30" i="10"/>
  <c r="BN30" i="10"/>
  <c r="AA30" i="10"/>
  <c r="Z30" i="10"/>
  <c r="BO29" i="10"/>
  <c r="BN29" i="10"/>
  <c r="AA29" i="10"/>
  <c r="Z29" i="10"/>
  <c r="BO28" i="10"/>
  <c r="BN28" i="10"/>
  <c r="AA28" i="10"/>
  <c r="Z28" i="10"/>
  <c r="BO27" i="10"/>
  <c r="BN27" i="10"/>
  <c r="AA27" i="10"/>
  <c r="Z27" i="10"/>
  <c r="BO26" i="10"/>
  <c r="BN26" i="10"/>
  <c r="AA26" i="10"/>
  <c r="Z26" i="10"/>
  <c r="BO25" i="10"/>
  <c r="BN25" i="10"/>
  <c r="AA25" i="10"/>
  <c r="Z25" i="10"/>
  <c r="BO24" i="10"/>
  <c r="BN24" i="10"/>
  <c r="AA24" i="10"/>
  <c r="Z24" i="10"/>
  <c r="BO23" i="10"/>
  <c r="BN23" i="10"/>
  <c r="AA23" i="10"/>
  <c r="Z23" i="10"/>
  <c r="BO22" i="10"/>
  <c r="BN22" i="10"/>
  <c r="AA22" i="10"/>
  <c r="Z22" i="10"/>
  <c r="BO21" i="10"/>
  <c r="BN21" i="10"/>
  <c r="AA21" i="10"/>
  <c r="Z21" i="10"/>
  <c r="BO20" i="10"/>
  <c r="BN20" i="10"/>
  <c r="AA20" i="10"/>
  <c r="Z20" i="10"/>
  <c r="BO19" i="10"/>
  <c r="BN19" i="10"/>
  <c r="AA19" i="10"/>
  <c r="Z19" i="10"/>
  <c r="BO18" i="10"/>
  <c r="BN18" i="10"/>
  <c r="AA18" i="10"/>
  <c r="Z18" i="10"/>
  <c r="BO17" i="10"/>
  <c r="BN17" i="10"/>
  <c r="AA17" i="10"/>
  <c r="Z17" i="10"/>
  <c r="BO16" i="10"/>
  <c r="BN16" i="10"/>
  <c r="AA16" i="10"/>
  <c r="Z16" i="10"/>
  <c r="BO15" i="10"/>
  <c r="BN15" i="10"/>
  <c r="AA15" i="10"/>
  <c r="Z15" i="10"/>
  <c r="BO14" i="10"/>
  <c r="BN14" i="10"/>
  <c r="AA14" i="10"/>
  <c r="Z14" i="10"/>
  <c r="BO13" i="10"/>
  <c r="BN13" i="10"/>
  <c r="AA13" i="10"/>
  <c r="Z13" i="10"/>
  <c r="BO12" i="10"/>
  <c r="BN12" i="10"/>
  <c r="AA12" i="10"/>
  <c r="Z12" i="10"/>
  <c r="BO11" i="10"/>
  <c r="BN11" i="10"/>
  <c r="AA11" i="10"/>
  <c r="Z11" i="10"/>
  <c r="Z32" i="10" s="1"/>
  <c r="AT21" i="9"/>
  <c r="AU21" i="9" s="1"/>
  <c r="AT20" i="9"/>
  <c r="AU20" i="9" s="1"/>
  <c r="AT19" i="9"/>
  <c r="AU19" i="9" s="1"/>
  <c r="AT18" i="9"/>
  <c r="AU18" i="9" s="1"/>
  <c r="AT17" i="9"/>
  <c r="AU17" i="9" s="1"/>
  <c r="AT16" i="9"/>
  <c r="AU16" i="9" s="1"/>
  <c r="AG15" i="9"/>
  <c r="AF15" i="9"/>
  <c r="AE15" i="9"/>
  <c r="AD15" i="9"/>
  <c r="AC15" i="9"/>
  <c r="AB15" i="9"/>
  <c r="AA15" i="9"/>
  <c r="Z15" i="9"/>
  <c r="Y15" i="9"/>
  <c r="X15" i="9"/>
  <c r="W15" i="9"/>
  <c r="V15" i="9"/>
  <c r="AG14" i="9"/>
  <c r="AF14" i="9"/>
  <c r="AE14" i="9"/>
  <c r="AD14" i="9"/>
  <c r="AC14" i="9"/>
  <c r="AB14" i="9"/>
  <c r="AA14" i="9"/>
  <c r="Z14" i="9"/>
  <c r="Y14" i="9"/>
  <c r="X14" i="9"/>
  <c r="W14" i="9"/>
  <c r="V14" i="9"/>
  <c r="O48" i="8"/>
  <c r="O35" i="8" s="1"/>
  <c r="N48" i="8"/>
  <c r="N35" i="8" s="1"/>
  <c r="M48" i="8"/>
  <c r="M35" i="8" s="1"/>
  <c r="L48" i="8"/>
  <c r="L35" i="8" s="1"/>
  <c r="K48" i="8"/>
  <c r="J48" i="8"/>
  <c r="J35" i="8" s="1"/>
  <c r="I48" i="8"/>
  <c r="H48" i="8"/>
  <c r="H35" i="8" s="1"/>
  <c r="G48" i="8"/>
  <c r="G35" i="8" s="1"/>
  <c r="F48" i="8"/>
  <c r="F35" i="8" s="1"/>
  <c r="E48" i="8"/>
  <c r="E35" i="8" s="1"/>
  <c r="D48" i="8"/>
  <c r="O47" i="8"/>
  <c r="N47" i="8"/>
  <c r="N34" i="8" s="1"/>
  <c r="M47" i="8"/>
  <c r="L47" i="8"/>
  <c r="L34" i="8" s="1"/>
  <c r="K47" i="8"/>
  <c r="K34" i="8" s="1"/>
  <c r="J47" i="8"/>
  <c r="I47" i="8"/>
  <c r="I34" i="8" s="1"/>
  <c r="H47" i="8"/>
  <c r="G47" i="8"/>
  <c r="G34" i="8" s="1"/>
  <c r="F47" i="8"/>
  <c r="E47" i="8"/>
  <c r="E34" i="8" s="1"/>
  <c r="D47" i="8"/>
  <c r="D34" i="8" s="1"/>
  <c r="P43" i="8"/>
  <c r="P42" i="8"/>
  <c r="P41" i="8"/>
  <c r="P40" i="8"/>
  <c r="P39" i="8"/>
  <c r="P38" i="8"/>
  <c r="K35" i="8"/>
  <c r="I35" i="8"/>
  <c r="O34" i="8"/>
  <c r="M34" i="8"/>
  <c r="J34" i="8"/>
  <c r="H34" i="8"/>
  <c r="F34" i="8"/>
  <c r="B34" i="8"/>
  <c r="AC17" i="8" s="1"/>
  <c r="P30" i="8"/>
  <c r="AC25" i="8"/>
  <c r="O25" i="8"/>
  <c r="P25" i="8" s="1"/>
  <c r="AC24" i="8"/>
  <c r="O24" i="8"/>
  <c r="G12" i="16" s="1"/>
  <c r="I12" i="16" s="1"/>
  <c r="AC23" i="8"/>
  <c r="O23" i="8"/>
  <c r="P23" i="8" s="1"/>
  <c r="AC22" i="8"/>
  <c r="B12" i="16" s="1"/>
  <c r="O22" i="8"/>
  <c r="D51" i="7"/>
  <c r="E50" i="7"/>
  <c r="P45" i="7"/>
  <c r="P44" i="7"/>
  <c r="P43" i="7"/>
  <c r="P42" i="7"/>
  <c r="P41" i="7"/>
  <c r="P40" i="7"/>
  <c r="P39" i="7"/>
  <c r="P38" i="7"/>
  <c r="D34" i="7"/>
  <c r="B34" i="7"/>
  <c r="AC17" i="7" s="1"/>
  <c r="P30" i="7"/>
  <c r="AC25" i="7"/>
  <c r="O25" i="7"/>
  <c r="P25" i="7" s="1"/>
  <c r="AC24" i="7"/>
  <c r="O24" i="7"/>
  <c r="G11" i="16" s="1"/>
  <c r="I11" i="16" s="1"/>
  <c r="AC23" i="7"/>
  <c r="P23" i="7"/>
  <c r="O23" i="7"/>
  <c r="AC22" i="7"/>
  <c r="B11" i="16" s="1"/>
  <c r="O22" i="7"/>
  <c r="D47" i="6"/>
  <c r="D46" i="6"/>
  <c r="P41" i="6"/>
  <c r="C32" i="15" s="1"/>
  <c r="P40" i="6"/>
  <c r="P39" i="6"/>
  <c r="P38" i="6"/>
  <c r="B34" i="6"/>
  <c r="P30" i="6"/>
  <c r="AC25" i="6"/>
  <c r="O25" i="6"/>
  <c r="P25" i="6" s="1"/>
  <c r="AC24" i="6"/>
  <c r="O24" i="6"/>
  <c r="G10" i="16" s="1"/>
  <c r="I10" i="16" s="1"/>
  <c r="AC23" i="6"/>
  <c r="O23" i="6"/>
  <c r="P23" i="6" s="1"/>
  <c r="AC22" i="6"/>
  <c r="B10" i="16" s="1"/>
  <c r="O22" i="6"/>
  <c r="AC17" i="6"/>
  <c r="D49" i="5"/>
  <c r="E49" i="5" s="1"/>
  <c r="F49" i="5" s="1"/>
  <c r="O48" i="5"/>
  <c r="N48" i="5"/>
  <c r="N35" i="5" s="1"/>
  <c r="M48" i="5"/>
  <c r="M35" i="5" s="1"/>
  <c r="L48" i="5"/>
  <c r="L35" i="5" s="1"/>
  <c r="K48" i="5"/>
  <c r="J48" i="5"/>
  <c r="J35" i="5" s="1"/>
  <c r="I48" i="5"/>
  <c r="I35" i="5" s="1"/>
  <c r="H48" i="5"/>
  <c r="H35" i="5" s="1"/>
  <c r="G48" i="5"/>
  <c r="F48" i="5"/>
  <c r="F35" i="5" s="1"/>
  <c r="E48" i="5"/>
  <c r="D48" i="5"/>
  <c r="O47" i="5"/>
  <c r="O34" i="5" s="1"/>
  <c r="N47" i="5"/>
  <c r="N34" i="5" s="1"/>
  <c r="M47" i="5"/>
  <c r="M34" i="5" s="1"/>
  <c r="L47" i="5"/>
  <c r="L34" i="5" s="1"/>
  <c r="K47" i="5"/>
  <c r="J47" i="5"/>
  <c r="I47" i="5"/>
  <c r="H47" i="5"/>
  <c r="G47" i="5"/>
  <c r="G34" i="5" s="1"/>
  <c r="F47" i="5"/>
  <c r="F34" i="5" s="1"/>
  <c r="E47" i="5"/>
  <c r="E34" i="5" s="1"/>
  <c r="D47" i="5"/>
  <c r="D34" i="5" s="1"/>
  <c r="P43" i="5"/>
  <c r="P42" i="5"/>
  <c r="P41" i="5"/>
  <c r="P40" i="5"/>
  <c r="P39" i="5"/>
  <c r="P38" i="5"/>
  <c r="O35" i="5"/>
  <c r="K35" i="5"/>
  <c r="G35" i="5"/>
  <c r="E35" i="5"/>
  <c r="K34" i="5"/>
  <c r="J34" i="5"/>
  <c r="I34" i="5"/>
  <c r="H34" i="5"/>
  <c r="B34" i="5"/>
  <c r="AC17" i="5" s="1"/>
  <c r="P30" i="5"/>
  <c r="AC25" i="5"/>
  <c r="O25" i="5"/>
  <c r="P25" i="5" s="1"/>
  <c r="O24" i="5"/>
  <c r="G9" i="16" s="1"/>
  <c r="I9" i="16" s="1"/>
  <c r="AD23" i="5"/>
  <c r="O23" i="5"/>
  <c r="P23" i="5" s="1"/>
  <c r="O22" i="5"/>
  <c r="D50" i="4"/>
  <c r="D35" i="4" s="1"/>
  <c r="P35" i="4" s="1"/>
  <c r="O49" i="4"/>
  <c r="O34" i="4" s="1"/>
  <c r="N49" i="4"/>
  <c r="N34" i="4" s="1"/>
  <c r="M49" i="4"/>
  <c r="M34" i="4" s="1"/>
  <c r="L49" i="4"/>
  <c r="L34" i="4" s="1"/>
  <c r="K49" i="4"/>
  <c r="K34" i="4" s="1"/>
  <c r="J49" i="4"/>
  <c r="J34" i="4" s="1"/>
  <c r="I49" i="4"/>
  <c r="I34" i="4" s="1"/>
  <c r="H49" i="4"/>
  <c r="H34" i="4" s="1"/>
  <c r="G49" i="4"/>
  <c r="G34" i="4" s="1"/>
  <c r="F49" i="4"/>
  <c r="F34" i="4" s="1"/>
  <c r="E49" i="4"/>
  <c r="E34" i="4" s="1"/>
  <c r="D49" i="4"/>
  <c r="D34" i="4" s="1"/>
  <c r="P43" i="4"/>
  <c r="P42" i="4"/>
  <c r="P41" i="4"/>
  <c r="P40" i="4"/>
  <c r="P39" i="4"/>
  <c r="P38" i="4"/>
  <c r="B34" i="4"/>
  <c r="AC17" i="4" s="1"/>
  <c r="P30" i="4"/>
  <c r="C48" i="4"/>
  <c r="AC25" i="4"/>
  <c r="O25" i="4"/>
  <c r="P25" i="4" s="1"/>
  <c r="O24" i="4"/>
  <c r="G8" i="16" s="1"/>
  <c r="I8" i="16" s="1"/>
  <c r="O23" i="4"/>
  <c r="P23" i="4" s="1"/>
  <c r="O22" i="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5" i="3"/>
  <c r="P34" i="3"/>
  <c r="B34" i="3"/>
  <c r="P30" i="3"/>
  <c r="AC25" i="3"/>
  <c r="O25" i="3"/>
  <c r="P25" i="3" s="1"/>
  <c r="AB24" i="3"/>
  <c r="AC24" i="3" s="1"/>
  <c r="O24" i="3"/>
  <c r="G7" i="16" s="1"/>
  <c r="I7" i="16" s="1"/>
  <c r="AC23" i="3"/>
  <c r="O23" i="3"/>
  <c r="P23" i="3" s="1"/>
  <c r="AC22" i="3"/>
  <c r="B7" i="16" s="1"/>
  <c r="B13" i="16" s="1"/>
  <c r="O22" i="3"/>
  <c r="AC17" i="3"/>
  <c r="P39" i="2"/>
  <c r="P38" i="2"/>
  <c r="P37" i="2"/>
  <c r="P36" i="2"/>
  <c r="P35" i="2"/>
  <c r="P34" i="2"/>
  <c r="P33" i="2"/>
  <c r="P32" i="2"/>
  <c r="P29" i="2"/>
  <c r="P28" i="2"/>
  <c r="P24" i="2"/>
  <c r="D46" i="1"/>
  <c r="D35" i="1" s="1"/>
  <c r="AH14" i="9" s="1"/>
  <c r="AT14" i="9" s="1"/>
  <c r="AU14" i="9" s="1"/>
  <c r="D45" i="1"/>
  <c r="P41" i="1"/>
  <c r="P40" i="1"/>
  <c r="P39" i="1"/>
  <c r="P38" i="1"/>
  <c r="B34" i="1"/>
  <c r="AC17" i="1" s="1"/>
  <c r="P30" i="1"/>
  <c r="AC25" i="1"/>
  <c r="O25" i="1"/>
  <c r="P25" i="1" s="1"/>
  <c r="O24" i="1"/>
  <c r="G6" i="16" s="1"/>
  <c r="O23" i="1"/>
  <c r="O22" i="1"/>
  <c r="AD23" i="6" l="1"/>
  <c r="C10" i="16"/>
  <c r="AD25" i="4"/>
  <c r="U25" i="17" s="1"/>
  <c r="E8" i="16"/>
  <c r="F8" i="16" s="1"/>
  <c r="AD25" i="5"/>
  <c r="U31" i="17" s="1"/>
  <c r="E9" i="16"/>
  <c r="F9" i="16" s="1"/>
  <c r="AD23" i="7"/>
  <c r="C11" i="16"/>
  <c r="AD25" i="8"/>
  <c r="U49" i="17" s="1"/>
  <c r="E12" i="16"/>
  <c r="G13" i="16"/>
  <c r="I13" i="16" s="1"/>
  <c r="I6" i="16"/>
  <c r="AD25" i="6"/>
  <c r="U37" i="17" s="1"/>
  <c r="E10" i="16"/>
  <c r="F10" i="16" s="1"/>
  <c r="AD25" i="3"/>
  <c r="U19" i="17" s="1"/>
  <c r="E7" i="16"/>
  <c r="D10" i="16"/>
  <c r="AD25" i="7"/>
  <c r="U43" i="17" s="1"/>
  <c r="E11" i="16"/>
  <c r="F11" i="16" s="1"/>
  <c r="BN32" i="10"/>
  <c r="AD25" i="1"/>
  <c r="U13" i="17" s="1"/>
  <c r="U56" i="17" s="1"/>
  <c r="E6" i="16"/>
  <c r="F6" i="16" s="1"/>
  <c r="D11" i="16"/>
  <c r="AD23" i="3"/>
  <c r="C7" i="16"/>
  <c r="AD23" i="8"/>
  <c r="C12" i="16"/>
  <c r="D12" i="16" s="1"/>
  <c r="E51" i="7"/>
  <c r="E49" i="7" s="1"/>
  <c r="D49" i="7"/>
  <c r="D35" i="8"/>
  <c r="D35" i="5"/>
  <c r="P35" i="5" s="1"/>
  <c r="BO32" i="10"/>
  <c r="P34" i="4"/>
  <c r="P34" i="5"/>
  <c r="P34" i="8"/>
  <c r="AA32" i="10"/>
  <c r="Z60" i="10"/>
  <c r="E45" i="1"/>
  <c r="F45" i="1" s="1"/>
  <c r="D34" i="1"/>
  <c r="D35" i="6"/>
  <c r="AH13" i="9" s="1"/>
  <c r="AT13" i="9" s="1"/>
  <c r="AU13" i="9" s="1"/>
  <c r="E47" i="6"/>
  <c r="F51" i="7"/>
  <c r="F49" i="7" s="1"/>
  <c r="E46" i="1"/>
  <c r="D34" i="6"/>
  <c r="E46" i="6"/>
  <c r="E34" i="7"/>
  <c r="F50" i="7"/>
  <c r="D35" i="7"/>
  <c r="P35" i="7" s="1"/>
  <c r="P35" i="8" l="1"/>
  <c r="AH15" i="9"/>
  <c r="AT15" i="9" s="1"/>
  <c r="AU15" i="9" s="1"/>
  <c r="D7" i="16"/>
  <c r="C13" i="16"/>
  <c r="D13" i="16" s="1"/>
  <c r="F13" i="16" s="1"/>
  <c r="F7" i="16"/>
  <c r="F12" i="16"/>
  <c r="E35" i="7"/>
  <c r="E34" i="1"/>
  <c r="F34" i="7"/>
  <c r="G50" i="7"/>
  <c r="F35" i="7"/>
  <c r="G51" i="7"/>
  <c r="G49" i="7" s="1"/>
  <c r="E34" i="6"/>
  <c r="F46" i="6"/>
  <c r="F47" i="6"/>
  <c r="E35" i="6"/>
  <c r="G45" i="1"/>
  <c r="F34" i="1"/>
  <c r="F46" i="1"/>
  <c r="E35" i="1"/>
  <c r="H51" i="7" l="1"/>
  <c r="H49" i="7" s="1"/>
  <c r="G35" i="7"/>
  <c r="G34" i="7"/>
  <c r="H50" i="7"/>
  <c r="G46" i="1"/>
  <c r="F35" i="1"/>
  <c r="G47" i="6"/>
  <c r="F35" i="6"/>
  <c r="G46" i="6"/>
  <c r="F34" i="6"/>
  <c r="G34" i="1"/>
  <c r="H45" i="1"/>
  <c r="I50" i="7" l="1"/>
  <c r="H34" i="7"/>
  <c r="G34" i="6"/>
  <c r="H46" i="6"/>
  <c r="I45" i="1"/>
  <c r="H34" i="1"/>
  <c r="G35" i="6"/>
  <c r="H47" i="6"/>
  <c r="H46" i="1"/>
  <c r="G35" i="1"/>
  <c r="I51" i="7"/>
  <c r="I49" i="7" s="1"/>
  <c r="H35" i="7"/>
  <c r="H34" i="6" l="1"/>
  <c r="I46" i="6"/>
  <c r="I35" i="7"/>
  <c r="J51" i="7"/>
  <c r="J49" i="7" s="1"/>
  <c r="H35" i="6"/>
  <c r="I47" i="6"/>
  <c r="H35" i="1"/>
  <c r="I46" i="1"/>
  <c r="I34" i="1"/>
  <c r="J45" i="1"/>
  <c r="I34" i="7"/>
  <c r="J50" i="7"/>
  <c r="J35" i="7" l="1"/>
  <c r="K51" i="7"/>
  <c r="J34" i="7"/>
  <c r="K50" i="7"/>
  <c r="J46" i="1"/>
  <c r="I35" i="1"/>
  <c r="K45" i="1"/>
  <c r="J34" i="1"/>
  <c r="J47" i="6"/>
  <c r="I35" i="6"/>
  <c r="I34" i="6"/>
  <c r="J46" i="6"/>
  <c r="K49" i="7" l="1"/>
  <c r="K34" i="7"/>
  <c r="L50" i="7"/>
  <c r="K34" i="1"/>
  <c r="L45" i="1"/>
  <c r="K46" i="6"/>
  <c r="J34" i="6"/>
  <c r="L51" i="7"/>
  <c r="L49" i="7" s="1"/>
  <c r="K35" i="7"/>
  <c r="K47" i="6"/>
  <c r="J35" i="6"/>
  <c r="K46" i="1"/>
  <c r="J35" i="1"/>
  <c r="M50" i="7" l="1"/>
  <c r="L34" i="7"/>
  <c r="M45" i="1"/>
  <c r="L34" i="1"/>
  <c r="K35" i="1"/>
  <c r="L46" i="1"/>
  <c r="M51" i="7"/>
  <c r="L35" i="7"/>
  <c r="K35" i="6"/>
  <c r="L47" i="6"/>
  <c r="K34" i="6"/>
  <c r="L46" i="6"/>
  <c r="M49" i="7" l="1"/>
  <c r="L34" i="6"/>
  <c r="M46" i="6"/>
  <c r="M34" i="1"/>
  <c r="N45" i="1"/>
  <c r="M35" i="7"/>
  <c r="N51" i="7"/>
  <c r="L35" i="6"/>
  <c r="M47" i="6"/>
  <c r="L35" i="1"/>
  <c r="M46" i="1"/>
  <c r="M34" i="7"/>
  <c r="N50" i="7"/>
  <c r="N49" i="7" l="1"/>
  <c r="N47" i="6"/>
  <c r="M35" i="6"/>
  <c r="N34" i="7"/>
  <c r="O50" i="7"/>
  <c r="O34" i="7" s="1"/>
  <c r="P34" i="7" s="1"/>
  <c r="O45" i="1"/>
  <c r="O34" i="1" s="1"/>
  <c r="P34" i="1" s="1"/>
  <c r="N34" i="1"/>
  <c r="N46" i="1"/>
  <c r="M35" i="1"/>
  <c r="N35" i="7"/>
  <c r="O51" i="7"/>
  <c r="M34" i="6"/>
  <c r="N46" i="6"/>
  <c r="O35" i="7" l="1"/>
  <c r="O49" i="7"/>
  <c r="O46" i="6"/>
  <c r="O34" i="6" s="1"/>
  <c r="P34" i="6" s="1"/>
  <c r="N34" i="6"/>
  <c r="O46" i="1"/>
  <c r="O35" i="1" s="1"/>
  <c r="P35" i="1" s="1"/>
  <c r="N35" i="1"/>
  <c r="O47" i="6"/>
  <c r="O35" i="6" s="1"/>
  <c r="P35" i="6" s="1"/>
  <c r="N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ferreteria, papeleria, elementos de protección, operador logistico, licenciamiento, internet
</t>
        </r>
      </text>
    </comment>
    <comment ref="V22" authorId="0" shapeId="0" xr:uid="{9AB2A61D-695B-4E19-83B4-4840501A58E2}">
      <text>
        <r>
          <rPr>
            <sz val="11"/>
            <rFont val="Calibri"/>
            <family val="2"/>
          </rPr>
          <t>MI PC:
Corresponden a Equipos Tecnologicos,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pepeleria, elementos de protección, relevos, licenciamiento, internet, interventoria relevos
</t>
        </r>
      </text>
    </comment>
    <comment ref="V22" authorId="0" shapeId="0" xr:uid="{B881751A-D6F7-44F7-BEE7-450BE054488D}">
      <text>
        <r>
          <rPr>
            <sz val="11"/>
            <rFont val="Calibri"/>
            <family val="2"/>
          </rPr>
          <t>MI PC:
Corresponde a equipos tecnologicos,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papeleria, elementos de protección, aseo y cafeteria,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Moviles, interventoria de unidades moviles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00000000-0006-0000-0800-000001000000}">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00000000-0006-0000-0800-000002000000}">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00000000-0006-0000-0800-000003000000}">
      <text>
        <r>
          <rPr>
            <sz val="11"/>
            <rFont val="Calibri"/>
            <family val="2"/>
          </rPr>
          <t xml:space="preserve">Microsoft Office User:
Relacionar la descripción de las alternativas de solución </t>
        </r>
      </text>
    </comment>
    <comment ref="A11" authorId="0" shapeId="0" xr:uid="{00000000-0006-0000-0800-000004000000}">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5000000}">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00000000-0006-0000-0800-000006000000}">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00000000-0006-0000-0800-000007000000}">
      <text>
        <r>
          <rPr>
            <sz val="11"/>
            <rFont val="Calibri"/>
            <family val="2"/>
          </rPr>
          <t>Microsoft Office User:
En coherencia con los mediciones establecidas por la SDH, Corresponde a:
Suma 
Creciente
Decreciente
Constante</t>
        </r>
      </text>
    </comment>
    <comment ref="N11" authorId="0" shapeId="0" xr:uid="{00000000-0006-0000-0800-000008000000}">
      <text>
        <r>
          <rPr>
            <sz val="11"/>
            <rFont val="Calibri"/>
            <family val="2"/>
          </rPr>
          <t>Microsoft Office User:
Corresponde a la descripción detallada de la medición del indicador y la formula del mismo</t>
        </r>
      </text>
    </comment>
    <comment ref="T11" authorId="0" shapeId="0" xr:uid="{00000000-0006-0000-0800-000009000000}">
      <text>
        <r>
          <rPr>
            <sz val="11"/>
            <rFont val="Calibri"/>
            <family val="2"/>
          </rPr>
          <t xml:space="preserve">Microsoft Office User:
Se debe establecer la periodicidad de la medicicion del indicador y del reporte del seguimiento </t>
        </r>
      </text>
    </comment>
  </commentList>
</comments>
</file>

<file path=xl/sharedStrings.xml><?xml version="1.0" encoding="utf-8"?>
<sst xmlns="http://schemas.openxmlformats.org/spreadsheetml/2006/main" count="2105" uniqueCount="622">
  <si>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</si>
  <si>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</si>
  <si>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</si>
  <si>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</si>
  <si>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</si>
  <si>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</si>
  <si>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</si>
  <si>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</si>
  <si>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</si>
  <si>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dd/mm/aaaa</t>
  </si>
  <si>
    <t>TIPO DE REPORTE</t>
  </si>
  <si>
    <t>FORMULACION</t>
  </si>
  <si>
    <t>ACTUALIZACION</t>
  </si>
  <si>
    <t>SEGUIMIENTO</t>
  </si>
  <si>
    <t>NOMBRE DEL PROYECTO</t>
  </si>
  <si>
    <t>7718 - Implementación del Sistema Distrital de Cuidado</t>
  </si>
  <si>
    <t>PROPÓSITO</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</si>
  <si>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</si>
  <si>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</si>
  <si>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</si>
  <si>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</si>
  <si>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</si>
  <si>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</si>
  <si>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</si>
  <si>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</si>
  <si>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</si>
  <si>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</si>
  <si>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</si>
  <si>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</si>
  <si>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</si>
  <si>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</si>
  <si>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</si>
  <si>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</si>
  <si>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</si>
  <si>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</si>
  <si>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</si>
  <si>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</si>
  <si>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</si>
  <si>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</si>
  <si>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</si>
  <si>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</si>
  <si>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</si>
  <si>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</si>
  <si>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</si>
  <si>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</si>
  <si>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</si>
  <si>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</si>
  <si>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</si>
  <si>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</si>
  <si>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</si>
  <si>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</si>
  <si>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</si>
  <si>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</si>
  <si>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</si>
  <si>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</si>
  <si>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</si>
  <si>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</si>
  <si>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</si>
  <si>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</si>
  <si>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</si>
  <si>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</si>
  <si>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</si>
  <si>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</si>
  <si>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</si>
  <si>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</si>
  <si>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</si>
  <si>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</si>
  <si>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</si>
  <si>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</si>
  <si>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</si>
  <si>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</si>
  <si>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</si>
  <si>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</si>
  <si>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</si>
  <si>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</si>
  <si>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</si>
  <si>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</si>
  <si>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</si>
  <si>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</si>
  <si>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</si>
  <si>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</si>
  <si>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</si>
  <si>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</si>
  <si>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</si>
  <si>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</si>
  <si>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</si>
  <si>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</si>
  <si>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</si>
  <si>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Promedio prog</t>
  </si>
  <si>
    <t>Promedio ejec</t>
  </si>
  <si>
    <t xml:space="preserve">Versión: </t>
  </si>
  <si>
    <t xml:space="preserve">Fecha de Emisión: </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</si>
  <si>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</si>
  <si>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</si>
  <si>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</si>
  <si>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</si>
  <si>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</si>
  <si>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</si>
  <si>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</si>
  <si>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</si>
  <si>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</si>
  <si>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</si>
  <si>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</si>
  <si>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Numero de secretarias convocadas</t>
  </si>
  <si>
    <t>Gestionar 1 estrategia para la adecuación de infraestructura de manzanas de cuidado</t>
  </si>
  <si>
    <t>3. Gestionar 1 estrategia para la adecuación de infraestructura de manzanas de cuidado</t>
  </si>
  <si>
    <t>% de avance diagnóstico de necesidades de 14 manzanas</t>
  </si>
  <si>
    <t>Núm de manzanas puestas en operación</t>
  </si>
  <si>
    <t xml:space="preserve">Acciones de 14 manzanas implementadas </t>
  </si>
  <si>
    <t>Diseñar e implementar 1 estrategia de cuidado a cuidadoras</t>
  </si>
  <si>
    <t>4. Diseñar e implementar 1 estrategia de cuidado a cuidadoras.</t>
  </si>
  <si>
    <t>Gesitón contractual</t>
  </si>
  <si>
    <t>Número de mujeres formadas</t>
  </si>
  <si>
    <t>Núumero de espacios respiro</t>
  </si>
  <si>
    <t>Número de mujeres vinculadas</t>
  </si>
  <si>
    <t>Número de atenciones de relevos</t>
  </si>
  <si>
    <t>Gestión contractual</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</si>
  <si>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</si>
  <si>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</si>
  <si>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Programa virtual</t>
  </si>
  <si>
    <t>Número de personas formadas</t>
  </si>
  <si>
    <t>Número de procesos de formación</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</si>
  <si>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</si>
  <si>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</si>
  <si>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Número de talleres cambio cultural</t>
  </si>
  <si>
    <t>Número de personas participantes</t>
  </si>
  <si>
    <t>Número de mujeres</t>
  </si>
  <si>
    <t>Número de hombres</t>
  </si>
  <si>
    <t>Gestionar la implementación de 1 estrategia de unidades móviles de cuidado</t>
  </si>
  <si>
    <t>7. Gestionar la implementación de 1 estrategia de unidades móviles de cuidado.</t>
  </si>
  <si>
    <t>Número de unidades moviles operando</t>
  </si>
  <si>
    <t>Gestión para la puesta en marcha</t>
  </si>
  <si>
    <t>Ejecución de las unidades en servicios</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</si>
  <si>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</si>
  <si>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</si>
  <si>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</si>
  <si>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</si>
  <si>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</si>
  <si>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</si>
  <si>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</si>
  <si>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</si>
  <si>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</si>
  <si>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</si>
  <si>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</si>
  <si>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</si>
  <si>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</si>
  <si>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</si>
  <si>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</si>
  <si>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</si>
  <si>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</si>
  <si>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</si>
  <si>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</si>
  <si>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</si>
  <si>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</si>
  <si>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</si>
  <si>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</si>
  <si>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</si>
  <si>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</si>
  <si>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</si>
  <si>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</si>
  <si>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</si>
  <si>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</si>
  <si>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</si>
  <si>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</si>
  <si>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</si>
  <si>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Gestión del Sistema Distrital de Cuidado</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</si>
  <si>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</si>
  <si>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</si>
  <si>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</si>
  <si>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</si>
  <si>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</si>
  <si>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</si>
  <si>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</si>
  <si>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</si>
  <si>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</si>
  <si>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</si>
  <si>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</si>
  <si>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</si>
  <si>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</si>
  <si>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</si>
  <si>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</si>
  <si>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t>
  </si>
  <si>
    <t xml:space="preserve">La medición depende de la encuesta ENUT que realiza el DANE cada tres años. </t>
  </si>
  <si>
    <t>DANE - ENUT</t>
  </si>
  <si>
    <t>Disminuir el porcentaje de percepción de los hombres que consideran que las mujeres son mejores para el trabajo doméstico que los hombres</t>
  </si>
  <si>
    <t>Número de mujeres formadas en cuidados, en el marco de la estrategia cuidado a cuidadoras</t>
  </si>
  <si>
    <t>Mujeres formadas</t>
  </si>
  <si>
    <t>Mensual</t>
  </si>
  <si>
    <t>SiMisional</t>
  </si>
  <si>
    <t>Número de atenciones de relevo de cuidado en casa, en el marco de la estrategia cuidado a cuidadoras</t>
  </si>
  <si>
    <t>Atenciones</t>
  </si>
  <si>
    <t>Número de personas vinculadas a los talleres de cambio cultural</t>
  </si>
  <si>
    <t>Personas vinculadas</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</si>
  <si>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</si>
  <si>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</si>
  <si>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</si>
  <si>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</si>
  <si>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</si>
  <si>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</si>
  <si>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</si>
  <si>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</si>
  <si>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</si>
  <si>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</si>
  <si>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</si>
  <si>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</si>
  <si>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</si>
  <si>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</si>
  <si>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</si>
  <si>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</si>
  <si>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</si>
  <si>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</si>
  <si>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</si>
  <si>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</si>
  <si>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</si>
  <si>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</si>
  <si>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</si>
  <si>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</si>
  <si>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</si>
  <si>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</si>
  <si>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</si>
  <si>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</si>
  <si>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</si>
  <si>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</si>
  <si>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</si>
  <si>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</si>
  <si>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</si>
  <si>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</si>
  <si>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</si>
  <si>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</si>
  <si>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</si>
  <si>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</si>
  <si>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</si>
  <si>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</si>
  <si>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</si>
  <si>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</si>
  <si>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</si>
  <si>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</si>
  <si>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</si>
  <si>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</si>
  <si>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</si>
  <si>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</si>
  <si>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</si>
  <si>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</si>
  <si>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</si>
  <si>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</si>
  <si>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</si>
  <si>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</si>
  <si>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</si>
  <si>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</si>
  <si>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</si>
  <si>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</si>
  <si>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</si>
  <si>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</si>
  <si>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</si>
  <si>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</si>
  <si>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</si>
  <si>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</si>
  <si>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</si>
  <si>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</si>
  <si>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</si>
  <si>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</si>
  <si>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</si>
  <si>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</si>
  <si>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</si>
  <si>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</si>
  <si>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rPr>
        <b/>
        <sz val="11"/>
        <rFont val="Times New Roman"/>
        <family val="1"/>
      </rPr>
      <t xml:space="preserve">Avances y Logros (2.000 caracteres): </t>
    </r>
    <r>
      <rPr>
        <sz val="11"/>
        <color rgb="FF000000"/>
        <rFont val="Times New Roman"/>
        <family val="1"/>
      </rPr>
      <t>En este campo se debe diligenciar lo relacionando a los logros y avances de la meta de forma acumulada e integrada.</t>
    </r>
    <r>
      <rPr>
        <b/>
        <sz val="11"/>
        <color rgb="FF000000"/>
        <rFont val="Times New Roman"/>
        <family val="1"/>
      </rPr>
      <t xml:space="preserve">
Retrasos y Alternativas de solución (1.000 caracteres): </t>
    </r>
    <r>
      <rPr>
        <sz val="11"/>
        <color rgb="FF000000"/>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rgb="FF000000"/>
        <rFont val="Times New Roman"/>
        <family val="1"/>
      </rPr>
      <t xml:space="preserve">
Beneficios (2.000 caracteres): </t>
    </r>
    <r>
      <rPr>
        <sz val="11"/>
        <color rgb="FF000000"/>
        <rFont val="Times New Roman"/>
        <family val="1"/>
      </rPr>
      <t xml:space="preserve">En este campo se debe diligenciar lo relacionando a los beneficios de forma acumulada e integrada.
</t>
    </r>
    <r>
      <rPr>
        <b/>
        <sz val="11"/>
        <color rgb="FF000000"/>
        <rFont val="Times New Roman"/>
        <family val="1"/>
      </rPr>
      <t xml:space="preserve">
Nota:</t>
    </r>
    <r>
      <rPr>
        <sz val="11"/>
        <color rgb="FF000000"/>
        <rFont val="Times New Roman"/>
        <family val="1"/>
      </rPr>
      <t xml:space="preserve"> El número límite de cartarteres se establece t</t>
    </r>
    <r>
      <rPr>
        <sz val="11"/>
        <color rgb="FF000000"/>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</si>
  <si>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</si>
  <si>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</si>
  <si>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</si>
  <si>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</si>
  <si>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</si>
  <si>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</si>
  <si>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</si>
  <si>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</si>
  <si>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</si>
  <si>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</si>
  <si>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</si>
  <si>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</si>
  <si>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</si>
  <si>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</si>
  <si>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</si>
  <si>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</si>
  <si>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</si>
  <si>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</si>
  <si>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</si>
  <si>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</si>
  <si>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</si>
  <si>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</si>
  <si>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</si>
  <si>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</si>
  <si>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</si>
  <si>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</si>
  <si>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</si>
  <si>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</si>
  <si>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</si>
  <si>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</si>
  <si>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</si>
  <si>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</si>
  <si>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</si>
  <si>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</si>
  <si>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</si>
  <si>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</si>
  <si>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</si>
  <si>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</si>
  <si>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</si>
  <si>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</si>
  <si>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</si>
  <si>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</si>
  <si>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</si>
  <si>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</si>
  <si>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</si>
  <si>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</si>
  <si>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</si>
  <si>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</si>
  <si>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</si>
  <si>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</si>
  <si>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</si>
  <si>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</si>
  <si>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</si>
  <si>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</si>
  <si>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</si>
  <si>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</si>
  <si>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</si>
  <si>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</si>
  <si>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</si>
  <si>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</si>
  <si>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</si>
  <si>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</si>
  <si>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</si>
  <si>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</si>
  <si>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</si>
  <si>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</si>
  <si>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</si>
  <si>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</si>
  <si>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</si>
  <si>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</si>
  <si>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</si>
  <si>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</si>
  <si>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</si>
  <si>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</si>
  <si>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</si>
  <si>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</si>
  <si>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</si>
  <si>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</si>
  <si>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</si>
  <si>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</si>
  <si>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</si>
  <si>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</si>
  <si>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</si>
  <si>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</si>
  <si>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</si>
  <si>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</si>
  <si>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</si>
  <si>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</si>
  <si>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</si>
  <si>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</si>
  <si>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</si>
  <si>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</si>
  <si>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</si>
  <si>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</si>
  <si>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</si>
  <si>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</si>
  <si>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</si>
  <si>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</si>
  <si>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</si>
  <si>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</si>
  <si>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</si>
  <si>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</si>
  <si>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</si>
  <si>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</si>
  <si>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</si>
  <si>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</si>
  <si>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</si>
  <si>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</si>
  <si>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</si>
  <si>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</si>
  <si>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</si>
  <si>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</si>
  <si>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</si>
  <si>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</si>
  <si>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</si>
  <si>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</si>
  <si>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</si>
  <si>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</si>
  <si>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</si>
  <si>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</si>
  <si>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</si>
  <si>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</si>
  <si>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</si>
  <si>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</si>
  <si>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</si>
  <si>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</si>
  <si>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</si>
  <si>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</si>
  <si>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</si>
  <si>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</si>
  <si>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</si>
  <si>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</si>
  <si>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</si>
  <si>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</si>
  <si>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</si>
  <si>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</si>
  <si>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</si>
  <si>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</si>
  <si>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</si>
  <si>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</si>
  <si>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</si>
  <si>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</si>
  <si>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</si>
  <si>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</si>
  <si>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</si>
  <si>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</si>
  <si>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</si>
  <si>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</si>
  <si>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</si>
  <si>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</si>
  <si>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</si>
  <si>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</si>
  <si>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</si>
  <si>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</si>
  <si>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</si>
  <si>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</si>
  <si>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</si>
  <si>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</si>
  <si>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</si>
  <si>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</si>
  <si>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</si>
  <si>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</si>
  <si>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</si>
  <si>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</si>
  <si>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</si>
  <si>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</si>
  <si>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</si>
  <si>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</si>
  <si>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</si>
  <si>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</si>
  <si>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</si>
  <si>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</si>
  <si>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</si>
  <si>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</si>
  <si>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</si>
  <si>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</si>
  <si>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</si>
  <si>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</si>
  <si>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</si>
  <si>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</si>
  <si>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</si>
  <si>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</si>
  <si>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</si>
  <si>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</si>
  <si>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</si>
  <si>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</si>
  <si>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</si>
  <si>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</si>
  <si>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</si>
  <si>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</si>
  <si>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</si>
  <si>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</si>
  <si>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</si>
  <si>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</si>
  <si>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</si>
  <si>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</si>
  <si>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</si>
  <si>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</si>
  <si>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</si>
  <si>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</si>
  <si>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</si>
  <si>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</si>
  <si>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</si>
  <si>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</si>
  <si>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</si>
  <si>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</si>
  <si>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</si>
  <si>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</si>
  <si>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</si>
  <si>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</si>
  <si>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Hacer un nuevo contrato social con igualdad de oportunidades para la inclusión social, productiva y política.</t>
  </si>
  <si>
    <t>x</t>
  </si>
  <si>
    <t>X</t>
  </si>
  <si>
    <t>Informes de gestión de las manzanas y unidades de cuidado implementadas</t>
  </si>
  <si>
    <t>Disminuir el porcentaje de percepción de los hombres que consideran que las mujeres son mejores para el trabajo doméstico que los hombres (52,2 - 2017)</t>
  </si>
  <si>
    <t>Disminuir el porcentaje de percepción de las mujeres que consideran que las mujeres son mejores para el trabajo doméstico que los hombres (50,8 - 2017)</t>
  </si>
  <si>
    <t>Cada tres años</t>
  </si>
  <si>
    <t xml:space="preserve">La medición depende de la encuesta ENUT que realiza el DANE cada tres años (Datos anuales para Bogotá). </t>
  </si>
  <si>
    <t>Mujeres únicas formadas (Incluye certificadas).</t>
  </si>
  <si>
    <t xml:space="preserve">Número de personas vinculadas en talleres presenciales y virtual de cambio cultural.  </t>
  </si>
  <si>
    <t>Atención en los servicios (aseo) del sistema de cuidado a cuidadoras</t>
  </si>
  <si>
    <t>Manzanas puestas en operación</t>
  </si>
  <si>
    <t>Número de manzanas del cuidado puestas en operación en Bogotá</t>
  </si>
  <si>
    <t>Avance en la construcción del documento de lineamientos técnicos para la formulación de las bases del Sistema Distrital de Cuidado y los resultaos de articulación con las entidades distritales que hacen parte del sistema</t>
  </si>
  <si>
    <t>Avances en la implementación de 1a estrategia para la adecuación de infraestructura de manzanas de 
cuidado</t>
  </si>
  <si>
    <t>Número de manzanas inauguradas</t>
  </si>
  <si>
    <t>Nombre: Erika Natalia Moreno</t>
  </si>
  <si>
    <t>Cargo: Directora del Sistema de Cuidado</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</si>
  <si>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</si>
  <si>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</si>
  <si>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julio</t>
  </si>
  <si>
    <t>agosto</t>
  </si>
  <si>
    <t>septiembre</t>
  </si>
  <si>
    <t>octubre</t>
  </si>
  <si>
    <t>noviembre</t>
  </si>
  <si>
    <t>diciembre</t>
  </si>
  <si>
    <t>Cualitativo marzo:</t>
  </si>
  <si>
    <t>Cualitativo mayo:</t>
  </si>
  <si>
    <t>Cualitativo junio:</t>
  </si>
  <si>
    <t>Cualitativo julio:</t>
  </si>
  <si>
    <t>Cualitativo agosto:</t>
  </si>
  <si>
    <t>Cualitativo septiembre:</t>
  </si>
  <si>
    <t>Cualitativo octubre:</t>
  </si>
  <si>
    <t>Cualitativo noviembre:</t>
  </si>
  <si>
    <t>Cualitativo diciembre:</t>
  </si>
  <si>
    <t>Para indicadores de gestión en SPI</t>
  </si>
  <si>
    <t xml:space="preserve">Había de enero 5% de avance y 0,0125.
Si 100 es 0,25, el avance % cuánto es? </t>
  </si>
  <si>
    <t>abril:</t>
  </si>
  <si>
    <t>mayo:</t>
  </si>
  <si>
    <t>junio:</t>
  </si>
  <si>
    <r>
      <t>Estrategias Para Organizar Y Fortalecer La Administracion Publica Realizados:</t>
    </r>
    <r>
      <rPr>
        <b/>
        <sz val="11"/>
        <color rgb="FF00B050"/>
        <rFont val="Calibri (Cuerpo)"/>
      </rPr>
      <t xml:space="preserve"> se reporta con manzanas inauguradas y unidades móviles.Cualitativo con las gestiones.</t>
    </r>
  </si>
  <si>
    <t>manzanas</t>
  </si>
  <si>
    <t>Equivaldría al 0,45, se tendría que actualizar la formulación del indicador-proyecto</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</si>
  <si>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</si>
  <si>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</si>
  <si>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</si>
  <si>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</si>
  <si>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</si>
  <si>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Cualitativo abril:</t>
  </si>
  <si>
    <t>Avance a diciembre</t>
  </si>
  <si>
    <t>Numero de Secretarías articuladas</t>
  </si>
  <si>
    <t>Meta proyecto inversión</t>
  </si>
  <si>
    <t>Programado 2022</t>
  </si>
  <si>
    <t>Comprometido 2022</t>
  </si>
  <si>
    <t>Girado 2022</t>
  </si>
  <si>
    <t xml:space="preserve">Total </t>
  </si>
  <si>
    <t>%</t>
  </si>
  <si>
    <t>Presupuesto de inversion 2022</t>
  </si>
  <si>
    <t>Reservas constituidas  2021</t>
  </si>
  <si>
    <t>Reservas definitivas  2021</t>
  </si>
  <si>
    <t>Ptto de inversión corte enero 2022</t>
  </si>
  <si>
    <t>Se solicitó a todas las Entidades el envío del reporte sobre la delegación de asistencia a la Unidad Técnica de Apoyo mediante 17 oficios que se anexan en las evidencias.</t>
  </si>
  <si>
    <t xml:space="preserve">Se avanzó en el diseño de la Estrategia de Comunicaciones del Sistema Distrital de Cuidado, con las siguientes acciones: 
- Diseño de las líneas tácticas de activación de la Estrategia de Comunicaciones. 
- Diseño de un tablero de control y seguimiento mensual para cada una de las metas de las líneas tácticas propuestas. 
- Reunión de revisión a los avances en el Diseño de la Estrategia, en la cual se determinó sumar acciones en materia de posicionamiento del Sistema con las personas cuidadoras. </t>
  </si>
  <si>
    <t>Beneficiar a personas cuidadoras mediante un Sistema Distrital del Cuidado con lineamientos técnicos de operación y monitoreo garantizará el acceso a los diferentes servicios de la oferta institucional y así contribuir a la igualdad de oportunidades para las mujeres a través de la reducción, redistribución y reconocimiento del trabajo.
de cuidado no remunerado</t>
  </si>
  <si>
    <t>Se definió la distribución de metas por territorio, se elaboraron materiales de contexto de los componentes de formación complementaria, formación y respiro con enfoque diferencial y de la evaluación y certificación de saberes en materia de cuidado y se definieron procedimientos para la actuación del equipo, se cuenta con: Plan de trabajo distrital de formadoras territoriales, Plan de trabajo distrital de evaluadoras-certificadoras, Procedimiento de formación en territorio, Mapa de distribución territorial del equipo, Presentación de inducción al equipo asignado para 19 localidades.
A enero 2022 se acumularon 2.228 visitas efectivamente realizadas para 1.855 beneficiarias y se aprobaron 722 planes de trabajo. Adicional se desarrollaron 4 comités operativos donde se presentaron reportes y avances del cumplimiento contractual del programa, se definieron acciones para dar cumplimiento a la prórroga, como la actualización de planes de trabajo y la adecuación del modelo de formación para sesiones adicionales del curso de la Universidad Nacional: “Herramientas para las cuidadoras en el reconocimiento de su trabajo de cuidado”.
Adicional a ello, se continuó en el avance las acciones necesarias para la implementación del modelo de monitoreo y seguimiento con personal contratado por la Entidad, se logró conformar el equipo de 26 contratistas que realizaron las respectivas acciones que buscan garantizar el cumplimiento del contrato con el Operador actual y el que se espera suscribir en el segundo semestre del año. Dichas acciones desarrolladas en el mes de enero fueron la creación de protocolo de revisión de planes de trabajo y validación de instrumentos de seguimiento del avance del desarrollo del contrato 847 de 2021.</t>
  </si>
  <si>
    <t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t>
  </si>
  <si>
    <t xml:space="preserve">Se cuenta con cronograma de proyección de sesiones de la Comisión </t>
  </si>
  <si>
    <t xml:space="preserve">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t>
  </si>
  <si>
    <t>Construcción plan de acción de procesos, espacios de participación, actores territoriales y estratégicos para difusión del Sistema de Cuidado en estrategia de Manzanas de Cuidado. Articulación intersectorial para inauguración de Manzana en Santa Fe con siete sectores y 18 servicios disponibles.</t>
  </si>
  <si>
    <t>En el mes de enero se avanzó en el diseño de la programación territorial de la meta para 2022 y la elaboración de insumos que permitieran la adecuada conducción del equipo encargado de la Formación Complementaria por localidades; de los procesos de Formación y Respiro con Enfoque Diferencial y de la Evaluación y Certificación de saberes en materia de cuidado. Para ello se realizó la distribución de metas por territorio, se elaboraron materiales de contexto del Componente y se definieron procedimientos para la actuación del equipo y se efectuó la respectiva socialización con el equipo.
Los productos elaborados son:
Plan de trabajo distrital de formadoras territoriales
Plan de trabajo distrital de evaluadoras-certificadoras
Procedimiento de formación en territorio
Mapa de distribución territorial del equipo
Presentación de inducción al equipo asignado para 19 localidades.</t>
  </si>
  <si>
    <t>Para el mes de enero, se da inicio a la revisión y ajuste del anexo técnico para la solicitud de las vigencias futuras para las Unidades Móviles de Servicios del Cuidado, vigencia 2023; así mismo se da inicio a la construcción del anexo técnico para iniciar el proceso de licitación pública para el alquiler, adecuación y puesta en operación de las dos Unidades Móviles de Servicios del Cuidado para las mismas vigencias, por tanto en relación con el cumplimiento de la meta, las acciones descritas determinan que la implementación de la estrategia se encuentran en fase preparatoria.</t>
  </si>
  <si>
    <t>1. Diseñar el modelo de seguimiento y monitoreo del Sistema Distrital de Cuidado</t>
  </si>
  <si>
    <t>2. Consolidar el documento de desarrollo técnico del Sistema Distrital de Cuidado</t>
  </si>
  <si>
    <t>3. Convocar y gestionar las sesiones de la Comisión Intersectorial del Sistema de Cuidado según lo establecido en el Decreto 237 de 2020</t>
  </si>
  <si>
    <t>4. Hacer seguimiento a los acuerdos de la Comisión Intersectorial del Sistema de Cuidado (UTA)</t>
  </si>
  <si>
    <t>5. Adelantar dos sesiones del mecanismo de participación y seguimiento de la Comisión Intersectorial del Sistema de Cuidado (Dec. 237 2020)</t>
  </si>
  <si>
    <t xml:space="preserve">6. Implementar atividades de difusión del programa de Sistema de Cuidado con ciudadanos y actores territoriales </t>
  </si>
  <si>
    <t>7. Articular las acciones intersectoriales para la puesta en operación de siete (7) manzanas del cuidado</t>
  </si>
  <si>
    <t>8. Monitorear las acciones intersectoriales de 14 manzanas del cuidado</t>
  </si>
  <si>
    <t>9. Implementar el componente de formación para cuidadoras</t>
  </si>
  <si>
    <t>10. Monitorear y hacer seguimiento a la implementación del componente de respiro para cuidadoras</t>
  </si>
  <si>
    <t>11. Poner en marcha el programa de relevos de cuidado</t>
  </si>
  <si>
    <t>12. Diseñar e implementar la virtualización de la estrategia pedagógica para la valoración, la resignificación, el reconocimiento y la redistribución del trabajo de cuidado no remunerado que realizan las mujeres en Bogotá</t>
  </si>
  <si>
    <t xml:space="preserve">13. Diseñar la estrategia de comunicación, de la estrategia pedagogica y de cambio cultural del Sistema Distrital de Cuidado </t>
  </si>
  <si>
    <t xml:space="preserve">14. Implementar los talleres de cambio cultural </t>
  </si>
  <si>
    <t xml:space="preserve">15. Producir e implementar la estrategia de comunicaciones </t>
  </si>
  <si>
    <t>16. Implementar el componente de amplificación [Red de Alianzas del Cuidado]</t>
  </si>
  <si>
    <t>17. Monitorear y hacer seguimiento a las acciones intersectoriales</t>
  </si>
  <si>
    <t>18. Definir y poner en marcha dos unidades móviles de servicios de cuidado (Urbana y Rural)</t>
  </si>
  <si>
    <t>19. Articular las acciones intersectoriales para la puesta en operación de dos (2) unidades moviles de servicios de cuidado (Urbana y Rural)</t>
  </si>
  <si>
    <t>20. Monitorear y hacer seguimiento a las acciones intersectoriales de las dos (2) unidades móviles de servicios de cuidado (urbana y rural)</t>
  </si>
  <si>
    <t xml:space="preserve">Pese a que se hizo prestación del servicio de relevos durante el mes enero, el sistema de información no permite extraer las atenciones prestadas en este periodo, ya que, el sistema no permite identificar las atenciones prestadas en los diferentes de atención en que se realiza el relevo. Por lo que, se está haciendo un ajuste en el sistema de información. </t>
  </si>
  <si>
    <t xml:space="preserve">Se realizó reunión con la Secretaría Distrital de Educación con el propósito de armonizar la planeación para 2022 sobre los servicios que se prestarán en las manzanas de cuidado y  unidades móviles relacionados con Educación Flexible. </t>
  </si>
  <si>
    <t xml:space="preserve">Inició fase preparatoria de construcción proceso licitación pública de alquiler, adecuación y operación de Unidades Móviles servicios del Cuidado. Se articuló intersectorial prestación servicios en zonas rurales y de mayor necesidad según índice. Se proyectó servicio Educación Flexible con SED. </t>
  </si>
  <si>
    <t>Cualitativo enero:</t>
  </si>
  <si>
    <t>Se solicitó a todas las Entidades el envío del reporte sobre la delegación de asistencia a la Unidad Técnica de Apoyo mediante 17 oficios. Así mismo se proyecto cronograma de sesiones.</t>
  </si>
  <si>
    <t>Enero</t>
  </si>
  <si>
    <t>Febrero</t>
  </si>
  <si>
    <t>Marzo</t>
  </si>
  <si>
    <t>Abril</t>
  </si>
  <si>
    <t>Mayo</t>
  </si>
  <si>
    <t>Junio</t>
  </si>
  <si>
    <t>Julio</t>
  </si>
  <si>
    <t>Agosto</t>
  </si>
  <si>
    <t>Septiembre</t>
  </si>
  <si>
    <t>Octubre</t>
  </si>
  <si>
    <t>Noviembre</t>
  </si>
  <si>
    <t>Diciembre</t>
  </si>
  <si>
    <t xml:space="preserve">Cualitativo febrero: </t>
  </si>
  <si>
    <t>4 comités operativos del programa, actualización planes de trabajo y adecuación del modelo de formación: Herramientas para las cuidadoras en el reconocimiento de su trabajo de cuidado. Creación de protocolo de revisión de planes de trabajo y validación de instrumentos de seguimiento.</t>
  </si>
  <si>
    <t xml:space="preserve">Se adelantaron reuniones de alineación para establecer rutinas de actualización de la información. Se realizó alienación con el Delivery para integrar toda la información. </t>
  </si>
  <si>
    <t>Se inició el alistamiento para la coordinación y articulación de los 13 sectores en la implementación y seguimiento a compromisos del Sistema Distrital de Cuidado, a enero se solicitó a entidades de los diferentes sectores información sobre la delegación de asistencia a la Unidad Técnica de Apoyo. Se cuenta con cronograma de la Comisión Intersectorial de sesiones en 2022.</t>
  </si>
  <si>
    <t>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t>
  </si>
  <si>
    <t xml:space="preserve">Dado que en enero se implementó la contingencia contractual en todos los sectores del Distrito no se adelantaron acciones de articulación intersectorial en el marco de la definición de la oferta de servicios para las manzanas del cuidado. </t>
  </si>
  <si>
    <t>Articulación de acciones intersectoriales para la inauguración de una nueva Manzana de Cuidado en la localidad de Santa Fe y para la prestación de los servicios en el marco del Sistema Distrital de Cuidado. Siete sectores prestaran servicios orientados a Educación flexible para finalizar educación básica y media, Formación complementaria en alianza con el SENA, Talleres de reflexiones frente a la redistribución del cuidado: a cuidar se aprende con hombres y cuidamos a las que nos cuidan con mujeres, Certificación en competencias laborales en alianza con el SENA, Tejiendo mundos de igualdad, Talleres en iniciación hacia el emprendimiento. Arte de Cuidarte, Acciones colectivas en salud relacionadas con las 6 dimensiones, Rehabilitación Basada en Comunidad: autocuidado y cuidado de personas con discapacidad y sus cuidadores, Escuela promotores del cuidado, Escuela de participación social en salud, Acompañamiento a procesos y organizaciones, Centro de escucha para mujeres, Acciones itinerantes en el marco de plan rescate, Escuela de Cuidado para Hombres, IDRD: Actividad física, IDRD: Escuela de bici, Biblored: cuidado para niños y niñas espacios para exploración en el arte y la literatura (con Arte de Cuidarte), Biblored: Ciclos de lectura que cuestionan los roles de género asociados a los trabajos de cuidado y lectura de textos escritos por mujeres. Taller educación e inclusión financiera – programa mi ahorro – mi hogar.</t>
  </si>
  <si>
    <t>Construcción del plan de acción para la identificación de los procesos, espacios de participación, actores territoriales, actores estratégicos, tiempos estimados de ejecución y evidencias requeridas para adelantar con éxito el proceso de difusión del Sistema de Cuidado</t>
  </si>
  <si>
    <t xml:space="preserve">En el marco de la producción e implementación de la Estrategia de Comunicaciones del Sistema Distrital de Cuidado, durante el mes de enero, se realizaron: 
- Anuncio del premio Mayor's Global Challenge (Bloomberg): Redacción y difusión de comunicado de prensa, redacción y difusión de una parrilla de contenido para redes sociales, publicación de contenido audiovisual, redacción de bullets orientadores sobre el Sistema Distrital de Cuidado, monitoreo de medios con el impacto externo en materia de publicaciones en medios nacionales e internacionales. 
- Anuncio del premio del Carter Center para la implementación de la campaña "Informando a las mujeres, transformando vidas": Redacción y difusión de comunicado de prensa, redacción y difusión de una parrilla de contenido para redes sociales. 
- Insumos para la jornada de 'Engativá Está Mejorando': redacción de insumos para la parrilla de contenido para redes sociales. </t>
  </si>
  <si>
    <t xml:space="preserve">Dado que en enero se implemento la contingencia contractual en todos los sectores del Distrito no se adelantaron acciones de articulación intersectorial en el marco de la definición de la oferta de servicios para las unidades móviles. </t>
  </si>
  <si>
    <t xml:space="preserve">Se inició con la fase de prestación para la gestión y desarrollado acciones de articulación intersectorial.  </t>
  </si>
  <si>
    <r>
      <t>Estrategias de comunicacion diseñadas:</t>
    </r>
    <r>
      <rPr>
        <b/>
        <sz val="11"/>
        <color rgb="FF00B050"/>
        <rFont val="Calibri (Cuerpo)"/>
      </rPr>
      <t xml:space="preserve"> se reporta con el avance acumulado en % de la actividad 13 meta 5.</t>
    </r>
  </si>
  <si>
    <t>Se inició alistamiento de coordinación y articulación de 13 sectores en implementación y seguimiento a compromisos del Sistema de Cuidado, se solicitó a sectores sus delegaciones de asistencia a la Unidad Técnica de Apoyo. Se cuenta con cronograma de la Comisión Intersectorial de sesiones en 2022.</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</si>
  <si>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</si>
  <si>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</si>
  <si>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t>
  </si>
  <si>
    <t>Se cuenta con cronograma de proyección de sesiones de la Comisión</t>
  </si>
  <si>
    <t>Para el mes de enero específicamente se desarrollaron 4 comités operativos donde se presentaron los reportes y avances del cumplimiento contractual del programa, se definieron acciones para dar cumplimiento a la prórroga, como la actualización de planes de trabajo y la adecuación del modelo de formación para sesiones adicionales del curso de la Universidad Nacional: “Herramientas para las cuidadoras en el reconocimiento de su trabajo de cuidado”. Adicional a ello, se continuó en el avance las acciones necesarias para la implementación del modelo de monitoreo y seguimiento con personal contratado por la Entidad, se logró conformar el equipo de 26 contratistas. Dichas acciones desarrolladas en el mes de enero fueron la creación de protocolo de revisión de planes de trabajo y validación de instrumentos de seguimiento del avance del desarrollo del contrato 847 de 2021.</t>
  </si>
  <si>
    <t>El 14 de enero se realiza la primera reunión del año con ITO Software, operador de ONU Mujeres para la virtualización de los talleres de Cambio cultural. Allí, Natalia Moreno Directora del SIDICU se reunió con Ariel Armando Ruíz, Natalia Villamizar y Luz Amparo Rubiano de ITO, encargados del virtualizar los cursos.  Este espacio consistió en revisar los  documentos enviados a ITO Software a finales de diciembre por parte del Líder de la Estrategia pedagógica y de cambio cultural para recibir la retroalimentación de los documentos enviados, con el fin de definir de manera conjunta cuál sería la ruta para la virtualización de los talleres.  El 20 de enero se realizó una reunión entre ITO Software y enlaces del equipo de Cambio cultural para revisar plan de trabajo y modelo de diseño instruccional. A partir de esta reunión, se definen los procesos para definir el manejo a los contenidos, propuesta graáfica y diseño de personajesEL 25 de enero se envía a ITO Software el manual de imagen del SIDICU,  repositorio fotográfico, así como material audivisual relacionado con los talleres, lo que permitirá concretar la propuesta gráfica que alimenta los módulos. Es importante agregar que la virtualización de estos talleres permite amplificar el alcance y la incidencia que los mismos puedan tener, así com contribuir con el interés por asentar la idea de la redistribución en la población que accede al moodle.</t>
  </si>
  <si>
    <t xml:space="preserve">Ruta de virtualización de talleres, plan de trabajo, diseño instruccional, contenidos, propuesta gráfica y personajes. En estrategia de comunicaciones, definición líneas tácticas de activación, tablero de control y seguimiento. Identificación acciones de posicionamiento del Sistema con cuidadoras. </t>
  </si>
  <si>
    <t>En alianza con la  Armada Nacional se proyecto el desarrollo de posibles jornadas de talleres pedagógicos y de cambio cultural dirijidos a funcionarios militares de la guarnición de Bogotá. En la comunicación se le describe los requirimientos logísticos de tiempo y espacio para los talleres “A cuidar se aprende”, así como los objetivos que estos buscan. Dentro de la descripción se establece que hay espacios para grupos de solo hombres y de solo mujeres y se dispone la posibilidad de realizar los talleres de manera virtual o presencial de acuerdo a las necesidades de la institución. Se propone el siguiente calendario para la realización de los talleres a lo largo del año: 16 de febrero BPNM70, 16  de marzo BASOA, 7 de abril BN6, 11 de mayo JOLA-Serv  grales, 8 de junio JONA, 7 de julio JINA, 4 agosto JINEN, 2 septiembre Colegio naval, 5 de octubre JEDHU, 2 noviembre DIMAR y diciembre JEJUR.</t>
  </si>
  <si>
    <t>En alianza con la  Armada Nacional se proyecto el desarrollo de posibles jornadas de talleres pedagógicos y de cambio cultural dirijidos a funcionarios militares de la guarnición de Bogotá. Se comunicaron los requirimientos logísticos de tiempo y espacio para los talleres “A cuidar se aprende”, así como los objetivos que estos buscan. Dentro de la descripción se establece que hay espacios para grupos de solo hombres y de solo mujeres y se dispone la posibilidad de realizar los talleres de manera virtual o presencial de acuerdo a las necesidades de la institución. Se propone el siguiente calendario para la realización de los talleres a lo largo del año: 16 de febrero BPNM70, 16  de marzo BASOA, 7 de abril BN6, 11 de mayo JOLA-Serv  grales, 8 de junio JONA, 7 de julio JINA, 4 agosto JINEN, 2 septiembre Colegio naval, 5 de octubre JEDHU, 2 noviembre DIMAR y diciembre JEJUR.
Se produjeron piezas comunicativas de anuncio del premio Mayor's Global Challenge (Bloomberg): redacción y difusión de comunicado de prensa, de una parrilla de contenido para redes sociales, de bullets y publicación de contenido audiovisual sobre el Sistema Distrital de Cuidado. Monitoreo de medios con el impacto externo en materia de publicaciones en medios nacionales e internacionales. Anuncio del premio del Carter Center para la implementación de la campaña "Informando a las mujeres, transformando vidas”. Se prepararon Insumos para la jornada de 'Engativá Está Mejorando'.</t>
  </si>
  <si>
    <t>Proyecto de 11 talleres cambio cultural en funcionarios Armada Nacional. Producción piezas comunicativas premio Mayor's Global Challenge(Bloomberg) del Sistema. Impacto externo en medios. Anuncio premio Carter Center campaña Informando a mujeres, transformando vidas. Insumos Engativá Está Mejorando.</t>
  </si>
  <si>
    <t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t>
  </si>
  <si>
    <t xml:space="preserve">Durante el mes de enero se realizaron acciones de alistamiento para la apertura de las manzanas de cuidado teniendo en cuenta que durante este periodo se atendió la contingencia de contratación generada por la entrada en vigencia de la ley de garantías por periodo electoral. Factor que se presentó en la mayor parte de las Entidades que contribuyen con el Sistema. </t>
  </si>
  <si>
    <t>Durante este periodo se atendió la contingencia de contratación generada por la entrada en vigencia de la ley de garantías por periodo electoral en los diferentes sectores por lo que no se reportan gestiones de monitoreo.</t>
  </si>
  <si>
    <t>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t>
  </si>
  <si>
    <t>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t>
  </si>
  <si>
    <t xml:space="preserve">Alineación con el Delivery para integrar la información y acuerdos de confidencialidad con los sectores. 1er comité técnico de la Línea Base. Construcción de términos de referencia para sistematizar y consolidar avances técnicos del Sistema de Cuidado, incluyendo articulación estrategias y modelos. </t>
  </si>
  <si>
    <t>En el marco del convenio con ACNUR, se consolidó un informe de las atenciones psicojurídicas realizadas en el mes de enero por la dupla de la manzana de los Mártires. Se consolido el plan de trabajo de acciones afirmativas para la gestión de espacios de respiro dirigidos a grupos étnicos.</t>
  </si>
  <si>
    <t>Plan de trabajo y mapa distrital formadoras territoriales y evaluadoras-certificadoras 19 localidades. 4 comités operativos de seguimiento. Informe atención  psicojurídica manzana Mártires, plan de acciones afirmativas espacios respiro grupos étnicos. Creación protocolo revisión planes de trabajo.</t>
  </si>
  <si>
    <t>En el marco del componente de amplificación y articulación con CAMACOES, se propone construir una metodología para presentar la RAC a las empresas que hacen parte. Como compromiso de CAMACOES, definir las empresas que harán parte de la convocatoria y por parte de la SDMujer el compromiso de la construcción del Módulo "El trabajo de cuidado en clave empresarial" que permitirá invitar a los empresarios a reconocer la importancia de los trabajos de cuidado, así como conocer los beneficios de hacer parte de la Red de Alianzas del Cuidado RAC. Se dio inicio a la construcción de dicha metodología.</t>
  </si>
  <si>
    <t>PROGRAMACION</t>
  </si>
  <si>
    <t>PLAN DE ACCION</t>
  </si>
  <si>
    <t xml:space="preserve">No. De la Meta / Descripción </t>
  </si>
  <si>
    <t>PROG. DE COMPROMISOS</t>
  </si>
  <si>
    <t>MAGNITUD PROGRAMADA</t>
  </si>
  <si>
    <t>MAGNITUD EJECUTADA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</si>
</sst>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41" formatCode="_-* #,##0_-;\-* #,##0_-;_-* &quot;-&quot;_-;_-@_-"/>
    <numFmt numFmtId="164" formatCode="_-* #,##0\ _€_-;\-* #,##0\ _€_-;_-* &quot;-&quot;\ _€_-;_-@"/>
    <numFmt numFmtId="165" formatCode="#,##0;[Red]#,##0"/>
    <numFmt numFmtId="166" formatCode="_-* #,##0\ _€_-;\-* #,##0\ _€_-;_-* &quot;-&quot;??\ _€_-;_-@"/>
    <numFmt numFmtId="167" formatCode="_-* #,##0\ &quot;€&quot;_-;\-* #,##0\ &quot;€&quot;_-;_-* &quot;-&quot;\ &quot;€&quot;_-;_-@"/>
    <numFmt numFmtId="168" formatCode="0.0"/>
    <numFmt numFmtId="169" formatCode="0.000"/>
    <numFmt numFmtId="170" formatCode="[$$-240A]\ #,##0;[Red][$$-240A]\ #,##0"/>
    <numFmt numFmtId="171" formatCode="&quot;$&quot;\ #,##0"/>
    <numFmt numFmtId="172" formatCode="0.0%"/>
    <numFmt numFmtId="173" formatCode="_-* #,##0.00\ _€_-;\-* #,##0.00\ _€_-;_-* &quot;-&quot;\ _€_-;_-@"/>
    <numFmt numFmtId="174" formatCode="#,##0.000"/>
    <numFmt numFmtId="175" formatCode="_-* #,##0.00\ _€_-;\-* #,##0.00\ _€_-;_-* &quot;-&quot;??\ _€_-;_-@"/>
    <numFmt numFmtId="176" formatCode="#,##0.0"/>
    <numFmt numFmtId="177" formatCode="_-* #,##0_-;\-* #,##0_-;_-* &quot;-&quot;_-;_-@"/>
    <numFmt numFmtId="178" formatCode="_-[$$-240A]\ * #,##0.00_-;\-[$$-240A]\ * #,##0.00_-;_-[$$-240A]\ * &quot;-&quot;??_-;_-@"/>
    <numFmt numFmtId="179" formatCode="#,##0_ ;\-#,##0\ "/>
    <numFmt numFmtId="180" formatCode="#,##0.00_ ;\-#,##0.00\ "/>
    <numFmt numFmtId="181" formatCode="_-* #,##0.00\ _€_-;\-* #,##0.00\ _€_-;_-* &quot;-&quot;??\ _€_-;_-@_-"/>
    <numFmt numFmtId="182" formatCode="_-* #,##0\ _€_-;\-* #,##0\ _€_-;_-* &quot;-&quot;??\ _€_-;_-@_-"/>
  </numFmts>
  <fonts count="44">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2"/>
      <name val="Times New Roman"/>
      <family val="1"/>
    </font>
    <font>
      <b/>
      <sz val="11"/>
      <color rgb="FFFF0000"/>
      <name val="Times New Roman"/>
      <family val="1"/>
    </font>
    <font>
      <b/>
      <sz val="18"/>
      <color rgb="FFA5A5A5"/>
      <name val="Calibri"/>
      <family val="2"/>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name val="Times New Roman"/>
      <family val="1"/>
    </font>
    <font>
      <sz val="11"/>
      <color rgb="FFFF0000"/>
      <name val="Times New Roman"/>
      <family val="1"/>
    </font>
    <font>
      <sz val="10"/>
      <name val="Times New Roman"/>
      <family val="1"/>
    </font>
    <font>
      <b/>
      <sz val="11"/>
      <name val="Times New Roman"/>
      <family val="1"/>
    </font>
    <font>
      <b/>
      <sz val="11"/>
      <color rgb="FFA5A5A5"/>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b/>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color theme="0"/>
      <name val="Calibri"/>
      <family val="2"/>
    </font>
    <font>
      <sz val="11"/>
      <name val="Calibri"/>
      <family val="2"/>
      <scheme val="minor"/>
    </font>
    <font>
      <sz val="10"/>
      <name val="Arial"/>
      <family val="2"/>
    </font>
    <font>
      <b/>
      <sz val="11"/>
      <color rgb="FF000000"/>
      <name val="Calibri"/>
      <family val="2"/>
      <scheme val="minor"/>
    </font>
  </fonts>
  <fills count="30">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CCC0D9"/>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0"/>
        <bgColor indexed="64"/>
      </patternFill>
    </fill>
    <fill>
      <patternFill patternType="solid">
        <fgColor theme="7" tint="0.79998168889431442"/>
        <bgColor indexed="64"/>
      </patternFill>
    </fill>
  </fills>
  <borders count="141">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thin">
        <color rgb="FF000000"/>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1" fontId="25" fillId="0" borderId="0" applyFont="0" applyFill="0" applyBorder="0" applyAlignment="0" applyProtection="0"/>
    <xf numFmtId="9" fontId="30" fillId="0" borderId="0" applyFont="0" applyFill="0" applyBorder="0" applyAlignment="0" applyProtection="0"/>
    <xf numFmtId="0" fontId="3" fillId="0" borderId="111"/>
    <xf numFmtId="0" fontId="42" fillId="0" borderId="111"/>
    <xf numFmtId="0" fontId="1" fillId="0" borderId="111"/>
    <xf numFmtId="9" fontId="1" fillId="0" borderId="111" applyFont="0" applyFill="0" applyBorder="0" applyAlignment="0" applyProtection="0"/>
    <xf numFmtId="181" fontId="1" fillId="0" borderId="111" applyFont="0" applyFill="0" applyBorder="0" applyAlignment="0" applyProtection="0"/>
  </cellStyleXfs>
  <cellXfs count="676">
    <xf numFmtId="0" fontId="0" fillId="0" borderId="0" xfId="0" applyFont="1" applyAlignment="1"/>
    <xf numFmtId="0" fontId="0" fillId="0" borderId="0" xfId="0" applyFont="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9" fillId="0" borderId="21" xfId="0" applyFont="1" applyBorder="1" applyAlignment="1">
      <alignment vertical="center" wrapText="1"/>
    </xf>
    <xf numFmtId="0" fontId="5" fillId="0" borderId="22"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5" fillId="0" borderId="24" xfId="0" applyFont="1" applyBorder="1" applyAlignment="1">
      <alignment vertical="center" wrapText="1"/>
    </xf>
    <xf numFmtId="0" fontId="4" fillId="0" borderId="21" xfId="0" applyFont="1" applyBorder="1" applyAlignment="1">
      <alignment vertical="center" wrapText="1"/>
    </xf>
    <xf numFmtId="0" fontId="4" fillId="0" borderId="25"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0" fillId="0" borderId="0" xfId="0" applyFont="1" applyAlignment="1">
      <alignment horizontal="center" vertical="center"/>
    </xf>
    <xf numFmtId="0" fontId="9" fillId="0" borderId="0" xfId="0" applyFont="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14"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14" fillId="0" borderId="0" xfId="0" applyFont="1" applyAlignment="1">
      <alignment horizontal="center" vertical="center" wrapText="1"/>
    </xf>
    <xf numFmtId="0" fontId="5" fillId="0" borderId="9" xfId="0" applyFont="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15" fillId="3" borderId="21" xfId="0" applyFont="1" applyFill="1" applyBorder="1" applyAlignment="1">
      <alignment vertical="center" wrapText="1"/>
    </xf>
    <xf numFmtId="0" fontId="16" fillId="0" borderId="24" xfId="0" applyFont="1" applyBorder="1" applyAlignment="1">
      <alignment vertical="center"/>
    </xf>
    <xf numFmtId="0" fontId="16" fillId="0" borderId="21" xfId="0" applyFont="1" applyBorder="1" applyAlignment="1">
      <alignment vertical="center"/>
    </xf>
    <xf numFmtId="0" fontId="16" fillId="0" borderId="25" xfId="0" applyFont="1" applyBorder="1" applyAlignment="1">
      <alignment vertical="center"/>
    </xf>
    <xf numFmtId="165" fontId="0" fillId="0" borderId="0" xfId="0" applyNumberFormat="1" applyFont="1" applyAlignment="1">
      <alignment vertical="center"/>
    </xf>
    <xf numFmtId="0" fontId="4" fillId="0" borderId="24" xfId="0" applyFont="1" applyBorder="1" applyAlignment="1">
      <alignment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166" fontId="0" fillId="0" borderId="48" xfId="0" applyNumberFormat="1" applyFont="1" applyBorder="1" applyAlignment="1">
      <alignment vertical="center"/>
    </xf>
    <xf numFmtId="166" fontId="0" fillId="0" borderId="49" xfId="0" applyNumberFormat="1" applyFont="1" applyBorder="1" applyAlignment="1">
      <alignment vertical="center"/>
    </xf>
    <xf numFmtId="166" fontId="0" fillId="0" borderId="50" xfId="0" applyNumberFormat="1" applyFont="1" applyBorder="1" applyAlignment="1">
      <alignment vertical="center"/>
    </xf>
    <xf numFmtId="166" fontId="0" fillId="0" borderId="51" xfId="0" applyNumberFormat="1" applyFont="1" applyBorder="1" applyAlignment="1">
      <alignment vertical="center"/>
    </xf>
    <xf numFmtId="9" fontId="0" fillId="0" borderId="52" xfId="0" applyNumberFormat="1" applyFont="1" applyBorder="1" applyAlignment="1">
      <alignment vertical="center"/>
    </xf>
    <xf numFmtId="5" fontId="0" fillId="0" borderId="54" xfId="0" applyNumberFormat="1" applyFont="1" applyBorder="1" applyAlignment="1">
      <alignment vertical="center"/>
    </xf>
    <xf numFmtId="5" fontId="0" fillId="0" borderId="55" xfId="0" applyNumberFormat="1" applyFont="1" applyBorder="1" applyAlignment="1">
      <alignment vertical="center"/>
    </xf>
    <xf numFmtId="166" fontId="0" fillId="0" borderId="55" xfId="0" applyNumberFormat="1" applyFont="1" applyBorder="1" applyAlignment="1">
      <alignment vertical="center"/>
    </xf>
    <xf numFmtId="9" fontId="0" fillId="0" borderId="56" xfId="0" applyNumberFormat="1" applyFont="1" applyBorder="1" applyAlignment="1">
      <alignment vertical="center"/>
    </xf>
    <xf numFmtId="0" fontId="0" fillId="0" borderId="55" xfId="0" applyFont="1" applyBorder="1" applyAlignment="1">
      <alignment vertical="center"/>
    </xf>
    <xf numFmtId="9" fontId="0" fillId="0" borderId="57" xfId="0" applyNumberFormat="1" applyFont="1" applyBorder="1" applyAlignment="1">
      <alignment vertical="center"/>
    </xf>
    <xf numFmtId="166" fontId="0" fillId="0" borderId="54" xfId="0" applyNumberFormat="1" applyFont="1" applyBorder="1" applyAlignment="1">
      <alignment vertical="center"/>
    </xf>
    <xf numFmtId="5" fontId="0" fillId="0" borderId="55" xfId="0" applyNumberFormat="1" applyFont="1" applyBorder="1" applyAlignment="1">
      <alignment vertical="center"/>
    </xf>
    <xf numFmtId="166" fontId="0" fillId="0" borderId="56" xfId="0" applyNumberFormat="1" applyFont="1" applyBorder="1" applyAlignment="1">
      <alignment vertical="center"/>
    </xf>
    <xf numFmtId="5" fontId="0" fillId="0" borderId="59" xfId="0" applyNumberFormat="1" applyFont="1" applyBorder="1" applyAlignment="1">
      <alignment vertical="center"/>
    </xf>
    <xf numFmtId="5" fontId="0" fillId="0" borderId="60" xfId="0" applyNumberFormat="1" applyFont="1" applyBorder="1" applyAlignment="1">
      <alignment vertical="center"/>
    </xf>
    <xf numFmtId="5" fontId="0" fillId="0" borderId="60" xfId="0" applyNumberFormat="1" applyFont="1" applyBorder="1" applyAlignment="1">
      <alignment vertical="center"/>
    </xf>
    <xf numFmtId="166" fontId="0" fillId="0" borderId="60" xfId="0" applyNumberFormat="1" applyFont="1" applyBorder="1" applyAlignment="1">
      <alignment vertical="center"/>
    </xf>
    <xf numFmtId="9" fontId="0" fillId="0" borderId="61" xfId="0" applyNumberFormat="1" applyFont="1" applyBorder="1" applyAlignment="1">
      <alignment vertical="center"/>
    </xf>
    <xf numFmtId="9" fontId="0" fillId="0" borderId="62" xfId="0" applyNumberFormat="1" applyFont="1" applyBorder="1" applyAlignment="1">
      <alignment vertical="center"/>
    </xf>
    <xf numFmtId="0" fontId="5" fillId="0" borderId="21" xfId="0" applyFont="1" applyBorder="1" applyAlignment="1">
      <alignment horizontal="left" vertical="center" wrapText="1"/>
    </xf>
    <xf numFmtId="0" fontId="5" fillId="2" borderId="55" xfId="0" applyFont="1" applyFill="1" applyBorder="1" applyAlignment="1">
      <alignment horizontal="center" vertical="center" wrapText="1"/>
    </xf>
    <xf numFmtId="0" fontId="4" fillId="0" borderId="74" xfId="0" applyFont="1" applyBorder="1" applyAlignment="1">
      <alignment horizontal="left" vertical="center" wrapText="1"/>
    </xf>
    <xf numFmtId="4" fontId="0" fillId="0" borderId="60" xfId="0" applyNumberFormat="1" applyFont="1" applyBorder="1" applyAlignment="1">
      <alignment horizontal="center" vertical="center"/>
    </xf>
    <xf numFmtId="0" fontId="5" fillId="0" borderId="67" xfId="0" applyFont="1" applyBorder="1" applyAlignment="1">
      <alignment horizontal="center" vertical="center" wrapText="1"/>
    </xf>
    <xf numFmtId="164" fontId="5" fillId="0" borderId="67" xfId="0" applyNumberFormat="1" applyFont="1" applyBorder="1" applyAlignment="1">
      <alignment horizontal="center" vertical="center" wrapText="1"/>
    </xf>
    <xf numFmtId="167" fontId="0" fillId="0" borderId="0" xfId="0" applyNumberFormat="1" applyFont="1" applyAlignment="1">
      <alignment vertical="center"/>
    </xf>
    <xf numFmtId="0" fontId="5" fillId="0" borderId="50" xfId="0" applyFont="1" applyBorder="1" applyAlignment="1">
      <alignment horizontal="left" vertical="center" wrapText="1"/>
    </xf>
    <xf numFmtId="168" fontId="5" fillId="0" borderId="67" xfId="0" applyNumberFormat="1" applyFont="1" applyBorder="1" applyAlignment="1">
      <alignment horizontal="center" vertical="center" wrapText="1"/>
    </xf>
    <xf numFmtId="166" fontId="5" fillId="0" borderId="67" xfId="0" applyNumberFormat="1" applyFont="1" applyBorder="1" applyAlignment="1">
      <alignment horizontal="center" vertical="center" wrapText="1"/>
    </xf>
    <xf numFmtId="0" fontId="5" fillId="4" borderId="60" xfId="0" applyFont="1" applyFill="1" applyBorder="1" applyAlignment="1">
      <alignment horizontal="left" vertical="center" wrapText="1"/>
    </xf>
    <xf numFmtId="9" fontId="12" fillId="0" borderId="0" xfId="0" applyNumberFormat="1" applyFont="1" applyAlignment="1">
      <alignment horizontal="center" vertical="center"/>
    </xf>
    <xf numFmtId="167" fontId="12" fillId="0" borderId="0" xfId="0" applyNumberFormat="1" applyFont="1" applyAlignment="1">
      <alignment vertical="center"/>
    </xf>
    <xf numFmtId="9" fontId="18" fillId="0" borderId="55" xfId="0" applyNumberFormat="1" applyFont="1" applyBorder="1" applyAlignment="1">
      <alignment horizontal="center" vertical="center" wrapText="1"/>
    </xf>
    <xf numFmtId="9" fontId="5" fillId="0" borderId="51" xfId="0" applyNumberFormat="1" applyFont="1" applyBorder="1" applyAlignment="1">
      <alignment horizontal="center" vertical="center" wrapText="1"/>
    </xf>
    <xf numFmtId="9" fontId="5" fillId="0" borderId="0" xfId="0" applyNumberFormat="1" applyFont="1" applyAlignment="1">
      <alignment vertical="center" wrapText="1"/>
    </xf>
    <xf numFmtId="0" fontId="12" fillId="0" borderId="0" xfId="0" applyFont="1" applyAlignment="1">
      <alignment vertical="center"/>
    </xf>
    <xf numFmtId="0" fontId="5" fillId="4" borderId="55" xfId="0" applyFont="1" applyFill="1" applyBorder="1" applyAlignment="1">
      <alignment horizontal="left" vertical="center" wrapText="1"/>
    </xf>
    <xf numFmtId="9" fontId="4" fillId="4" borderId="55" xfId="0" applyNumberFormat="1" applyFont="1" applyFill="1" applyBorder="1" applyAlignment="1">
      <alignment horizontal="center" vertical="center" wrapText="1"/>
    </xf>
    <xf numFmtId="9" fontId="5" fillId="0" borderId="56" xfId="0" applyNumberFormat="1" applyFont="1" applyBorder="1" applyAlignment="1">
      <alignment horizontal="center" vertical="center" wrapText="1"/>
    </xf>
    <xf numFmtId="0" fontId="5" fillId="0" borderId="55" xfId="0" applyFont="1" applyBorder="1" applyAlignment="1">
      <alignment horizontal="left" vertical="center" wrapText="1"/>
    </xf>
    <xf numFmtId="9" fontId="4" fillId="4" borderId="90" xfId="0" applyNumberFormat="1" applyFont="1" applyFill="1" applyBorder="1" applyAlignment="1">
      <alignment horizontal="center" vertical="center" wrapText="1"/>
    </xf>
    <xf numFmtId="0" fontId="12" fillId="0" borderId="0" xfId="0" applyFont="1" applyAlignment="1">
      <alignment horizontal="center" vertical="center"/>
    </xf>
    <xf numFmtId="169" fontId="0" fillId="0" borderId="0" xfId="0" applyNumberFormat="1" applyFont="1" applyAlignment="1">
      <alignment horizontal="center" vertical="center"/>
    </xf>
    <xf numFmtId="0" fontId="0" fillId="5" borderId="91" xfId="0" applyFont="1" applyFill="1" applyBorder="1" applyAlignment="1">
      <alignment vertical="center"/>
    </xf>
    <xf numFmtId="169" fontId="0" fillId="5" borderId="91" xfId="0" applyNumberFormat="1" applyFont="1" applyFill="1" applyBorder="1" applyAlignment="1">
      <alignment horizontal="center" vertical="center"/>
    </xf>
    <xf numFmtId="169" fontId="0" fillId="5" borderId="92" xfId="0" applyNumberFormat="1" applyFont="1" applyFill="1" applyBorder="1" applyAlignment="1">
      <alignment horizontal="center" vertical="center"/>
    </xf>
    <xf numFmtId="0" fontId="0" fillId="6" borderId="91" xfId="0" applyFont="1" applyFill="1" applyBorder="1" applyAlignment="1">
      <alignment vertical="center"/>
    </xf>
    <xf numFmtId="169" fontId="0" fillId="6" borderId="91" xfId="0" applyNumberFormat="1" applyFont="1" applyFill="1" applyBorder="1" applyAlignment="1">
      <alignment horizontal="center" vertical="center"/>
    </xf>
    <xf numFmtId="0" fontId="0" fillId="0" borderId="94"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0" fillId="0" borderId="0" xfId="0" applyFont="1" applyAlignment="1">
      <alignment horizontal="center" vertical="center" wrapText="1"/>
    </xf>
    <xf numFmtId="9" fontId="5" fillId="0" borderId="99" xfId="0" applyNumberFormat="1" applyFont="1" applyBorder="1" applyAlignment="1">
      <alignment horizontal="center" vertical="center" wrapText="1"/>
    </xf>
    <xf numFmtId="0" fontId="0" fillId="0" borderId="21" xfId="0" applyFont="1" applyBorder="1" applyAlignment="1">
      <alignment vertical="center"/>
    </xf>
    <xf numFmtId="0" fontId="5" fillId="0" borderId="56"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1" xfId="0" applyFont="1" applyBorder="1" applyAlignment="1">
      <alignment horizontal="center" vertical="center" wrapText="1"/>
    </xf>
    <xf numFmtId="170" fontId="0" fillId="0" borderId="21" xfId="0" applyNumberFormat="1" applyFont="1" applyBorder="1" applyAlignment="1">
      <alignment vertical="center"/>
    </xf>
    <xf numFmtId="9" fontId="5" fillId="0" borderId="67" xfId="0" applyNumberFormat="1" applyFont="1" applyBorder="1" applyAlignment="1">
      <alignment horizontal="center" vertical="center" wrapText="1"/>
    </xf>
    <xf numFmtId="9" fontId="17" fillId="4" borderId="60" xfId="0" applyNumberFormat="1" applyFont="1" applyFill="1" applyBorder="1" applyAlignment="1">
      <alignment vertical="center" wrapText="1"/>
    </xf>
    <xf numFmtId="172" fontId="5" fillId="4" borderId="60" xfId="0" applyNumberFormat="1" applyFont="1" applyFill="1" applyBorder="1" applyAlignment="1">
      <alignment vertical="center" wrapText="1"/>
    </xf>
    <xf numFmtId="9" fontId="5" fillId="4" borderId="60" xfId="0" applyNumberFormat="1" applyFont="1" applyFill="1" applyBorder="1" applyAlignment="1">
      <alignment horizontal="center" vertical="center" wrapText="1"/>
    </xf>
    <xf numFmtId="9" fontId="4" fillId="0" borderId="50" xfId="0" applyNumberFormat="1" applyFont="1" applyBorder="1" applyAlignment="1">
      <alignment horizontal="center" vertical="center" wrapText="1"/>
    </xf>
    <xf numFmtId="9" fontId="4" fillId="0" borderId="55" xfId="0" applyNumberFormat="1" applyFont="1" applyBorder="1" applyAlignment="1">
      <alignment horizontal="center" vertical="center" wrapText="1"/>
    </xf>
    <xf numFmtId="9" fontId="4" fillId="4" borderId="60" xfId="0" applyNumberFormat="1" applyFont="1" applyFill="1" applyBorder="1" applyAlignment="1">
      <alignment horizontal="center" vertical="center" wrapText="1"/>
    </xf>
    <xf numFmtId="9" fontId="4" fillId="4" borderId="107" xfId="0" applyNumberFormat="1" applyFont="1" applyFill="1" applyBorder="1" applyAlignment="1">
      <alignment horizontal="center" vertical="center" wrapText="1"/>
    </xf>
    <xf numFmtId="9" fontId="5" fillId="0" borderId="61" xfId="0" applyNumberFormat="1" applyFont="1" applyBorder="1" applyAlignment="1">
      <alignment horizontal="center" vertical="center" wrapText="1"/>
    </xf>
    <xf numFmtId="5" fontId="0" fillId="0" borderId="48" xfId="0" applyNumberFormat="1" applyFont="1" applyBorder="1" applyAlignment="1">
      <alignment vertical="center"/>
    </xf>
    <xf numFmtId="5" fontId="0" fillId="0" borderId="49" xfId="0" applyNumberFormat="1" applyFont="1" applyBorder="1" applyAlignment="1">
      <alignment vertical="center"/>
    </xf>
    <xf numFmtId="0" fontId="0" fillId="0" borderId="27" xfId="0" applyFont="1" applyBorder="1" applyAlignment="1">
      <alignment vertical="center"/>
    </xf>
    <xf numFmtId="4" fontId="0" fillId="0" borderId="60" xfId="0" applyNumberFormat="1" applyFont="1" applyBorder="1" applyAlignment="1">
      <alignment vertical="center"/>
    </xf>
    <xf numFmtId="1" fontId="5" fillId="0" borderId="67" xfId="0" applyNumberFormat="1" applyFont="1" applyBorder="1" applyAlignment="1">
      <alignment horizontal="center" vertical="center" wrapText="1"/>
    </xf>
    <xf numFmtId="2" fontId="0" fillId="5" borderId="91" xfId="0" applyNumberFormat="1" applyFont="1" applyFill="1" applyBorder="1" applyAlignment="1">
      <alignment horizontal="center" vertical="center"/>
    </xf>
    <xf numFmtId="2" fontId="0" fillId="6" borderId="91" xfId="0" applyNumberFormat="1" applyFont="1" applyFill="1" applyBorder="1" applyAlignment="1">
      <alignment horizontal="center" vertical="center"/>
    </xf>
    <xf numFmtId="0" fontId="0" fillId="8" borderId="91" xfId="0" applyFont="1" applyFill="1" applyBorder="1" applyAlignment="1">
      <alignment horizontal="left" vertical="center" wrapText="1"/>
    </xf>
    <xf numFmtId="2" fontId="0" fillId="8" borderId="91" xfId="0" applyNumberFormat="1" applyFont="1" applyFill="1" applyBorder="1" applyAlignment="1">
      <alignment horizontal="center" vertical="center"/>
    </xf>
    <xf numFmtId="0" fontId="0" fillId="9" borderId="91" xfId="0" applyFont="1" applyFill="1" applyBorder="1" applyAlignment="1">
      <alignment horizontal="left" vertical="center" wrapText="1"/>
    </xf>
    <xf numFmtId="2" fontId="0" fillId="9" borderId="91" xfId="0" applyNumberFormat="1" applyFont="1" applyFill="1" applyBorder="1" applyAlignment="1">
      <alignment horizontal="center" vertical="center"/>
    </xf>
    <xf numFmtId="169" fontId="5" fillId="0" borderId="67" xfId="0" applyNumberFormat="1" applyFont="1" applyBorder="1" applyAlignment="1">
      <alignment horizontal="center" vertical="center" wrapText="1"/>
    </xf>
    <xf numFmtId="175" fontId="5" fillId="0" borderId="67" xfId="0" applyNumberFormat="1" applyFont="1" applyBorder="1" applyAlignment="1">
      <alignment horizontal="center" vertical="center" wrapText="1"/>
    </xf>
    <xf numFmtId="169" fontId="4" fillId="0" borderId="0" xfId="0" applyNumberFormat="1" applyFont="1" applyAlignment="1">
      <alignment vertical="center"/>
    </xf>
    <xf numFmtId="174" fontId="0" fillId="0" borderId="0" xfId="0" applyNumberFormat="1" applyFont="1" applyAlignment="1">
      <alignment vertical="center"/>
    </xf>
    <xf numFmtId="0" fontId="0" fillId="8" borderId="21" xfId="0" applyFont="1" applyFill="1" applyBorder="1" applyAlignment="1">
      <alignment vertical="center" wrapText="1"/>
    </xf>
    <xf numFmtId="172" fontId="0" fillId="8" borderId="91" xfId="0" applyNumberFormat="1" applyFont="1" applyFill="1" applyBorder="1" applyAlignment="1">
      <alignment horizontal="center" vertical="center"/>
    </xf>
    <xf numFmtId="0" fontId="0" fillId="9" borderId="21" xfId="0" applyFont="1" applyFill="1" applyBorder="1" applyAlignment="1">
      <alignment vertical="center" wrapText="1"/>
    </xf>
    <xf numFmtId="0" fontId="0" fillId="9" borderId="91" xfId="0" applyFont="1" applyFill="1" applyBorder="1" applyAlignment="1">
      <alignment vertical="center"/>
    </xf>
    <xf numFmtId="0" fontId="0" fillId="8" borderId="91" xfId="0" applyFont="1" applyFill="1" applyBorder="1" applyAlignment="1">
      <alignment vertical="center"/>
    </xf>
    <xf numFmtId="2" fontId="5" fillId="0" borderId="67" xfId="0" applyNumberFormat="1" applyFont="1" applyBorder="1" applyAlignment="1">
      <alignment horizontal="center" vertical="center" wrapText="1"/>
    </xf>
    <xf numFmtId="172" fontId="0" fillId="8" borderId="91" xfId="0" applyNumberFormat="1" applyFont="1" applyFill="1" applyBorder="1" applyAlignment="1">
      <alignment horizontal="left" vertical="center" wrapText="1"/>
    </xf>
    <xf numFmtId="172" fontId="0" fillId="9" borderId="91" xfId="0" applyNumberFormat="1" applyFont="1" applyFill="1" applyBorder="1" applyAlignment="1">
      <alignment horizontal="left" vertical="center" wrapText="1"/>
    </xf>
    <xf numFmtId="2" fontId="12" fillId="0" borderId="0" xfId="0" applyNumberFormat="1" applyFont="1" applyAlignment="1">
      <alignment vertical="center"/>
    </xf>
    <xf numFmtId="9" fontId="0" fillId="8" borderId="91" xfId="0" applyNumberFormat="1" applyFont="1" applyFill="1" applyBorder="1" applyAlignment="1">
      <alignment horizontal="center" vertical="center"/>
    </xf>
    <xf numFmtId="9" fontId="0" fillId="9" borderId="91" xfId="0" applyNumberFormat="1" applyFont="1" applyFill="1" applyBorder="1" applyAlignment="1">
      <alignment horizontal="center" vertical="center"/>
    </xf>
    <xf numFmtId="9" fontId="0" fillId="8" borderId="91" xfId="0" applyNumberFormat="1" applyFont="1" applyFill="1" applyBorder="1" applyAlignment="1">
      <alignment horizontal="left" vertical="center" wrapText="1"/>
    </xf>
    <xf numFmtId="9" fontId="0" fillId="9" borderId="91" xfId="0" applyNumberFormat="1" applyFont="1" applyFill="1" applyBorder="1" applyAlignment="1">
      <alignment horizontal="left" vertical="center" wrapText="1"/>
    </xf>
    <xf numFmtId="0" fontId="16" fillId="0" borderId="55" xfId="0" applyFont="1" applyBorder="1" applyAlignment="1">
      <alignment horizontal="center" vertical="center"/>
    </xf>
    <xf numFmtId="0" fontId="19" fillId="4" borderId="102" xfId="0" applyFont="1" applyFill="1" applyBorder="1" applyAlignment="1">
      <alignment vertical="center"/>
    </xf>
    <xf numFmtId="0" fontId="19" fillId="4" borderId="21" xfId="0" applyFont="1" applyFill="1" applyBorder="1" applyAlignment="1">
      <alignment vertical="center"/>
    </xf>
    <xf numFmtId="0" fontId="19" fillId="4" borderId="114" xfId="0" applyFont="1" applyFill="1" applyBorder="1" applyAlignment="1">
      <alignment vertical="center"/>
    </xf>
    <xf numFmtId="0" fontId="16" fillId="0" borderId="56" xfId="0" applyFont="1" applyBorder="1" applyAlignment="1">
      <alignment horizontal="left" vertical="center"/>
    </xf>
    <xf numFmtId="0" fontId="19" fillId="4" borderId="55" xfId="0" applyFont="1" applyFill="1" applyBorder="1" applyAlignment="1">
      <alignment horizontal="center" vertical="center" wrapText="1"/>
    </xf>
    <xf numFmtId="0" fontId="5" fillId="4" borderId="116" xfId="0" applyFont="1" applyFill="1" applyBorder="1" applyAlignment="1">
      <alignment horizontal="center" vertical="center" wrapText="1"/>
    </xf>
    <xf numFmtId="177" fontId="16" fillId="0" borderId="55" xfId="0" applyNumberFormat="1" applyFont="1" applyBorder="1" applyAlignment="1">
      <alignment vertical="center" wrapText="1"/>
    </xf>
    <xf numFmtId="0" fontId="16" fillId="0" borderId="55" xfId="0" applyFont="1" applyBorder="1" applyAlignment="1">
      <alignment vertical="center" wrapText="1"/>
    </xf>
    <xf numFmtId="0" fontId="16" fillId="0" borderId="55" xfId="0" applyFont="1" applyBorder="1" applyAlignment="1">
      <alignment horizontal="center" vertical="center" wrapText="1"/>
    </xf>
    <xf numFmtId="0" fontId="16" fillId="0" borderId="67" xfId="0" applyFont="1" applyBorder="1" applyAlignment="1">
      <alignment vertical="center" wrapText="1"/>
    </xf>
    <xf numFmtId="0" fontId="16" fillId="0" borderId="55" xfId="0" applyFont="1" applyBorder="1" applyAlignment="1">
      <alignment horizontal="left" vertical="center" wrapText="1"/>
    </xf>
    <xf numFmtId="173" fontId="16" fillId="0" borderId="55" xfId="0" applyNumberFormat="1" applyFont="1" applyBorder="1" applyAlignment="1">
      <alignment horizontal="center" vertical="center" wrapText="1"/>
    </xf>
    <xf numFmtId="164" fontId="16" fillId="0" borderId="55" xfId="0" applyNumberFormat="1" applyFont="1" applyBorder="1" applyAlignment="1">
      <alignment horizontal="center" vertical="center" wrapText="1"/>
    </xf>
    <xf numFmtId="2" fontId="16" fillId="0" borderId="55" xfId="0" applyNumberFormat="1" applyFont="1" applyBorder="1" applyAlignment="1">
      <alignment vertical="center" wrapText="1"/>
    </xf>
    <xf numFmtId="2" fontId="16" fillId="0" borderId="55" xfId="0" applyNumberFormat="1" applyFont="1" applyBorder="1" applyAlignment="1">
      <alignment horizontal="center" vertical="center" wrapText="1"/>
    </xf>
    <xf numFmtId="9" fontId="16" fillId="0" borderId="55" xfId="0" applyNumberFormat="1" applyFont="1" applyBorder="1" applyAlignment="1">
      <alignment horizontal="center" vertical="center" wrapText="1"/>
    </xf>
    <xf numFmtId="0" fontId="17" fillId="0" borderId="55" xfId="0" applyFont="1" applyBorder="1" applyAlignment="1">
      <alignment vertical="center" wrapText="1"/>
    </xf>
    <xf numFmtId="164" fontId="16" fillId="0" borderId="55" xfId="0" applyNumberFormat="1" applyFont="1" applyBorder="1" applyAlignment="1">
      <alignment vertical="center" wrapText="1"/>
    </xf>
    <xf numFmtId="173" fontId="16" fillId="0" borderId="55" xfId="0" applyNumberFormat="1" applyFont="1" applyBorder="1" applyAlignment="1">
      <alignment vertical="center" wrapText="1"/>
    </xf>
    <xf numFmtId="4" fontId="16" fillId="0" borderId="55" xfId="0" applyNumberFormat="1" applyFont="1" applyBorder="1" applyAlignment="1">
      <alignment vertical="center" wrapText="1"/>
    </xf>
    <xf numFmtId="3" fontId="16" fillId="0" borderId="55" xfId="0" applyNumberFormat="1" applyFont="1" applyBorder="1" applyAlignment="1">
      <alignment horizontal="center" vertical="center" wrapText="1"/>
    </xf>
    <xf numFmtId="177" fontId="16" fillId="0" borderId="55" xfId="0" applyNumberFormat="1" applyFont="1" applyBorder="1" applyAlignment="1">
      <alignment horizontal="center" vertical="center" wrapText="1"/>
    </xf>
    <xf numFmtId="1" fontId="16" fillId="0" borderId="55" xfId="0" applyNumberFormat="1" applyFont="1" applyBorder="1" applyAlignment="1">
      <alignment vertical="center" wrapText="1"/>
    </xf>
    <xf numFmtId="9" fontId="16" fillId="0" borderId="55" xfId="0" applyNumberFormat="1" applyFont="1" applyBorder="1" applyAlignment="1">
      <alignment vertical="center" wrapText="1"/>
    </xf>
    <xf numFmtId="0" fontId="16" fillId="0" borderId="66" xfId="0" applyFont="1" applyBorder="1" applyAlignment="1">
      <alignment horizontal="center" vertical="center" wrapText="1"/>
    </xf>
    <xf numFmtId="0" fontId="16" fillId="0" borderId="0" xfId="0" applyFont="1" applyAlignment="1">
      <alignment vertical="center"/>
    </xf>
    <xf numFmtId="0" fontId="5" fillId="4" borderId="55" xfId="0" applyFont="1" applyFill="1" applyBorder="1" applyAlignment="1">
      <alignment vertical="center" wrapText="1"/>
    </xf>
    <xf numFmtId="0" fontId="22" fillId="0" borderId="21" xfId="0" applyFont="1" applyBorder="1" applyAlignment="1">
      <alignment vertical="center"/>
    </xf>
    <xf numFmtId="0" fontId="22" fillId="0" borderId="21" xfId="0" applyFont="1" applyBorder="1" applyAlignment="1">
      <alignment horizontal="center" vertical="center"/>
    </xf>
    <xf numFmtId="0" fontId="23" fillId="4" borderId="117" xfId="0" applyFont="1" applyFill="1" applyBorder="1" applyAlignment="1">
      <alignment horizontal="center" vertical="center" wrapText="1"/>
    </xf>
    <xf numFmtId="0" fontId="23" fillId="4" borderId="118" xfId="0" applyFont="1" applyFill="1" applyBorder="1" applyAlignment="1">
      <alignment horizontal="center" vertical="center" wrapText="1"/>
    </xf>
    <xf numFmtId="49" fontId="5" fillId="4" borderId="116" xfId="0" applyNumberFormat="1" applyFont="1" applyFill="1" applyBorder="1" applyAlignment="1">
      <alignment horizontal="center" vertical="center" wrapText="1"/>
    </xf>
    <xf numFmtId="0" fontId="23" fillId="4" borderId="116" xfId="0" applyFont="1" applyFill="1" applyBorder="1" applyAlignment="1">
      <alignment horizontal="center" vertical="center" wrapText="1"/>
    </xf>
    <xf numFmtId="49" fontId="23" fillId="4" borderId="116" xfId="0" applyNumberFormat="1" applyFont="1" applyFill="1" applyBorder="1" applyAlignment="1">
      <alignment horizontal="center" vertical="center" wrapText="1"/>
    </xf>
    <xf numFmtId="0" fontId="22" fillId="0" borderId="55" xfId="0" applyFont="1" applyBorder="1" applyAlignment="1">
      <alignment vertical="center"/>
    </xf>
    <xf numFmtId="0" fontId="22" fillId="0" borderId="55" xfId="0" applyFont="1" applyBorder="1" applyAlignment="1">
      <alignment horizontal="center" vertical="center"/>
    </xf>
    <xf numFmtId="0" fontId="22" fillId="10" borderId="55" xfId="0" applyFont="1" applyFill="1" applyBorder="1" applyAlignment="1">
      <alignment horizontal="center" vertical="center"/>
    </xf>
    <xf numFmtId="178" fontId="21" fillId="11" borderId="55" xfId="0" applyNumberFormat="1" applyFont="1" applyFill="1" applyBorder="1" applyAlignment="1">
      <alignment horizontal="center" vertical="center"/>
    </xf>
    <xf numFmtId="178" fontId="21" fillId="0" borderId="55" xfId="0" applyNumberFormat="1" applyFont="1" applyBorder="1" applyAlignment="1">
      <alignment horizontal="center" vertical="center"/>
    </xf>
    <xf numFmtId="0" fontId="21" fillId="0" borderId="55" xfId="0" applyFont="1" applyBorder="1" applyAlignment="1">
      <alignment vertical="center"/>
    </xf>
    <xf numFmtId="0" fontId="21" fillId="0" borderId="55" xfId="0" applyFont="1" applyBorder="1" applyAlignment="1">
      <alignment vertical="center" wrapText="1"/>
    </xf>
    <xf numFmtId="0" fontId="21" fillId="11" borderId="55" xfId="0" applyFont="1" applyFill="1" applyBorder="1" applyAlignment="1">
      <alignment horizontal="left" vertical="center"/>
    </xf>
    <xf numFmtId="0" fontId="21" fillId="11" borderId="55" xfId="0" applyFont="1" applyFill="1" applyBorder="1" applyAlignment="1">
      <alignment horizontal="center" vertical="center"/>
    </xf>
    <xf numFmtId="0" fontId="21" fillId="10" borderId="55" xfId="0" applyFont="1" applyFill="1" applyBorder="1" applyAlignment="1">
      <alignment horizontal="center" vertical="center"/>
    </xf>
    <xf numFmtId="0" fontId="16" fillId="0" borderId="0" xfId="0" applyFont="1" applyAlignment="1">
      <alignment horizontal="left" vertical="center"/>
    </xf>
    <xf numFmtId="0" fontId="19" fillId="12" borderId="55" xfId="0" applyFont="1" applyFill="1" applyBorder="1" applyAlignment="1">
      <alignment horizontal="center" vertical="center"/>
    </xf>
    <xf numFmtId="0" fontId="19" fillId="0" borderId="55" xfId="0" applyFont="1" applyBorder="1" applyAlignment="1">
      <alignment horizontal="center" vertical="center"/>
    </xf>
    <xf numFmtId="0" fontId="16" fillId="0" borderId="67" xfId="0" applyFont="1" applyBorder="1" applyAlignment="1">
      <alignment horizontal="left" vertical="center"/>
    </xf>
    <xf numFmtId="0" fontId="19" fillId="0" borderId="67" xfId="0" applyFont="1" applyBorder="1" applyAlignment="1">
      <alignment horizontal="left" vertical="center" wrapText="1"/>
    </xf>
    <xf numFmtId="0" fontId="16" fillId="0" borderId="50" xfId="0" applyFont="1" applyBorder="1" applyAlignment="1">
      <alignment horizontal="left" vertical="center" wrapText="1"/>
    </xf>
    <xf numFmtId="0" fontId="19" fillId="0" borderId="55" xfId="0" applyFont="1" applyBorder="1" applyAlignment="1">
      <alignment horizontal="center" vertical="center" wrapText="1"/>
    </xf>
    <xf numFmtId="0" fontId="19" fillId="0" borderId="55" xfId="0" applyFont="1" applyBorder="1" applyAlignment="1">
      <alignment vertical="center" wrapText="1"/>
    </xf>
    <xf numFmtId="0" fontId="4" fillId="0" borderId="55" xfId="0" applyFont="1" applyBorder="1" applyAlignment="1">
      <alignment horizontal="left" vertical="center" wrapText="1"/>
    </xf>
    <xf numFmtId="0" fontId="21" fillId="4" borderId="55" xfId="0" applyFont="1" applyFill="1" applyBorder="1" applyAlignment="1">
      <alignment horizontal="center" vertical="center"/>
    </xf>
    <xf numFmtId="0" fontId="16" fillId="0" borderId="0" xfId="0" applyFont="1" applyAlignment="1">
      <alignment horizontal="center" vertical="center"/>
    </xf>
    <xf numFmtId="0" fontId="21" fillId="4" borderId="55" xfId="0" applyFont="1" applyFill="1" applyBorder="1" applyAlignment="1">
      <alignment horizontal="left" vertical="center"/>
    </xf>
    <xf numFmtId="0" fontId="16" fillId="0" borderId="55" xfId="0" applyFont="1" applyBorder="1" applyAlignment="1">
      <alignment vertical="center"/>
    </xf>
    <xf numFmtId="0" fontId="16" fillId="0" borderId="55" xfId="0" applyFont="1" applyBorder="1" applyAlignment="1">
      <alignment horizontal="left" vertical="center"/>
    </xf>
    <xf numFmtId="177" fontId="16" fillId="0" borderId="55" xfId="0" applyNumberFormat="1" applyFont="1" applyBorder="1" applyAlignment="1">
      <alignment vertical="center"/>
    </xf>
    <xf numFmtId="0" fontId="22" fillId="0" borderId="0" xfId="0" applyFont="1" applyAlignment="1">
      <alignment vertical="center"/>
    </xf>
    <xf numFmtId="0" fontId="22" fillId="0" borderId="55" xfId="0" applyFont="1" applyBorder="1" applyAlignment="1">
      <alignment horizontal="center" vertical="center" wrapText="1"/>
    </xf>
    <xf numFmtId="0" fontId="19" fillId="0" borderId="0" xfId="0" applyFont="1" applyAlignment="1">
      <alignment horizontal="left" vertical="center"/>
    </xf>
    <xf numFmtId="0" fontId="19" fillId="4" borderId="55" xfId="0" applyFont="1" applyFill="1" applyBorder="1" applyAlignment="1">
      <alignment vertical="center"/>
    </xf>
    <xf numFmtId="177" fontId="16" fillId="0" borderId="56" xfId="0" applyNumberFormat="1" applyFont="1" applyBorder="1" applyAlignment="1">
      <alignment vertical="center"/>
    </xf>
    <xf numFmtId="49" fontId="16" fillId="0" borderId="56" xfId="0" applyNumberFormat="1" applyFont="1" applyBorder="1" applyAlignment="1">
      <alignment vertical="center"/>
    </xf>
    <xf numFmtId="49" fontId="16" fillId="0" borderId="55" xfId="0" applyNumberFormat="1" applyFont="1" applyBorder="1" applyAlignment="1">
      <alignment vertical="center"/>
    </xf>
    <xf numFmtId="0" fontId="0" fillId="0" borderId="72" xfId="0" applyFont="1" applyBorder="1" applyAlignment="1">
      <alignment horizontal="center"/>
    </xf>
    <xf numFmtId="0" fontId="0" fillId="0" borderId="119" xfId="0" applyFont="1" applyBorder="1" applyAlignment="1">
      <alignment horizontal="center"/>
    </xf>
    <xf numFmtId="0" fontId="0" fillId="0" borderId="73" xfId="0" applyFont="1" applyBorder="1" applyAlignment="1">
      <alignment horizontal="center"/>
    </xf>
    <xf numFmtId="0" fontId="0" fillId="13" borderId="55" xfId="0" applyFont="1" applyFill="1" applyBorder="1" applyAlignment="1"/>
    <xf numFmtId="9" fontId="18" fillId="13" borderId="55" xfId="0" applyNumberFormat="1" applyFont="1" applyFill="1" applyBorder="1" applyAlignment="1">
      <alignment horizontal="center" vertical="center" wrapText="1"/>
    </xf>
    <xf numFmtId="9" fontId="23" fillId="13" borderId="90" xfId="0" applyNumberFormat="1" applyFont="1" applyFill="1" applyBorder="1" applyAlignment="1">
      <alignment horizontal="center" vertical="center" wrapText="1"/>
    </xf>
    <xf numFmtId="9" fontId="18" fillId="13" borderId="54" xfId="0" applyNumberFormat="1" applyFont="1" applyFill="1" applyBorder="1" applyAlignment="1">
      <alignment horizontal="center" vertical="center" wrapText="1"/>
    </xf>
    <xf numFmtId="9" fontId="23" fillId="13" borderId="57" xfId="0" applyNumberFormat="1" applyFont="1" applyFill="1" applyBorder="1" applyAlignment="1">
      <alignment horizontal="center" vertical="center" wrapText="1"/>
    </xf>
    <xf numFmtId="9" fontId="18" fillId="4" borderId="55" xfId="0" applyNumberFormat="1" applyFont="1" applyFill="1" applyBorder="1" applyAlignment="1">
      <alignment horizontal="center" vertical="center" wrapText="1"/>
    </xf>
    <xf numFmtId="9" fontId="23" fillId="0" borderId="56" xfId="0" applyNumberFormat="1" applyFont="1" applyBorder="1" applyAlignment="1">
      <alignment horizontal="center" vertical="center" wrapText="1"/>
    </xf>
    <xf numFmtId="0" fontId="0" fillId="13" borderId="104" xfId="0" applyFont="1" applyFill="1" applyBorder="1" applyAlignment="1"/>
    <xf numFmtId="0" fontId="0" fillId="14" borderId="55" xfId="0" applyFont="1" applyFill="1" applyBorder="1" applyAlignment="1"/>
    <xf numFmtId="9" fontId="18" fillId="14" borderId="55" xfId="0" applyNumberFormat="1" applyFont="1" applyFill="1" applyBorder="1" applyAlignment="1">
      <alignment horizontal="center" vertical="center" wrapText="1"/>
    </xf>
    <xf numFmtId="9" fontId="23" fillId="14" borderId="90" xfId="0" applyNumberFormat="1" applyFont="1" applyFill="1" applyBorder="1" applyAlignment="1">
      <alignment horizontal="center" vertical="center" wrapText="1"/>
    </xf>
    <xf numFmtId="9" fontId="23" fillId="14" borderId="54" xfId="0" applyNumberFormat="1" applyFont="1" applyFill="1" applyBorder="1" applyAlignment="1">
      <alignment horizontal="center" vertical="center" wrapText="1"/>
    </xf>
    <xf numFmtId="0" fontId="0" fillId="14" borderId="57" xfId="0" applyFont="1" applyFill="1" applyBorder="1" applyAlignment="1"/>
    <xf numFmtId="0" fontId="0" fillId="14" borderId="104" xfId="0" applyFont="1" applyFill="1" applyBorder="1" applyAlignment="1"/>
    <xf numFmtId="0" fontId="0" fillId="14" borderId="90" xfId="0" applyFont="1" applyFill="1" applyBorder="1" applyAlignment="1"/>
    <xf numFmtId="0" fontId="0" fillId="14" borderId="54" xfId="0" applyFont="1" applyFill="1" applyBorder="1" applyAlignment="1"/>
    <xf numFmtId="0" fontId="0" fillId="15" borderId="55" xfId="0" applyFont="1" applyFill="1" applyBorder="1" applyAlignment="1"/>
    <xf numFmtId="0" fontId="0" fillId="15" borderId="90" xfId="0" applyFont="1" applyFill="1" applyBorder="1" applyAlignment="1"/>
    <xf numFmtId="0" fontId="0" fillId="15" borderId="54" xfId="0" applyFont="1" applyFill="1" applyBorder="1" applyAlignment="1"/>
    <xf numFmtId="0" fontId="0" fillId="15" borderId="57" xfId="0" applyFont="1" applyFill="1" applyBorder="1" applyAlignment="1"/>
    <xf numFmtId="0" fontId="0" fillId="15" borderId="104" xfId="0" applyFont="1" applyFill="1" applyBorder="1" applyAlignment="1"/>
    <xf numFmtId="0" fontId="0" fillId="4" borderId="55" xfId="0" applyFont="1" applyFill="1" applyBorder="1" applyAlignment="1"/>
    <xf numFmtId="0" fontId="0" fillId="4" borderId="90" xfId="0" applyFont="1" applyFill="1" applyBorder="1" applyAlignment="1"/>
    <xf numFmtId="0" fontId="0" fillId="4" borderId="54" xfId="0" applyFont="1" applyFill="1" applyBorder="1" applyAlignment="1"/>
    <xf numFmtId="0" fontId="0" fillId="4" borderId="57" xfId="0" applyFont="1" applyFill="1" applyBorder="1" applyAlignment="1"/>
    <xf numFmtId="0" fontId="0" fillId="4" borderId="104" xfId="0" applyFont="1" applyFill="1" applyBorder="1" applyAlignment="1"/>
    <xf numFmtId="0" fontId="0" fillId="16" borderId="55" xfId="0" applyFont="1" applyFill="1" applyBorder="1" applyAlignment="1"/>
    <xf numFmtId="0" fontId="0" fillId="16" borderId="90" xfId="0" applyFont="1" applyFill="1" applyBorder="1" applyAlignment="1"/>
    <xf numFmtId="0" fontId="0" fillId="16" borderId="54" xfId="0" applyFont="1" applyFill="1" applyBorder="1" applyAlignment="1"/>
    <xf numFmtId="0" fontId="0" fillId="16" borderId="57" xfId="0" applyFont="1" applyFill="1" applyBorder="1" applyAlignment="1"/>
    <xf numFmtId="0" fontId="0" fillId="16" borderId="104" xfId="0" applyFont="1" applyFill="1" applyBorder="1" applyAlignment="1"/>
    <xf numFmtId="0" fontId="0" fillId="9" borderId="55" xfId="0" applyFont="1" applyFill="1" applyBorder="1" applyAlignment="1"/>
    <xf numFmtId="0" fontId="0" fillId="9" borderId="90" xfId="0" applyFont="1" applyFill="1" applyBorder="1" applyAlignment="1"/>
    <xf numFmtId="0" fontId="0" fillId="9" borderId="54" xfId="0" applyFont="1" applyFill="1" applyBorder="1" applyAlignment="1"/>
    <xf numFmtId="0" fontId="0" fillId="9" borderId="57" xfId="0" applyFont="1" applyFill="1" applyBorder="1" applyAlignment="1"/>
    <xf numFmtId="0" fontId="0" fillId="9" borderId="104" xfId="0" applyFont="1" applyFill="1" applyBorder="1" applyAlignment="1"/>
    <xf numFmtId="0" fontId="0" fillId="17" borderId="55" xfId="0" applyFont="1" applyFill="1" applyBorder="1" applyAlignment="1"/>
    <xf numFmtId="0" fontId="0" fillId="15" borderId="118" xfId="0" applyFont="1" applyFill="1" applyBorder="1" applyAlignment="1"/>
    <xf numFmtId="0" fontId="0" fillId="15" borderId="116" xfId="0" applyFont="1" applyFill="1" applyBorder="1" applyAlignment="1"/>
    <xf numFmtId="0" fontId="0" fillId="18" borderId="55" xfId="0" applyFont="1" applyFill="1" applyBorder="1" applyAlignment="1"/>
    <xf numFmtId="0" fontId="0" fillId="19" borderId="118" xfId="0" applyFont="1" applyFill="1" applyBorder="1" applyAlignment="1"/>
    <xf numFmtId="0" fontId="0" fillId="19" borderId="55" xfId="0" applyFont="1" applyFill="1" applyBorder="1" applyAlignment="1"/>
    <xf numFmtId="0" fontId="0" fillId="19" borderId="116" xfId="0" applyFont="1" applyFill="1" applyBorder="1" applyAlignment="1"/>
    <xf numFmtId="0" fontId="0" fillId="20" borderId="55" xfId="0" applyFont="1" applyFill="1" applyBorder="1" applyAlignment="1"/>
    <xf numFmtId="0" fontId="0" fillId="0" borderId="0" xfId="0" applyFont="1" applyAlignment="1"/>
    <xf numFmtId="0" fontId="4" fillId="0" borderId="55" xfId="0" applyFont="1" applyBorder="1" applyAlignment="1">
      <alignment horizontal="center" vertical="center"/>
    </xf>
    <xf numFmtId="4" fontId="27" fillId="4" borderId="60" xfId="0" applyNumberFormat="1" applyFont="1" applyFill="1" applyBorder="1" applyAlignment="1">
      <alignment horizontal="center" vertical="center" wrapText="1"/>
    </xf>
    <xf numFmtId="4" fontId="28" fillId="4" borderId="60" xfId="0" applyNumberFormat="1" applyFont="1" applyFill="1" applyBorder="1" applyAlignment="1">
      <alignment horizontal="right" vertical="center" wrapText="1"/>
    </xf>
    <xf numFmtId="9" fontId="27" fillId="4" borderId="60" xfId="0" applyNumberFormat="1" applyFont="1" applyFill="1" applyBorder="1" applyAlignment="1">
      <alignment vertical="center" wrapText="1"/>
    </xf>
    <xf numFmtId="176" fontId="27" fillId="4" borderId="60" xfId="0" applyNumberFormat="1" applyFont="1" applyFill="1" applyBorder="1" applyAlignment="1">
      <alignment horizontal="center" vertical="center" wrapText="1"/>
    </xf>
    <xf numFmtId="176" fontId="28" fillId="4" borderId="60" xfId="0" applyNumberFormat="1" applyFont="1" applyFill="1" applyBorder="1" applyAlignment="1">
      <alignment horizontal="right" vertical="center" wrapText="1"/>
    </xf>
    <xf numFmtId="3" fontId="28" fillId="4" borderId="60" xfId="0" applyNumberFormat="1" applyFont="1" applyFill="1" applyBorder="1" applyAlignment="1">
      <alignment horizontal="right" vertical="center" wrapText="1"/>
    </xf>
    <xf numFmtId="3" fontId="27" fillId="4" borderId="60" xfId="0" applyNumberFormat="1" applyFont="1" applyFill="1" applyBorder="1" applyAlignment="1">
      <alignment vertical="center" wrapText="1"/>
    </xf>
    <xf numFmtId="0" fontId="4" fillId="0" borderId="55" xfId="0" applyFont="1" applyBorder="1" applyAlignment="1">
      <alignment vertical="center" wrapText="1"/>
    </xf>
    <xf numFmtId="0" fontId="4" fillId="0" borderId="67" xfId="0" applyFont="1" applyBorder="1" applyAlignment="1">
      <alignment vertical="center" wrapText="1"/>
    </xf>
    <xf numFmtId="168" fontId="5" fillId="0" borderId="67" xfId="0" applyNumberFormat="1" applyFont="1" applyFill="1" applyBorder="1" applyAlignment="1">
      <alignment horizontal="center" vertical="center" wrapText="1"/>
    </xf>
    <xf numFmtId="177" fontId="4" fillId="0" borderId="55" xfId="0" applyNumberFormat="1" applyFont="1" applyBorder="1" applyAlignment="1">
      <alignment horizontal="center" vertical="center" wrapText="1"/>
    </xf>
    <xf numFmtId="177" fontId="16" fillId="0" borderId="0" xfId="0" applyNumberFormat="1" applyFont="1" applyAlignment="1">
      <alignment vertical="center"/>
    </xf>
    <xf numFmtId="164" fontId="4" fillId="0" borderId="55" xfId="0" applyNumberFormat="1" applyFont="1" applyBorder="1" applyAlignment="1">
      <alignment horizontal="center" vertical="center" wrapText="1"/>
    </xf>
    <xf numFmtId="173" fontId="16" fillId="0" borderId="116" xfId="0" applyNumberFormat="1" applyFont="1" applyBorder="1" applyAlignment="1">
      <alignment vertical="center" wrapText="1"/>
    </xf>
    <xf numFmtId="177" fontId="16" fillId="0" borderId="118" xfId="0" applyNumberFormat="1" applyFont="1" applyBorder="1" applyAlignment="1">
      <alignment horizontal="center" vertical="center" wrapText="1"/>
    </xf>
    <xf numFmtId="0" fontId="4" fillId="0" borderId="55" xfId="0" applyFont="1" applyBorder="1" applyAlignment="1">
      <alignment horizontal="center" vertical="center" wrapText="1"/>
    </xf>
    <xf numFmtId="0" fontId="4" fillId="0" borderId="55" xfId="0" applyFont="1" applyFill="1" applyBorder="1" applyAlignment="1">
      <alignment horizontal="center" vertical="center" wrapText="1"/>
    </xf>
    <xf numFmtId="0" fontId="16" fillId="0" borderId="55" xfId="0" applyFont="1" applyFill="1" applyBorder="1" applyAlignment="1">
      <alignment vertical="center" wrapText="1"/>
    </xf>
    <xf numFmtId="177" fontId="16" fillId="0" borderId="55" xfId="0" applyNumberFormat="1" applyFont="1" applyFill="1" applyBorder="1" applyAlignment="1">
      <alignment vertical="center" wrapText="1"/>
    </xf>
    <xf numFmtId="0" fontId="16" fillId="0" borderId="0" xfId="0" applyFont="1" applyFill="1" applyAlignment="1">
      <alignment vertical="center" wrapText="1"/>
    </xf>
    <xf numFmtId="0" fontId="16" fillId="0" borderId="55" xfId="0" applyFont="1" applyFill="1" applyBorder="1" applyAlignment="1">
      <alignment horizontal="center" vertical="center" wrapText="1"/>
    </xf>
    <xf numFmtId="0" fontId="16" fillId="0" borderId="67" xfId="0" applyFont="1" applyFill="1" applyBorder="1" applyAlignment="1">
      <alignment vertical="center" wrapText="1"/>
    </xf>
    <xf numFmtId="0" fontId="16" fillId="0" borderId="55" xfId="0" applyFont="1" applyFill="1" applyBorder="1" applyAlignment="1">
      <alignment horizontal="left" vertical="center" wrapText="1"/>
    </xf>
    <xf numFmtId="3" fontId="16" fillId="0" borderId="55" xfId="0" applyNumberFormat="1" applyFont="1" applyFill="1" applyBorder="1" applyAlignment="1">
      <alignment horizontal="center" vertical="center" wrapText="1"/>
    </xf>
    <xf numFmtId="0" fontId="4" fillId="0" borderId="55" xfId="0" applyFont="1" applyFill="1" applyBorder="1" applyAlignment="1">
      <alignment vertical="center" wrapText="1"/>
    </xf>
    <xf numFmtId="173" fontId="16" fillId="0" borderId="55" xfId="0" applyNumberFormat="1" applyFont="1" applyFill="1" applyBorder="1" applyAlignment="1">
      <alignment vertical="center" wrapText="1"/>
    </xf>
    <xf numFmtId="177" fontId="16" fillId="0" borderId="55" xfId="0" applyNumberFormat="1" applyFont="1" applyFill="1" applyBorder="1" applyAlignment="1">
      <alignment horizontal="center" vertical="center" wrapText="1"/>
    </xf>
    <xf numFmtId="1" fontId="16" fillId="0" borderId="55" xfId="0" applyNumberFormat="1" applyFont="1" applyFill="1" applyBorder="1" applyAlignment="1">
      <alignment horizontal="right" vertical="center" wrapText="1"/>
    </xf>
    <xf numFmtId="1" fontId="16" fillId="0" borderId="55" xfId="0" applyNumberFormat="1" applyFont="1" applyFill="1" applyBorder="1" applyAlignment="1">
      <alignment vertical="center" wrapText="1"/>
    </xf>
    <xf numFmtId="2" fontId="16" fillId="0" borderId="55" xfId="0" applyNumberFormat="1" applyFont="1" applyFill="1" applyBorder="1" applyAlignment="1">
      <alignment horizontal="center" vertical="center" wrapText="1"/>
    </xf>
    <xf numFmtId="9" fontId="16" fillId="0" borderId="55" xfId="0" applyNumberFormat="1" applyFont="1" applyFill="1" applyBorder="1" applyAlignment="1">
      <alignment horizontal="center" vertical="center" wrapText="1"/>
    </xf>
    <xf numFmtId="9" fontId="16" fillId="0" borderId="55" xfId="0" applyNumberFormat="1" applyFont="1" applyFill="1" applyBorder="1" applyAlignment="1">
      <alignment vertical="center" wrapText="1"/>
    </xf>
    <xf numFmtId="0" fontId="0" fillId="0" borderId="0" xfId="0" applyFont="1" applyFill="1" applyAlignment="1"/>
    <xf numFmtId="177" fontId="29" fillId="0" borderId="55" xfId="0" applyNumberFormat="1" applyFont="1" applyFill="1" applyBorder="1" applyAlignment="1">
      <alignment horizontal="center" vertical="center" wrapText="1"/>
    </xf>
    <xf numFmtId="177" fontId="4" fillId="0" borderId="55" xfId="0" applyNumberFormat="1" applyFont="1" applyFill="1" applyBorder="1" applyAlignment="1">
      <alignment horizontal="center" vertical="center"/>
    </xf>
    <xf numFmtId="3" fontId="16" fillId="0" borderId="55" xfId="0" applyNumberFormat="1" applyFont="1" applyFill="1" applyBorder="1" applyAlignment="1">
      <alignment vertical="center" wrapText="1"/>
    </xf>
    <xf numFmtId="1" fontId="19" fillId="4" borderId="103" xfId="0" applyNumberFormat="1" applyFont="1" applyFill="1" applyBorder="1" applyAlignment="1">
      <alignment vertical="center"/>
    </xf>
    <xf numFmtId="1" fontId="19" fillId="4" borderId="112" xfId="0" applyNumberFormat="1" applyFont="1" applyFill="1" applyBorder="1" applyAlignment="1">
      <alignment vertical="center"/>
    </xf>
    <xf numFmtId="1" fontId="19" fillId="4" borderId="115" xfId="0" applyNumberFormat="1" applyFont="1" applyFill="1" applyBorder="1" applyAlignment="1">
      <alignment vertical="center"/>
    </xf>
    <xf numFmtId="1" fontId="5" fillId="4" borderId="116" xfId="0" applyNumberFormat="1" applyFont="1" applyFill="1" applyBorder="1" applyAlignment="1">
      <alignment horizontal="center" vertical="center" wrapText="1"/>
    </xf>
    <xf numFmtId="1" fontId="16" fillId="0" borderId="0" xfId="0" applyNumberFormat="1" applyFont="1" applyAlignment="1">
      <alignment vertical="center"/>
    </xf>
    <xf numFmtId="1" fontId="0" fillId="0" borderId="0" xfId="0" applyNumberFormat="1" applyFont="1" applyAlignment="1"/>
    <xf numFmtId="168" fontId="16" fillId="0" borderId="55" xfId="0" applyNumberFormat="1" applyFont="1" applyBorder="1" applyAlignment="1">
      <alignment horizontal="right" vertical="center" wrapText="1"/>
    </xf>
    <xf numFmtId="179" fontId="16" fillId="0" borderId="55" xfId="0" applyNumberFormat="1" applyFont="1" applyFill="1" applyBorder="1" applyAlignment="1">
      <alignment horizontal="center" vertical="center" wrapText="1"/>
    </xf>
    <xf numFmtId="9" fontId="0" fillId="0" borderId="0" xfId="2" applyFont="1" applyAlignment="1">
      <alignment vertical="center"/>
    </xf>
    <xf numFmtId="5" fontId="0" fillId="0" borderId="48" xfId="0" applyNumberFormat="1" applyBorder="1" applyAlignment="1">
      <alignment vertical="center"/>
    </xf>
    <xf numFmtId="5" fontId="0" fillId="0" borderId="49" xfId="0" applyNumberFormat="1" applyBorder="1" applyAlignment="1">
      <alignment vertical="center"/>
    </xf>
    <xf numFmtId="166" fontId="0" fillId="0" borderId="118" xfId="0" applyNumberFormat="1" applyBorder="1" applyAlignment="1">
      <alignment vertical="center"/>
    </xf>
    <xf numFmtId="0" fontId="0" fillId="0" borderId="54" xfId="0" applyBorder="1" applyAlignment="1">
      <alignment vertical="center"/>
    </xf>
    <xf numFmtId="0" fontId="0" fillId="0" borderId="55" xfId="0" applyBorder="1" applyAlignment="1">
      <alignment vertical="center"/>
    </xf>
    <xf numFmtId="166" fontId="0" fillId="0" borderId="55" xfId="0" applyNumberFormat="1" applyBorder="1" applyAlignment="1">
      <alignment vertical="center"/>
    </xf>
    <xf numFmtId="5" fontId="0" fillId="0" borderId="55" xfId="0" applyNumberFormat="1" applyBorder="1" applyAlignment="1">
      <alignment vertical="center"/>
    </xf>
    <xf numFmtId="171" fontId="0" fillId="0" borderId="48" xfId="0" applyNumberFormat="1" applyBorder="1" applyAlignment="1">
      <alignment vertical="center"/>
    </xf>
    <xf numFmtId="171" fontId="0" fillId="0" borderId="49" xfId="0" applyNumberFormat="1" applyBorder="1" applyAlignment="1">
      <alignment vertical="center"/>
    </xf>
    <xf numFmtId="0" fontId="0" fillId="0" borderId="108" xfId="0" applyBorder="1" applyAlignment="1">
      <alignment vertical="center"/>
    </xf>
    <xf numFmtId="171" fontId="0" fillId="0" borderId="55" xfId="0" applyNumberFormat="1" applyBorder="1" applyAlignment="1">
      <alignment vertical="center"/>
    </xf>
    <xf numFmtId="5" fontId="0" fillId="0" borderId="54" xfId="0" applyNumberFormat="1" applyBorder="1" applyAlignment="1">
      <alignment vertical="center"/>
    </xf>
    <xf numFmtId="5" fontId="0" fillId="0" borderId="108" xfId="0" applyNumberFormat="1" applyBorder="1" applyAlignment="1">
      <alignment vertical="center"/>
    </xf>
    <xf numFmtId="0" fontId="31" fillId="0" borderId="111" xfId="3" applyFont="1"/>
    <xf numFmtId="0" fontId="3" fillId="0" borderId="111" xfId="3"/>
    <xf numFmtId="9" fontId="3" fillId="0" borderId="111" xfId="3" applyNumberFormat="1"/>
    <xf numFmtId="2" fontId="3" fillId="0" borderId="111" xfId="3" applyNumberFormat="1"/>
    <xf numFmtId="0" fontId="33" fillId="0" borderId="111" xfId="3" applyFont="1"/>
    <xf numFmtId="0" fontId="34" fillId="0" borderId="111" xfId="3" applyFont="1" applyAlignment="1">
      <alignment vertical="center"/>
    </xf>
    <xf numFmtId="0" fontId="35" fillId="0" borderId="111" xfId="3" applyFont="1" applyAlignment="1">
      <alignment vertical="center"/>
    </xf>
    <xf numFmtId="0" fontId="34" fillId="0" borderId="111" xfId="3" applyFont="1" applyAlignment="1">
      <alignment horizontal="center" vertical="center" wrapText="1"/>
    </xf>
    <xf numFmtId="0" fontId="36" fillId="0" borderId="111" xfId="3" applyFont="1"/>
    <xf numFmtId="9" fontId="4" fillId="21" borderId="55" xfId="0" applyNumberFormat="1" applyFont="1" applyFill="1" applyBorder="1" applyAlignment="1">
      <alignment horizontal="center" vertical="center" wrapText="1"/>
    </xf>
    <xf numFmtId="2" fontId="0" fillId="22" borderId="91" xfId="0" applyNumberFormat="1" applyFont="1" applyFill="1" applyBorder="1" applyAlignment="1">
      <alignment horizontal="center" vertical="center"/>
    </xf>
    <xf numFmtId="172" fontId="0" fillId="23" borderId="91" xfId="0" applyNumberFormat="1" applyFont="1" applyFill="1" applyBorder="1" applyAlignment="1">
      <alignment horizontal="center" vertical="center"/>
    </xf>
    <xf numFmtId="0" fontId="0" fillId="22" borderId="91" xfId="0" applyFont="1" applyFill="1" applyBorder="1" applyAlignment="1">
      <alignment vertical="center"/>
    </xf>
    <xf numFmtId="0" fontId="0" fillId="23" borderId="91" xfId="0" applyFont="1" applyFill="1" applyBorder="1" applyAlignment="1">
      <alignment vertical="center"/>
    </xf>
    <xf numFmtId="2" fontId="0" fillId="23" borderId="91" xfId="0" applyNumberFormat="1" applyFont="1" applyFill="1" applyBorder="1" applyAlignment="1">
      <alignment horizontal="center" vertical="center"/>
    </xf>
    <xf numFmtId="9" fontId="4" fillId="21" borderId="60" xfId="0" applyNumberFormat="1" applyFont="1" applyFill="1" applyBorder="1" applyAlignment="1">
      <alignment horizontal="center" vertical="center" wrapText="1"/>
    </xf>
    <xf numFmtId="9" fontId="0" fillId="23" borderId="91" xfId="0" applyNumberFormat="1" applyFont="1" applyFill="1" applyBorder="1" applyAlignment="1">
      <alignment horizontal="center" vertical="center"/>
    </xf>
    <xf numFmtId="9" fontId="0" fillId="22" borderId="91" xfId="0" applyNumberFormat="1" applyFont="1" applyFill="1" applyBorder="1" applyAlignment="1">
      <alignment horizontal="center" vertical="center"/>
    </xf>
    <xf numFmtId="180" fontId="5" fillId="4" borderId="60" xfId="1" applyNumberFormat="1" applyFont="1" applyFill="1" applyBorder="1" applyAlignment="1">
      <alignment horizontal="center" vertical="center" wrapText="1"/>
    </xf>
    <xf numFmtId="3" fontId="0" fillId="23" borderId="91" xfId="0" applyNumberFormat="1" applyFont="1" applyFill="1" applyBorder="1" applyAlignment="1">
      <alignment horizontal="center" vertical="center"/>
    </xf>
    <xf numFmtId="3" fontId="0" fillId="22" borderId="91" xfId="0" applyNumberFormat="1" applyFont="1" applyFill="1" applyBorder="1" applyAlignment="1">
      <alignment vertical="center"/>
    </xf>
    <xf numFmtId="3" fontId="0" fillId="23" borderId="91" xfId="0" applyNumberFormat="1" applyFont="1" applyFill="1" applyBorder="1" applyAlignment="1">
      <alignment vertical="center"/>
    </xf>
    <xf numFmtId="5" fontId="0" fillId="0" borderId="104" xfId="0" applyNumberFormat="1" applyBorder="1" applyAlignment="1">
      <alignment vertical="center"/>
    </xf>
    <xf numFmtId="166" fontId="0" fillId="0" borderId="57" xfId="0" applyNumberFormat="1" applyFont="1" applyBorder="1" applyAlignment="1">
      <alignment vertical="center"/>
    </xf>
    <xf numFmtId="5" fontId="0" fillId="0" borderId="123" xfId="0" applyNumberFormat="1" applyBorder="1" applyAlignment="1">
      <alignment vertical="center"/>
    </xf>
    <xf numFmtId="0" fontId="38" fillId="0" borderId="0" xfId="0" applyFont="1" applyAlignment="1">
      <alignment vertical="center" wrapText="1"/>
    </xf>
    <xf numFmtId="0" fontId="38" fillId="0" borderId="0" xfId="0" applyFont="1" applyAlignment="1"/>
    <xf numFmtId="0" fontId="39" fillId="0" borderId="95" xfId="0" applyFont="1" applyBorder="1" applyAlignment="1">
      <alignment horizontal="center" vertical="center" wrapText="1"/>
    </xf>
    <xf numFmtId="171" fontId="39" fillId="24" borderId="95" xfId="0" applyNumberFormat="1" applyFont="1" applyFill="1" applyBorder="1" applyAlignment="1">
      <alignment horizontal="center" vertical="center" wrapText="1"/>
    </xf>
    <xf numFmtId="0" fontId="39" fillId="24" borderId="95" xfId="0" applyFont="1" applyFill="1" applyBorder="1" applyAlignment="1">
      <alignment horizontal="center" vertical="center"/>
    </xf>
    <xf numFmtId="171" fontId="39" fillId="25" borderId="95" xfId="0" applyNumberFormat="1" applyFont="1" applyFill="1" applyBorder="1" applyAlignment="1">
      <alignment horizontal="center" vertical="center" wrapText="1"/>
    </xf>
    <xf numFmtId="0" fontId="39" fillId="25" borderId="95" xfId="0" applyFont="1" applyFill="1" applyBorder="1" applyAlignment="1">
      <alignment horizontal="center" vertical="center"/>
    </xf>
    <xf numFmtId="0" fontId="38" fillId="0" borderId="0" xfId="0" applyFont="1" applyAlignment="1">
      <alignment vertical="center"/>
    </xf>
    <xf numFmtId="0" fontId="38" fillId="0" borderId="95" xfId="0" applyFont="1" applyBorder="1" applyAlignment="1">
      <alignment vertical="center" wrapText="1"/>
    </xf>
    <xf numFmtId="171" fontId="38" fillId="24" borderId="95" xfId="0" applyNumberFormat="1" applyFont="1" applyFill="1" applyBorder="1" applyAlignment="1">
      <alignment vertical="center" wrapText="1"/>
    </xf>
    <xf numFmtId="9" fontId="38" fillId="24" borderId="95" xfId="2" applyFont="1" applyFill="1" applyBorder="1" applyAlignment="1">
      <alignment vertical="center" wrapText="1"/>
    </xf>
    <xf numFmtId="171" fontId="38" fillId="25" borderId="95" xfId="0" applyNumberFormat="1" applyFont="1" applyFill="1" applyBorder="1" applyAlignment="1">
      <alignment vertical="center" wrapText="1"/>
    </xf>
    <xf numFmtId="9" fontId="38" fillId="25" borderId="95" xfId="2" applyFont="1" applyFill="1" applyBorder="1" applyAlignment="1">
      <alignment vertical="center" wrapText="1"/>
    </xf>
    <xf numFmtId="0" fontId="39" fillId="0" borderId="95" xfId="0" applyFont="1" applyBorder="1" applyAlignment="1">
      <alignment horizontal="right" vertical="center" wrapText="1"/>
    </xf>
    <xf numFmtId="171" fontId="39" fillId="0" borderId="95" xfId="0" applyNumberFormat="1" applyFont="1" applyBorder="1" applyAlignment="1">
      <alignment vertical="center" wrapText="1"/>
    </xf>
    <xf numFmtId="9" fontId="39" fillId="0" borderId="95" xfId="2" applyFont="1" applyBorder="1" applyAlignment="1">
      <alignment vertical="center" wrapText="1"/>
    </xf>
    <xf numFmtId="0" fontId="39" fillId="0" borderId="95" xfId="0" applyFont="1" applyBorder="1" applyAlignment="1">
      <alignment vertical="center"/>
    </xf>
    <xf numFmtId="171" fontId="38" fillId="0" borderId="0" xfId="0" applyNumberFormat="1" applyFont="1" applyAlignment="1">
      <alignment vertical="center" wrapText="1"/>
    </xf>
    <xf numFmtId="0" fontId="38" fillId="0" borderId="0" xfId="0" applyFont="1" applyAlignment="1">
      <alignment horizontal="center"/>
    </xf>
    <xf numFmtId="171" fontId="39" fillId="0" borderId="95" xfId="0" applyNumberFormat="1" applyFont="1" applyBorder="1" applyAlignment="1">
      <alignment horizontal="right" vertical="center"/>
    </xf>
    <xf numFmtId="171" fontId="39" fillId="0" borderId="95" xfId="0" applyNumberFormat="1" applyFont="1" applyBorder="1" applyAlignment="1">
      <alignment vertical="center"/>
    </xf>
    <xf numFmtId="0" fontId="39" fillId="24" borderId="95" xfId="0" applyFont="1" applyFill="1" applyBorder="1" applyAlignment="1">
      <alignment horizontal="center" vertical="center" wrapText="1"/>
    </xf>
    <xf numFmtId="1" fontId="5" fillId="4" borderId="60" xfId="0" applyNumberFormat="1" applyFont="1" applyFill="1" applyBorder="1" applyAlignment="1">
      <alignment horizontal="center" vertical="center" wrapText="1"/>
    </xf>
    <xf numFmtId="1" fontId="5" fillId="4" borderId="60" xfId="1" applyNumberFormat="1" applyFont="1" applyFill="1" applyBorder="1" applyAlignment="1">
      <alignment horizontal="right" vertical="center" wrapText="1"/>
    </xf>
    <xf numFmtId="2" fontId="5" fillId="4" borderId="60" xfId="0" applyNumberFormat="1" applyFont="1" applyFill="1" applyBorder="1" applyAlignment="1">
      <alignment horizontal="center" vertical="center" wrapText="1"/>
    </xf>
    <xf numFmtId="169" fontId="5" fillId="26" borderId="67" xfId="0" applyNumberFormat="1" applyFont="1" applyFill="1" applyBorder="1" applyAlignment="1">
      <alignment horizontal="center" vertical="center" wrapText="1"/>
    </xf>
    <xf numFmtId="0" fontId="5" fillId="26" borderId="67" xfId="0" applyNumberFormat="1" applyFont="1" applyFill="1" applyBorder="1" applyAlignment="1">
      <alignment horizontal="center" vertical="center" wrapText="1"/>
    </xf>
    <xf numFmtId="2" fontId="5" fillId="4" borderId="60" xfId="0" applyNumberFormat="1" applyFont="1" applyFill="1" applyBorder="1" applyAlignment="1">
      <alignment horizontal="right" vertical="center" wrapText="1"/>
    </xf>
    <xf numFmtId="180" fontId="5" fillId="0" borderId="67" xfId="0" applyNumberFormat="1" applyFont="1" applyBorder="1" applyAlignment="1">
      <alignment horizontal="center" vertical="center" wrapText="1"/>
    </xf>
    <xf numFmtId="176" fontId="5" fillId="27" borderId="60" xfId="0" applyNumberFormat="1" applyFont="1" applyFill="1" applyBorder="1" applyAlignment="1">
      <alignment horizontal="center" vertical="center" wrapText="1"/>
    </xf>
    <xf numFmtId="4" fontId="5" fillId="27" borderId="60" xfId="0" applyNumberFormat="1" applyFont="1" applyFill="1" applyBorder="1" applyAlignment="1">
      <alignment horizontal="center" vertical="center" wrapText="1"/>
    </xf>
    <xf numFmtId="4" fontId="5" fillId="4" borderId="60" xfId="0" applyNumberFormat="1" applyFont="1" applyFill="1" applyBorder="1" applyAlignment="1">
      <alignment horizontal="right" vertical="center" wrapText="1"/>
    </xf>
    <xf numFmtId="9" fontId="0" fillId="0" borderId="0" xfId="2" applyFont="1" applyAlignment="1">
      <alignment horizontal="center" vertical="center"/>
    </xf>
    <xf numFmtId="0" fontId="0" fillId="0" borderId="0" xfId="0" applyAlignment="1">
      <alignment vertical="center"/>
    </xf>
    <xf numFmtId="1" fontId="9" fillId="4" borderId="60" xfId="0" applyNumberFormat="1" applyFont="1" applyFill="1" applyBorder="1" applyAlignment="1">
      <alignment horizontal="center" vertical="center" wrapText="1"/>
    </xf>
    <xf numFmtId="174" fontId="5" fillId="4" borderId="60" xfId="0" applyNumberFormat="1" applyFont="1" applyFill="1" applyBorder="1" applyAlignment="1">
      <alignment horizontal="center" vertical="center" wrapText="1"/>
    </xf>
    <xf numFmtId="4" fontId="4" fillId="0" borderId="55" xfId="0" applyNumberFormat="1" applyFont="1" applyBorder="1" applyAlignment="1">
      <alignment vertical="center" wrapText="1"/>
    </xf>
    <xf numFmtId="169" fontId="16" fillId="0" borderId="55" xfId="0" applyNumberFormat="1" applyFont="1" applyBorder="1" applyAlignment="1">
      <alignment horizontal="center" vertical="center" wrapText="1"/>
    </xf>
    <xf numFmtId="169" fontId="16" fillId="0" borderId="55" xfId="0" applyNumberFormat="1" applyFont="1" applyBorder="1" applyAlignment="1">
      <alignment vertical="center" wrapText="1"/>
    </xf>
    <xf numFmtId="9" fontId="4" fillId="0" borderId="55" xfId="0" applyNumberFormat="1" applyFont="1" applyBorder="1" applyAlignment="1">
      <alignment vertical="center" wrapText="1"/>
    </xf>
    <xf numFmtId="9" fontId="4" fillId="0" borderId="55" xfId="0" applyNumberFormat="1" applyFont="1" applyFill="1" applyBorder="1" applyAlignment="1">
      <alignment vertical="center" wrapText="1"/>
    </xf>
    <xf numFmtId="9" fontId="6" fillId="0" borderId="61" xfId="0" applyNumberFormat="1" applyFont="1" applyBorder="1" applyAlignment="1">
      <alignment vertical="center"/>
    </xf>
    <xf numFmtId="166" fontId="0" fillId="0" borderId="87" xfId="0" applyNumberFormat="1" applyFont="1" applyBorder="1" applyAlignment="1">
      <alignment vertical="center"/>
    </xf>
    <xf numFmtId="5" fontId="0" fillId="0" borderId="104" xfId="0" applyNumberFormat="1" applyFont="1" applyBorder="1" applyAlignment="1">
      <alignment vertical="center"/>
    </xf>
    <xf numFmtId="166" fontId="0" fillId="0" borderId="104" xfId="0" applyNumberFormat="1" applyFont="1" applyBorder="1" applyAlignment="1">
      <alignment vertical="center"/>
    </xf>
    <xf numFmtId="5" fontId="0" fillId="0" borderId="136" xfId="0" applyNumberFormat="1" applyFont="1" applyBorder="1" applyAlignment="1">
      <alignment vertical="center"/>
    </xf>
    <xf numFmtId="3" fontId="16" fillId="0" borderId="55" xfId="0" applyNumberFormat="1" applyFont="1" applyBorder="1" applyAlignment="1">
      <alignment vertical="center" wrapText="1"/>
    </xf>
    <xf numFmtId="0" fontId="2" fillId="0" borderId="111" xfId="3" applyFont="1"/>
    <xf numFmtId="9" fontId="2" fillId="0" borderId="111" xfId="3" applyNumberFormat="1" applyFont="1"/>
    <xf numFmtId="2" fontId="41" fillId="0" borderId="111" xfId="3" applyNumberFormat="1" applyFont="1" applyFill="1"/>
    <xf numFmtId="9" fontId="38" fillId="0" borderId="95" xfId="2" applyFont="1" applyBorder="1" applyAlignment="1">
      <alignment vertical="center"/>
    </xf>
    <xf numFmtId="10" fontId="38" fillId="0" borderId="95" xfId="2" applyNumberFormat="1" applyFont="1" applyBorder="1" applyAlignment="1">
      <alignment vertical="center"/>
    </xf>
    <xf numFmtId="0" fontId="4" fillId="28" borderId="137" xfId="4" applyFont="1" applyFill="1" applyBorder="1" applyAlignment="1">
      <alignment vertical="center" wrapText="1"/>
    </xf>
    <xf numFmtId="0" fontId="4" fillId="28" borderId="111" xfId="4" applyFont="1" applyFill="1" applyAlignment="1">
      <alignment vertical="center" wrapText="1"/>
    </xf>
    <xf numFmtId="0" fontId="5" fillId="29" borderId="95" xfId="4" applyFont="1" applyFill="1" applyBorder="1" applyAlignment="1">
      <alignment horizontal="center" vertical="center" wrapText="1"/>
    </xf>
    <xf numFmtId="0" fontId="1" fillId="0" borderId="111" xfId="5"/>
    <xf numFmtId="0" fontId="1" fillId="0" borderId="111" xfId="5" applyAlignment="1">
      <alignment vertical="center"/>
    </xf>
    <xf numFmtId="0" fontId="5" fillId="28" borderId="137" xfId="4" applyFont="1" applyFill="1" applyBorder="1" applyAlignment="1">
      <alignment vertical="center" wrapText="1"/>
    </xf>
    <xf numFmtId="0" fontId="5" fillId="28" borderId="111" xfId="4" applyFont="1" applyFill="1" applyAlignment="1">
      <alignment vertical="center" wrapText="1"/>
    </xf>
    <xf numFmtId="4" fontId="1" fillId="0" borderId="95" xfId="6" applyNumberFormat="1" applyFont="1" applyBorder="1" applyAlignment="1">
      <alignment vertical="center"/>
    </xf>
    <xf numFmtId="4" fontId="1" fillId="0" borderId="95" xfId="7" applyNumberFormat="1" applyFont="1" applyBorder="1" applyAlignment="1">
      <alignment vertical="center"/>
    </xf>
    <xf numFmtId="9" fontId="1" fillId="0" borderId="95" xfId="6" applyFont="1" applyBorder="1" applyAlignment="1">
      <alignment vertical="center"/>
    </xf>
    <xf numFmtId="182" fontId="1" fillId="0" borderId="95" xfId="7" applyNumberFormat="1" applyFont="1" applyBorder="1" applyAlignment="1">
      <alignment vertical="center"/>
    </xf>
    <xf numFmtId="0" fontId="43" fillId="0" borderId="95" xfId="5" applyFont="1" applyBorder="1" applyAlignment="1">
      <alignment horizontal="center" vertical="center" wrapText="1"/>
    </xf>
    <xf numFmtId="0" fontId="43" fillId="0" borderId="111" xfId="5" applyFont="1" applyAlignment="1">
      <alignment horizontal="center" vertical="center" wrapText="1"/>
    </xf>
    <xf numFmtId="0" fontId="36" fillId="0" borderId="95" xfId="5" applyFont="1" applyBorder="1" applyAlignment="1">
      <alignment horizontal="justify" vertical="center" wrapText="1"/>
    </xf>
    <xf numFmtId="4" fontId="1" fillId="0" borderId="95" xfId="5" applyNumberFormat="1" applyBorder="1" applyAlignment="1">
      <alignment vertical="center"/>
    </xf>
    <xf numFmtId="4" fontId="1" fillId="0" borderId="94" xfId="5" applyNumberFormat="1" applyBorder="1" applyAlignment="1">
      <alignment vertical="center"/>
    </xf>
    <xf numFmtId="0" fontId="1" fillId="0" borderId="95" xfId="5" applyBorder="1" applyAlignment="1">
      <alignment vertical="center"/>
    </xf>
    <xf numFmtId="1" fontId="1" fillId="0" borderId="95" xfId="5" applyNumberFormat="1" applyBorder="1" applyAlignment="1">
      <alignment vertical="center"/>
    </xf>
    <xf numFmtId="9" fontId="1" fillId="0" borderId="95" xfId="5" applyNumberFormat="1" applyBorder="1" applyAlignment="1">
      <alignment vertical="center"/>
    </xf>
    <xf numFmtId="9" fontId="1" fillId="0" borderId="111" xfId="5" applyNumberFormat="1" applyAlignment="1">
      <alignment vertical="center"/>
    </xf>
    <xf numFmtId="49" fontId="1" fillId="0" borderId="95" xfId="5" applyNumberFormat="1" applyBorder="1" applyAlignment="1">
      <alignment vertical="center"/>
    </xf>
    <xf numFmtId="41" fontId="1" fillId="0" borderId="95" xfId="5" applyNumberFormat="1" applyBorder="1" applyAlignment="1">
      <alignment vertical="center"/>
    </xf>
    <xf numFmtId="0" fontId="1" fillId="0" borderId="95" xfId="7" applyNumberFormat="1" applyFont="1" applyBorder="1" applyAlignment="1">
      <alignment vertical="center"/>
    </xf>
    <xf numFmtId="0" fontId="1" fillId="0" borderId="95" xfId="6" applyNumberFormat="1" applyFont="1" applyBorder="1" applyAlignment="1">
      <alignment vertical="center"/>
    </xf>
    <xf numFmtId="0" fontId="5" fillId="0" borderId="95" xfId="4" applyFont="1" applyBorder="1" applyAlignment="1">
      <alignment horizontal="left" vertical="center" wrapText="1"/>
    </xf>
    <xf numFmtId="10" fontId="5" fillId="0" borderId="95" xfId="4" applyNumberFormat="1" applyFont="1" applyBorder="1" applyAlignment="1">
      <alignment horizontal="center" vertical="center" wrapText="1"/>
    </xf>
    <xf numFmtId="0" fontId="5" fillId="26" borderId="95" xfId="4" applyFont="1" applyFill="1" applyBorder="1" applyAlignment="1">
      <alignment horizontal="left" vertical="center" wrapText="1"/>
    </xf>
    <xf numFmtId="10" fontId="4" fillId="26" borderId="95" xfId="6" applyNumberFormat="1" applyFont="1" applyFill="1" applyBorder="1" applyAlignment="1" applyProtection="1">
      <alignment horizontal="center" vertical="center" wrapText="1"/>
      <protection locked="0"/>
    </xf>
    <xf numFmtId="172" fontId="1" fillId="0" borderId="111" xfId="5" applyNumberFormat="1" applyAlignment="1">
      <alignment vertical="center"/>
    </xf>
    <xf numFmtId="0" fontId="5" fillId="29" borderId="95" xfId="4" applyFont="1" applyFill="1" applyBorder="1" applyAlignment="1">
      <alignment horizontal="center" vertical="center" wrapText="1"/>
    </xf>
    <xf numFmtId="0" fontId="5" fillId="29" borderId="96" xfId="4" applyFont="1" applyFill="1" applyBorder="1" applyAlignment="1">
      <alignment horizontal="center" vertical="center" wrapText="1"/>
    </xf>
    <xf numFmtId="0" fontId="36" fillId="0" borderId="95" xfId="4" applyFont="1" applyBorder="1" applyAlignment="1">
      <alignment horizontal="left" vertical="center" wrapText="1"/>
    </xf>
    <xf numFmtId="0" fontId="36" fillId="0" borderId="95" xfId="5" applyFont="1" applyBorder="1" applyAlignment="1">
      <alignment horizontal="justify" vertical="center" wrapText="1"/>
    </xf>
    <xf numFmtId="9" fontId="36" fillId="0" borderId="95" xfId="5" applyNumberFormat="1" applyFont="1" applyBorder="1" applyAlignment="1">
      <alignment horizontal="justify" vertical="center" wrapText="1"/>
    </xf>
    <xf numFmtId="0" fontId="36" fillId="0" borderId="138" xfId="4" applyFont="1" applyBorder="1" applyAlignment="1">
      <alignment horizontal="left" vertical="center" wrapText="1"/>
    </xf>
    <xf numFmtId="0" fontId="36" fillId="0" borderId="139" xfId="4" applyFont="1" applyBorder="1" applyAlignment="1">
      <alignment horizontal="left" vertical="center" wrapText="1"/>
    </xf>
    <xf numFmtId="0" fontId="36" fillId="0" borderId="140" xfId="4" applyFont="1" applyBorder="1" applyAlignment="1">
      <alignment horizontal="left" vertical="center" wrapText="1"/>
    </xf>
    <xf numFmtId="2" fontId="4" fillId="0" borderId="95" xfId="4" applyNumberFormat="1" applyFont="1" applyBorder="1" applyAlignment="1">
      <alignment vertical="center" wrapText="1"/>
    </xf>
    <xf numFmtId="172" fontId="4" fillId="0" borderId="138" xfId="6" applyNumberFormat="1" applyFont="1" applyFill="1" applyBorder="1" applyAlignment="1" applyProtection="1">
      <alignment horizontal="center" vertical="center" wrapText="1"/>
    </xf>
    <xf numFmtId="172" fontId="4" fillId="0" borderId="140" xfId="6" applyNumberFormat="1" applyFont="1" applyFill="1" applyBorder="1" applyAlignment="1" applyProtection="1">
      <alignment horizontal="center" vertical="center" wrapText="1"/>
    </xf>
    <xf numFmtId="172" fontId="4" fillId="0" borderId="95" xfId="6" applyNumberFormat="1" applyFont="1" applyFill="1" applyBorder="1" applyAlignment="1" applyProtection="1">
      <alignment horizontal="center" vertical="center" wrapText="1"/>
    </xf>
    <xf numFmtId="172" fontId="4" fillId="0" borderId="139" xfId="6" applyNumberFormat="1" applyFont="1" applyFill="1" applyBorder="1" applyAlignment="1" applyProtection="1">
      <alignment horizontal="center" vertical="center" wrapText="1"/>
    </xf>
    <xf numFmtId="10" fontId="4" fillId="0" borderId="95" xfId="6"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6" fillId="0" borderId="7" xfId="0" applyFont="1" applyBorder="1"/>
    <xf numFmtId="0" fontId="6" fillId="0" borderId="12" xfId="0" applyFont="1" applyBorder="1"/>
    <xf numFmtId="0" fontId="5" fillId="2" borderId="2" xfId="0" applyFont="1" applyFill="1" applyBorder="1" applyAlignment="1">
      <alignment horizontal="left" vertical="center" wrapText="1"/>
    </xf>
    <xf numFmtId="0" fontId="6" fillId="0" borderId="3" xfId="0" applyFont="1" applyBorder="1"/>
    <xf numFmtId="0" fontId="6" fillId="0" borderId="4" xfId="0" applyFont="1" applyBorder="1"/>
    <xf numFmtId="0" fontId="6" fillId="0" borderId="8" xfId="0" applyFont="1" applyBorder="1"/>
    <xf numFmtId="0" fontId="0" fillId="0" borderId="0" xfId="0" applyFont="1" applyAlignment="1"/>
    <xf numFmtId="0" fontId="6" fillId="0" borderId="9" xfId="0" applyFont="1" applyBorder="1"/>
    <xf numFmtId="0" fontId="6" fillId="0" borderId="13" xfId="0" applyFont="1" applyBorder="1"/>
    <xf numFmtId="0" fontId="6" fillId="0" borderId="14" xfId="0" applyFont="1" applyBorder="1"/>
    <xf numFmtId="0" fontId="6" fillId="0" borderId="15" xfId="0" applyFont="1" applyBorder="1"/>
    <xf numFmtId="14" fontId="11" fillId="0" borderId="2" xfId="0" applyNumberFormat="1" applyFont="1" applyBorder="1" applyAlignment="1">
      <alignment horizontal="center" vertical="center"/>
    </xf>
    <xf numFmtId="0" fontId="6" fillId="0" borderId="26" xfId="0" applyFont="1" applyBorder="1" applyAlignment="1">
      <alignment horizontal="center" vertical="center"/>
    </xf>
    <xf numFmtId="0" fontId="6" fillId="0" borderId="6" xfId="0" applyFont="1" applyBorder="1"/>
    <xf numFmtId="0" fontId="12" fillId="0" borderId="27" xfId="0" applyFont="1" applyBorder="1" applyAlignment="1">
      <alignment horizontal="center" vertical="center" wrapText="1"/>
    </xf>
    <xf numFmtId="0" fontId="6" fillId="0" borderId="11" xfId="0" applyFont="1" applyBorder="1"/>
    <xf numFmtId="0" fontId="0" fillId="0" borderId="27" xfId="0" applyFont="1" applyBorder="1" applyAlignment="1">
      <alignment horizontal="center" vertical="center"/>
    </xf>
    <xf numFmtId="0" fontId="13" fillId="0" borderId="2" xfId="0" applyFont="1" applyBorder="1" applyAlignment="1">
      <alignment horizontal="left" vertical="center" wrapText="1"/>
    </xf>
    <xf numFmtId="0" fontId="5" fillId="2" borderId="30" xfId="0" applyFont="1" applyFill="1" applyBorder="1" applyAlignment="1">
      <alignment horizontal="center" vertical="center" wrapText="1"/>
    </xf>
    <xf numFmtId="0" fontId="6" fillId="0" borderId="32" xfId="0" applyFont="1" applyBorder="1"/>
    <xf numFmtId="0" fontId="6" fillId="0" borderId="31" xfId="0" applyFont="1" applyBorder="1"/>
    <xf numFmtId="0" fontId="5" fillId="0" borderId="30" xfId="0" applyFont="1" applyBorder="1" applyAlignment="1">
      <alignment horizontal="center" vertical="center" wrapText="1"/>
    </xf>
    <xf numFmtId="0" fontId="7" fillId="0" borderId="5" xfId="0" applyFont="1" applyBorder="1" applyAlignment="1">
      <alignment horizontal="left" vertical="center" wrapText="1"/>
    </xf>
    <xf numFmtId="0" fontId="6" fillId="0" borderId="5" xfId="0" applyFont="1" applyBorder="1"/>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8" fillId="0" borderId="16" xfId="0" applyFont="1" applyBorder="1" applyAlignment="1">
      <alignment horizontal="left" vertical="center" wrapText="1"/>
    </xf>
    <xf numFmtId="0" fontId="6" fillId="0" borderId="16" xfId="0" applyFont="1" applyBorder="1"/>
    <xf numFmtId="0" fontId="6" fillId="0" borderId="17" xfId="0" applyFont="1" applyBorder="1"/>
    <xf numFmtId="0" fontId="7" fillId="0" borderId="10" xfId="0" applyFont="1" applyBorder="1" applyAlignment="1">
      <alignment horizontal="left" vertical="center" wrapText="1"/>
    </xf>
    <xf numFmtId="0" fontId="6" fillId="0" borderId="10" xfId="0" applyFont="1" applyBorder="1"/>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8"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56" xfId="0" applyFont="1" applyBorder="1" applyAlignment="1">
      <alignment horizontal="left" vertical="center" wrapText="1"/>
    </xf>
    <xf numFmtId="0" fontId="5" fillId="0" borderId="26" xfId="0" applyFont="1" applyBorder="1" applyAlignment="1">
      <alignment horizontal="center" vertical="center" wrapText="1"/>
    </xf>
    <xf numFmtId="0" fontId="5" fillId="2" borderId="56" xfId="0" applyFont="1" applyFill="1" applyBorder="1" applyAlignment="1">
      <alignment horizontal="center" vertical="center" wrapText="1"/>
    </xf>
    <xf numFmtId="0" fontId="6" fillId="0" borderId="66" xfId="0" applyFont="1" applyBorder="1"/>
    <xf numFmtId="0" fontId="13" fillId="0" borderId="30" xfId="0" applyFont="1" applyBorder="1" applyAlignment="1">
      <alignment horizontal="left" vertical="center" wrapText="1"/>
    </xf>
    <xf numFmtId="0" fontId="5" fillId="2" borderId="30"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6" fillId="0" borderId="34" xfId="0" applyFont="1" applyBorder="1"/>
    <xf numFmtId="0" fontId="6" fillId="0" borderId="40" xfId="0" applyFont="1" applyBorder="1"/>
    <xf numFmtId="9" fontId="5" fillId="0" borderId="30" xfId="0" applyNumberFormat="1" applyFont="1" applyBorder="1" applyAlignment="1">
      <alignment horizontal="center" vertical="center" wrapText="1"/>
    </xf>
    <xf numFmtId="0" fontId="5" fillId="0" borderId="33" xfId="0" applyFont="1" applyBorder="1" applyAlignment="1">
      <alignment horizontal="left" vertical="center" wrapText="1"/>
    </xf>
    <xf numFmtId="0" fontId="6" fillId="0" borderId="35" xfId="0" applyFont="1" applyBorder="1"/>
    <xf numFmtId="0" fontId="5" fillId="2" borderId="28" xfId="0" applyFont="1" applyFill="1" applyBorder="1" applyAlignment="1">
      <alignment horizontal="center" vertical="center" wrapText="1"/>
    </xf>
    <xf numFmtId="0" fontId="6" fillId="0" borderId="58" xfId="0" applyFont="1" applyBorder="1"/>
    <xf numFmtId="0" fontId="5" fillId="2" borderId="76" xfId="0" applyFont="1" applyFill="1" applyBorder="1" applyAlignment="1">
      <alignment horizontal="center" vertical="center" wrapText="1"/>
    </xf>
    <xf numFmtId="0" fontId="6" fillId="0" borderId="77" xfId="0" applyFont="1" applyBorder="1"/>
    <xf numFmtId="0" fontId="6" fillId="0" borderId="78" xfId="0" applyFont="1" applyBorder="1"/>
    <xf numFmtId="0" fontId="6" fillId="0" borderId="79" xfId="0" applyFont="1" applyBorder="1"/>
    <xf numFmtId="0" fontId="4" fillId="0" borderId="64" xfId="0" applyFont="1" applyBorder="1" applyAlignment="1">
      <alignment horizontal="left" vertical="center" wrapText="1"/>
    </xf>
    <xf numFmtId="0" fontId="4" fillId="0" borderId="109" xfId="0" applyFont="1" applyBorder="1" applyAlignment="1">
      <alignment horizontal="left" vertical="center" wrapText="1"/>
    </xf>
    <xf numFmtId="0" fontId="4" fillId="0" borderId="103" xfId="0" applyFont="1" applyBorder="1" applyAlignment="1">
      <alignment horizontal="left" vertical="center" wrapText="1"/>
    </xf>
    <xf numFmtId="0" fontId="4" fillId="0" borderId="82" xfId="0" applyFont="1" applyBorder="1" applyAlignment="1">
      <alignment horizontal="left" vertical="center" wrapText="1"/>
    </xf>
    <xf numFmtId="0" fontId="4" fillId="0" borderId="36" xfId="0" applyFont="1" applyBorder="1" applyAlignment="1">
      <alignment horizontal="left" vertical="center" wrapText="1"/>
    </xf>
    <xf numFmtId="0" fontId="4" fillId="0" borderId="83" xfId="0" applyFont="1" applyBorder="1" applyAlignment="1">
      <alignment horizontal="left" vertical="center" wrapText="1"/>
    </xf>
    <xf numFmtId="9" fontId="4" fillId="0" borderId="64" xfId="0" applyNumberFormat="1" applyFont="1" applyBorder="1" applyAlignment="1">
      <alignment horizontal="left" vertical="center" wrapText="1"/>
    </xf>
    <xf numFmtId="0" fontId="6" fillId="0" borderId="109" xfId="0" applyFont="1" applyBorder="1" applyAlignment="1">
      <alignment horizontal="left"/>
    </xf>
    <xf numFmtId="0" fontId="6" fillId="0" borderId="103" xfId="0" applyFont="1" applyBorder="1" applyAlignment="1">
      <alignment horizontal="left"/>
    </xf>
    <xf numFmtId="0" fontId="6" fillId="0" borderId="82" xfId="0" applyFont="1" applyBorder="1" applyAlignment="1">
      <alignment horizontal="left"/>
    </xf>
    <xf numFmtId="0" fontId="6" fillId="0" borderId="36" xfId="0" applyFont="1" applyBorder="1" applyAlignment="1">
      <alignment horizontal="left"/>
    </xf>
    <xf numFmtId="0" fontId="6" fillId="0" borderId="83" xfId="0" applyFont="1" applyBorder="1" applyAlignment="1">
      <alignment horizontal="left"/>
    </xf>
    <xf numFmtId="0" fontId="40" fillId="0" borderId="64" xfId="0" applyFont="1" applyBorder="1" applyAlignment="1">
      <alignment horizontal="left" vertical="center" wrapText="1"/>
    </xf>
    <xf numFmtId="0" fontId="40" fillId="0" borderId="109" xfId="0" applyFont="1" applyBorder="1" applyAlignment="1">
      <alignment horizontal="left" vertical="center" wrapText="1"/>
    </xf>
    <xf numFmtId="0" fontId="40" fillId="0" borderId="69" xfId="0" applyFont="1" applyBorder="1" applyAlignment="1">
      <alignment horizontal="left" vertical="center" wrapText="1"/>
    </xf>
    <xf numFmtId="0" fontId="40" fillId="0" borderId="82" xfId="0" applyFont="1" applyBorder="1" applyAlignment="1">
      <alignment horizontal="left" vertical="center" wrapText="1"/>
    </xf>
    <xf numFmtId="0" fontId="40" fillId="0" borderId="36" xfId="0" applyFont="1" applyBorder="1" applyAlignment="1">
      <alignment horizontal="left" vertical="center" wrapText="1"/>
    </xf>
    <xf numFmtId="0" fontId="40" fillId="0" borderId="40" xfId="0" applyFont="1" applyBorder="1" applyAlignment="1">
      <alignment horizontal="left" vertical="center" wrapText="1"/>
    </xf>
    <xf numFmtId="0" fontId="5" fillId="2" borderId="67" xfId="0" applyFont="1" applyFill="1" applyBorder="1" applyAlignment="1">
      <alignment horizontal="center" vertical="center" wrapText="1"/>
    </xf>
    <xf numFmtId="0" fontId="6" fillId="0" borderId="50" xfId="0" applyFont="1" applyBorder="1"/>
    <xf numFmtId="0" fontId="5" fillId="2" borderId="64" xfId="0" applyFont="1" applyFill="1" applyBorder="1" applyAlignment="1">
      <alignment horizontal="center" vertical="center" wrapText="1"/>
    </xf>
    <xf numFmtId="0" fontId="6" fillId="0" borderId="68" xfId="0" applyFont="1" applyBorder="1"/>
    <xf numFmtId="0" fontId="6" fillId="0" borderId="69" xfId="0" applyFont="1" applyBorder="1"/>
    <xf numFmtId="0" fontId="6" fillId="0" borderId="51" xfId="0" applyFont="1" applyBorder="1"/>
    <xf numFmtId="0" fontId="6" fillId="0" borderId="72" xfId="0" applyFont="1" applyBorder="1"/>
    <xf numFmtId="0" fontId="6" fillId="0" borderId="73" xfId="0" applyFont="1" applyBorder="1"/>
    <xf numFmtId="0" fontId="5" fillId="2" borderId="27" xfId="0" applyFont="1" applyFill="1" applyBorder="1" applyAlignment="1">
      <alignment horizontal="center" vertical="center" wrapText="1"/>
    </xf>
    <xf numFmtId="0" fontId="6" fillId="0" borderId="53" xfId="0" applyFont="1" applyBorder="1"/>
    <xf numFmtId="0" fontId="5" fillId="2" borderId="63" xfId="0" applyFont="1" applyFill="1" applyBorder="1" applyAlignment="1">
      <alignment horizontal="center" vertical="center" wrapText="1"/>
    </xf>
    <xf numFmtId="0" fontId="6" fillId="0" borderId="70" xfId="0" applyFont="1" applyBorder="1"/>
    <xf numFmtId="0" fontId="6" fillId="0" borderId="65" xfId="0" applyFont="1" applyBorder="1"/>
    <xf numFmtId="0" fontId="6" fillId="0" borderId="71" xfId="0" applyFont="1" applyBorder="1"/>
    <xf numFmtId="0" fontId="5" fillId="2" borderId="26" xfId="0" applyFont="1" applyFill="1" applyBorder="1" applyAlignment="1">
      <alignment horizontal="center" vertical="center" wrapText="1"/>
    </xf>
    <xf numFmtId="0" fontId="6" fillId="0" borderId="47" xfId="0" applyFont="1" applyBorder="1"/>
    <xf numFmtId="164" fontId="5" fillId="0" borderId="30" xfId="0" applyNumberFormat="1" applyFont="1" applyBorder="1" applyAlignment="1">
      <alignment horizontal="center" vertical="center" wrapText="1"/>
    </xf>
    <xf numFmtId="0" fontId="5" fillId="2" borderId="38"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6" fillId="0" borderId="42" xfId="0" applyFont="1" applyBorder="1"/>
    <xf numFmtId="0" fontId="6" fillId="0" borderId="43" xfId="0" applyFont="1" applyBorder="1"/>
    <xf numFmtId="0" fontId="5" fillId="2" borderId="74" xfId="0" applyFont="1" applyFill="1" applyBorder="1" applyAlignment="1">
      <alignment horizontal="center" vertical="center" wrapText="1"/>
    </xf>
    <xf numFmtId="0" fontId="6" fillId="0" borderId="75" xfId="0" applyFont="1" applyBorder="1"/>
    <xf numFmtId="0" fontId="4" fillId="0" borderId="74" xfId="0" applyFont="1" applyBorder="1" applyAlignment="1">
      <alignment horizontal="left" vertical="center" wrapText="1"/>
    </xf>
    <xf numFmtId="0" fontId="6" fillId="0" borderId="80" xfId="0" applyFont="1" applyBorder="1"/>
    <xf numFmtId="10" fontId="5" fillId="0" borderId="67" xfId="0" applyNumberFormat="1" applyFont="1" applyBorder="1" applyAlignment="1">
      <alignment horizontal="center" vertical="center" wrapText="1"/>
    </xf>
    <xf numFmtId="0" fontId="6" fillId="0" borderId="81" xfId="0" applyFont="1" applyBorder="1"/>
    <xf numFmtId="4" fontId="5" fillId="0" borderId="64" xfId="0" applyNumberFormat="1" applyFont="1" applyBorder="1" applyAlignment="1">
      <alignment horizontal="center" vertical="center" wrapText="1"/>
    </xf>
    <xf numFmtId="0" fontId="6" fillId="0" borderId="111" xfId="0" applyFont="1" applyBorder="1" applyAlignment="1">
      <alignment horizontal="left" vertical="center" wrapText="1"/>
    </xf>
    <xf numFmtId="2" fontId="4" fillId="0" borderId="74" xfId="0" applyNumberFormat="1" applyFont="1" applyBorder="1" applyAlignment="1">
      <alignment horizontal="left" vertical="center" wrapText="1"/>
    </xf>
    <xf numFmtId="9" fontId="4" fillId="0" borderId="67" xfId="0" applyNumberFormat="1" applyFont="1" applyBorder="1" applyAlignment="1">
      <alignment horizontal="center" vertical="center" wrapText="1"/>
    </xf>
    <xf numFmtId="0" fontId="5" fillId="2" borderId="84" xfId="0" applyFont="1" applyFill="1" applyBorder="1" applyAlignment="1">
      <alignment horizontal="center" vertical="center" wrapText="1"/>
    </xf>
    <xf numFmtId="0" fontId="5" fillId="2" borderId="85" xfId="0" applyFont="1" applyFill="1" applyBorder="1" applyAlignment="1">
      <alignment horizontal="center" vertical="center" wrapText="1"/>
    </xf>
    <xf numFmtId="9" fontId="4" fillId="0" borderId="88" xfId="0" applyNumberFormat="1" applyFont="1" applyBorder="1" applyAlignment="1">
      <alignment horizontal="center" vertical="center" wrapText="1"/>
    </xf>
    <xf numFmtId="0" fontId="5" fillId="2" borderId="86" xfId="0" applyFont="1" applyFill="1" applyBorder="1" applyAlignment="1">
      <alignment horizontal="center" vertical="center" wrapText="1"/>
    </xf>
    <xf numFmtId="0" fontId="6" fillId="0" borderId="87" xfId="0" applyFont="1" applyBorder="1"/>
    <xf numFmtId="0" fontId="6" fillId="0" borderId="109" xfId="0" applyFont="1" applyBorder="1"/>
    <xf numFmtId="0" fontId="6" fillId="0" borderId="89" xfId="0" applyFont="1" applyBorder="1"/>
    <xf numFmtId="0" fontId="6" fillId="0" borderId="0" xfId="0" applyFont="1"/>
    <xf numFmtId="9" fontId="4" fillId="0" borderId="95" xfId="0" applyNumberFormat="1" applyFont="1" applyBorder="1" applyAlignment="1">
      <alignment horizontal="left" vertical="center" wrapText="1"/>
    </xf>
    <xf numFmtId="0" fontId="6" fillId="0" borderId="95" xfId="0" applyFont="1" applyBorder="1" applyAlignment="1">
      <alignment horizontal="left"/>
    </xf>
    <xf numFmtId="9" fontId="17" fillId="0" borderId="64" xfId="0" applyNumberFormat="1" applyFont="1" applyBorder="1" applyAlignment="1">
      <alignment horizontal="center" vertical="center" wrapText="1"/>
    </xf>
    <xf numFmtId="0" fontId="6" fillId="0" borderId="82" xfId="0" applyFont="1" applyBorder="1"/>
    <xf numFmtId="171" fontId="5" fillId="0" borderId="61" xfId="0" applyNumberFormat="1" applyFont="1" applyBorder="1" applyAlignment="1">
      <alignment horizontal="center" vertical="center" wrapText="1"/>
    </xf>
    <xf numFmtId="0" fontId="6" fillId="0" borderId="105" xfId="0" applyFont="1" applyBorder="1"/>
    <xf numFmtId="0" fontId="5" fillId="0" borderId="56" xfId="0" applyFont="1" applyBorder="1" applyAlignment="1">
      <alignment horizontal="center" vertical="center" wrapText="1"/>
    </xf>
    <xf numFmtId="171" fontId="5" fillId="0" borderId="28" xfId="0" applyNumberFormat="1" applyFont="1" applyBorder="1" applyAlignment="1">
      <alignment horizontal="center" vertical="center" wrapText="1"/>
    </xf>
    <xf numFmtId="171" fontId="5" fillId="0" borderId="56" xfId="0" applyNumberFormat="1" applyFont="1" applyBorder="1" applyAlignment="1">
      <alignment horizontal="center" vertical="center"/>
    </xf>
    <xf numFmtId="0" fontId="6" fillId="0" borderId="83" xfId="0" applyFont="1" applyBorder="1"/>
    <xf numFmtId="0" fontId="5" fillId="0" borderId="100"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27" xfId="0" applyFont="1" applyBorder="1" applyAlignment="1">
      <alignment horizontal="center" vertical="center" wrapText="1"/>
    </xf>
    <xf numFmtId="0" fontId="5" fillId="7" borderId="93" xfId="0" applyFont="1" applyFill="1" applyBorder="1" applyAlignment="1">
      <alignment horizontal="left" vertical="center" wrapText="1"/>
    </xf>
    <xf numFmtId="0" fontId="5" fillId="0" borderId="5" xfId="0" applyFont="1" applyBorder="1" applyAlignment="1">
      <alignment horizontal="left" vertical="center" wrapText="1"/>
    </xf>
    <xf numFmtId="171" fontId="5" fillId="0" borderId="56" xfId="0" applyNumberFormat="1" applyFont="1" applyBorder="1" applyAlignment="1">
      <alignment horizontal="center" vertical="center" wrapText="1"/>
    </xf>
    <xf numFmtId="0" fontId="19" fillId="0" borderId="16" xfId="0" applyFont="1" applyBorder="1" applyAlignment="1">
      <alignment horizontal="left" vertical="center" wrapText="1"/>
    </xf>
    <xf numFmtId="0" fontId="0" fillId="0" borderId="26" xfId="0" applyFont="1" applyBorder="1" applyAlignment="1">
      <alignment horizontal="center" vertical="center"/>
    </xf>
    <xf numFmtId="0" fontId="11"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4"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7" xfId="0" applyFont="1" applyBorder="1" applyAlignment="1">
      <alignment horizontal="center" vertical="center" wrapText="1"/>
    </xf>
    <xf numFmtId="0" fontId="6" fillId="0" borderId="98" xfId="0" applyFont="1" applyBorder="1"/>
    <xf numFmtId="0" fontId="14" fillId="0" borderId="30" xfId="0" applyFont="1" applyBorder="1" applyAlignment="1">
      <alignment horizontal="center" vertical="center" wrapText="1"/>
    </xf>
    <xf numFmtId="2" fontId="4" fillId="0" borderId="88" xfId="0" applyNumberFormat="1" applyFont="1" applyBorder="1" applyAlignment="1">
      <alignment horizontal="center" vertical="center" wrapText="1"/>
    </xf>
    <xf numFmtId="0" fontId="11" fillId="0" borderId="1" xfId="0" applyFont="1" applyBorder="1" applyAlignment="1">
      <alignment horizontal="center" vertical="center"/>
    </xf>
    <xf numFmtId="0" fontId="5" fillId="0" borderId="74" xfId="0" applyFont="1" applyBorder="1" applyAlignment="1">
      <alignment horizontal="center" vertical="center" wrapText="1"/>
    </xf>
    <xf numFmtId="0" fontId="5" fillId="0" borderId="67" xfId="0" applyFont="1" applyBorder="1" applyAlignment="1">
      <alignment horizontal="center" vertical="center" wrapText="1"/>
    </xf>
    <xf numFmtId="0" fontId="5" fillId="3" borderId="41" xfId="0" applyFont="1" applyFill="1" applyBorder="1" applyAlignment="1">
      <alignment horizontal="center" vertical="center" wrapText="1"/>
    </xf>
    <xf numFmtId="2" fontId="4" fillId="0" borderId="74" xfId="0" applyNumberFormat="1" applyFont="1" applyBorder="1" applyAlignment="1">
      <alignment vertical="center" wrapText="1"/>
    </xf>
    <xf numFmtId="2" fontId="4" fillId="0" borderId="67" xfId="0" applyNumberFormat="1" applyFont="1" applyBorder="1" applyAlignment="1">
      <alignment horizontal="center" vertical="center" wrapText="1"/>
    </xf>
    <xf numFmtId="2" fontId="4" fillId="0" borderId="74" xfId="0" applyNumberFormat="1" applyFont="1" applyBorder="1" applyAlignment="1">
      <alignment horizontal="center" vertical="center" wrapText="1"/>
    </xf>
    <xf numFmtId="2" fontId="4" fillId="0" borderId="106" xfId="0" applyNumberFormat="1" applyFont="1" applyBorder="1" applyAlignment="1">
      <alignment vertical="center" wrapText="1"/>
    </xf>
    <xf numFmtId="0" fontId="17" fillId="0" borderId="56" xfId="0" applyFont="1" applyBorder="1" applyAlignment="1">
      <alignment horizontal="left" vertical="center" wrapText="1"/>
    </xf>
    <xf numFmtId="3" fontId="5" fillId="0" borderId="64" xfId="0" applyNumberFormat="1" applyFont="1" applyBorder="1" applyAlignment="1">
      <alignment horizontal="center" vertical="center" wrapText="1"/>
    </xf>
    <xf numFmtId="9" fontId="17" fillId="0" borderId="64" xfId="0" applyNumberFormat="1" applyFont="1" applyBorder="1" applyAlignment="1">
      <alignment horizontal="left" vertical="center" wrapText="1"/>
    </xf>
    <xf numFmtId="164" fontId="5" fillId="0" borderId="30" xfId="0" applyNumberFormat="1" applyFont="1" applyBorder="1" applyAlignment="1">
      <alignment vertical="center" wrapText="1"/>
    </xf>
    <xf numFmtId="0" fontId="6" fillId="0" borderId="127" xfId="0" applyFont="1" applyBorder="1"/>
    <xf numFmtId="0" fontId="6" fillId="0" borderId="128" xfId="0" applyFont="1" applyBorder="1"/>
    <xf numFmtId="0" fontId="6" fillId="0" borderId="129" xfId="0" applyFont="1" applyBorder="1"/>
    <xf numFmtId="0" fontId="6" fillId="0" borderId="69" xfId="0" applyFont="1" applyBorder="1" applyAlignment="1">
      <alignment horizontal="left"/>
    </xf>
    <xf numFmtId="0" fontId="6" fillId="0" borderId="89" xfId="0" applyFont="1" applyBorder="1" applyAlignment="1">
      <alignment horizontal="left"/>
    </xf>
    <xf numFmtId="0" fontId="6" fillId="0" borderId="0" xfId="0" applyFont="1" applyAlignment="1">
      <alignment horizontal="left"/>
    </xf>
    <xf numFmtId="0" fontId="6" fillId="0" borderId="43" xfId="0" applyFont="1" applyBorder="1" applyAlignment="1">
      <alignment horizontal="left"/>
    </xf>
    <xf numFmtId="49" fontId="6" fillId="0" borderId="111" xfId="0" applyNumberFormat="1" applyFont="1" applyBorder="1" applyAlignment="1">
      <alignment horizontal="left" vertical="center" wrapText="1"/>
    </xf>
    <xf numFmtId="49" fontId="4" fillId="0" borderId="64" xfId="0" applyNumberFormat="1" applyFont="1" applyBorder="1" applyAlignment="1">
      <alignment horizontal="left" vertical="center" wrapText="1"/>
    </xf>
    <xf numFmtId="49" fontId="6" fillId="0" borderId="68" xfId="0" applyNumberFormat="1" applyFont="1" applyBorder="1" applyAlignment="1">
      <alignment horizontal="left"/>
    </xf>
    <xf numFmtId="49" fontId="6" fillId="0" borderId="65" xfId="0" applyNumberFormat="1" applyFont="1" applyBorder="1" applyAlignment="1">
      <alignment horizontal="left"/>
    </xf>
    <xf numFmtId="49" fontId="6" fillId="0" borderId="82" xfId="0" applyNumberFormat="1" applyFont="1" applyBorder="1" applyAlignment="1">
      <alignment horizontal="left"/>
    </xf>
    <xf numFmtId="49" fontId="6" fillId="0" borderId="14" xfId="0" applyNumberFormat="1" applyFont="1" applyBorder="1" applyAlignment="1">
      <alignment horizontal="left"/>
    </xf>
    <xf numFmtId="49" fontId="6" fillId="0" borderId="83" xfId="0" applyNumberFormat="1" applyFont="1" applyBorder="1" applyAlignment="1">
      <alignment horizontal="left"/>
    </xf>
    <xf numFmtId="0" fontId="5" fillId="2" borderId="130" xfId="0" applyFont="1" applyFill="1" applyBorder="1" applyAlignment="1">
      <alignment horizontal="center" vertical="center" wrapText="1"/>
    </xf>
    <xf numFmtId="0" fontId="6" fillId="0" borderId="131" xfId="0" applyFont="1" applyBorder="1"/>
    <xf numFmtId="0" fontId="5" fillId="2" borderId="132" xfId="0" applyFont="1" applyFill="1" applyBorder="1" applyAlignment="1">
      <alignment horizontal="center" vertical="center" wrapText="1"/>
    </xf>
    <xf numFmtId="0" fontId="6" fillId="0" borderId="133" xfId="0" applyFont="1" applyBorder="1"/>
    <xf numFmtId="0" fontId="5" fillId="2" borderId="134" xfId="0" applyFont="1" applyFill="1" applyBorder="1" applyAlignment="1">
      <alignment horizontal="center" vertical="center" wrapText="1"/>
    </xf>
    <xf numFmtId="0" fontId="6" fillId="0" borderId="135" xfId="0" applyFont="1" applyBorder="1"/>
    <xf numFmtId="173" fontId="5" fillId="0" borderId="30" xfId="0" applyNumberFormat="1" applyFont="1" applyBorder="1" applyAlignment="1">
      <alignment horizontal="center" vertical="center" wrapText="1"/>
    </xf>
    <xf numFmtId="2" fontId="4" fillId="0" borderId="106" xfId="0" applyNumberFormat="1" applyFont="1" applyBorder="1" applyAlignment="1">
      <alignment horizontal="left" vertical="center" wrapText="1"/>
    </xf>
    <xf numFmtId="9" fontId="4" fillId="0" borderId="95" xfId="0" applyNumberFormat="1" applyFont="1" applyBorder="1" applyAlignment="1">
      <alignment vertical="center" wrapText="1"/>
    </xf>
    <xf numFmtId="0" fontId="6" fillId="0" borderId="95" xfId="0" applyFont="1" applyBorder="1" applyAlignment="1"/>
    <xf numFmtId="9" fontId="4" fillId="0" borderId="64" xfId="0" applyNumberFormat="1" applyFont="1" applyBorder="1" applyAlignment="1">
      <alignment vertical="center" wrapText="1"/>
    </xf>
    <xf numFmtId="0" fontId="6" fillId="0" borderId="109" xfId="0" applyFont="1" applyBorder="1" applyAlignment="1"/>
    <xf numFmtId="0" fontId="6" fillId="0" borderId="69" xfId="0" applyFont="1" applyBorder="1" applyAlignment="1"/>
    <xf numFmtId="0" fontId="6" fillId="0" borderId="89" xfId="0" applyFont="1" applyBorder="1" applyAlignment="1"/>
    <xf numFmtId="0" fontId="6" fillId="0" borderId="0" xfId="0" applyFont="1" applyAlignment="1"/>
    <xf numFmtId="0" fontId="6" fillId="0" borderId="43" xfId="0" applyFont="1" applyBorder="1" applyAlignment="1"/>
    <xf numFmtId="49" fontId="6" fillId="0" borderId="111" xfId="0" applyNumberFormat="1" applyFont="1" applyBorder="1" applyAlignment="1">
      <alignment horizontal="left" vertical="top" wrapText="1"/>
    </xf>
    <xf numFmtId="0" fontId="6" fillId="0" borderId="68" xfId="0" applyFont="1" applyBorder="1" applyAlignment="1">
      <alignment horizontal="left"/>
    </xf>
    <xf numFmtId="0" fontId="6" fillId="0" borderId="65" xfId="0" applyFont="1" applyBorder="1" applyAlignment="1">
      <alignment horizontal="left"/>
    </xf>
    <xf numFmtId="0" fontId="6" fillId="0" borderId="14" xfId="0" applyFont="1" applyBorder="1" applyAlignment="1">
      <alignment horizontal="left"/>
    </xf>
    <xf numFmtId="174" fontId="5" fillId="0" borderId="64" xfId="0" applyNumberFormat="1" applyFont="1" applyBorder="1" applyAlignment="1">
      <alignment horizontal="center" vertical="center" wrapText="1"/>
    </xf>
    <xf numFmtId="173" fontId="5" fillId="0" borderId="30" xfId="0" applyNumberFormat="1" applyFont="1" applyBorder="1" applyAlignment="1">
      <alignment vertical="center" wrapText="1"/>
    </xf>
    <xf numFmtId="9" fontId="4" fillId="0" borderId="64" xfId="0" applyNumberFormat="1" applyFont="1" applyFill="1" applyBorder="1" applyAlignment="1">
      <alignment vertical="center" wrapText="1"/>
    </xf>
    <xf numFmtId="0" fontId="6" fillId="0" borderId="109" xfId="0" applyFont="1" applyFill="1" applyBorder="1" applyAlignment="1"/>
    <xf numFmtId="0" fontId="6" fillId="0" borderId="69" xfId="0" applyFont="1" applyFill="1" applyBorder="1" applyAlignment="1"/>
    <xf numFmtId="0" fontId="6" fillId="0" borderId="89" xfId="0" applyFont="1" applyFill="1" applyBorder="1" applyAlignment="1"/>
    <xf numFmtId="0" fontId="6" fillId="0" borderId="0" xfId="0" applyFont="1" applyFill="1" applyAlignment="1"/>
    <xf numFmtId="0" fontId="6" fillId="0" borderId="43" xfId="0" applyFont="1" applyFill="1" applyBorder="1" applyAlignment="1"/>
    <xf numFmtId="0" fontId="6" fillId="0" borderId="124" xfId="0" applyFont="1" applyBorder="1"/>
    <xf numFmtId="0" fontId="6" fillId="0" borderId="125" xfId="0" applyFont="1" applyBorder="1" applyAlignment="1"/>
    <xf numFmtId="0" fontId="6" fillId="0" borderId="126" xfId="0" applyFont="1" applyBorder="1"/>
    <xf numFmtId="9" fontId="4" fillId="0" borderId="64" xfId="0" applyNumberFormat="1" applyFont="1" applyBorder="1" applyAlignment="1">
      <alignment horizontal="left" vertical="top" wrapText="1"/>
    </xf>
    <xf numFmtId="0" fontId="6" fillId="0" borderId="109" xfId="0" applyFont="1" applyBorder="1" applyAlignment="1">
      <alignment horizontal="left" vertical="top"/>
    </xf>
    <xf numFmtId="0" fontId="6" fillId="0" borderId="69" xfId="0" applyFont="1" applyBorder="1" applyAlignment="1">
      <alignment horizontal="left" vertical="top"/>
    </xf>
    <xf numFmtId="0" fontId="6" fillId="0" borderId="89" xfId="0" applyFont="1" applyBorder="1" applyAlignment="1">
      <alignment horizontal="left" vertical="top"/>
    </xf>
    <xf numFmtId="0" fontId="6" fillId="0" borderId="0" xfId="0" applyFont="1" applyAlignment="1">
      <alignment horizontal="left" vertical="top"/>
    </xf>
    <xf numFmtId="0" fontId="6" fillId="0" borderId="43" xfId="0" applyFont="1" applyBorder="1" applyAlignment="1">
      <alignment horizontal="left" vertical="top"/>
    </xf>
    <xf numFmtId="0" fontId="39" fillId="24" borderId="95" xfId="0" applyFont="1" applyFill="1" applyBorder="1" applyAlignment="1">
      <alignment horizontal="center"/>
    </xf>
    <xf numFmtId="0" fontId="39" fillId="25" borderId="95" xfId="0" applyFont="1" applyFill="1" applyBorder="1" applyAlignment="1">
      <alignment horizontal="center"/>
    </xf>
    <xf numFmtId="0" fontId="19" fillId="4" borderId="64" xfId="0" applyFont="1" applyFill="1" applyBorder="1" applyAlignment="1">
      <alignment horizontal="center" vertical="center"/>
    </xf>
    <xf numFmtId="0" fontId="6" fillId="0" borderId="110" xfId="0" applyFont="1" applyBorder="1"/>
    <xf numFmtId="14" fontId="20" fillId="0" borderId="64" xfId="0" applyNumberFormat="1" applyFont="1" applyBorder="1" applyAlignment="1">
      <alignment horizontal="center" vertical="center"/>
    </xf>
    <xf numFmtId="0" fontId="19" fillId="4" borderId="56" xfId="0" applyFont="1" applyFill="1" applyBorder="1" applyAlignment="1">
      <alignment horizontal="left" vertical="center"/>
    </xf>
    <xf numFmtId="0" fontId="4" fillId="0" borderId="51" xfId="0" applyFont="1" applyBorder="1" applyAlignment="1">
      <alignment horizontal="left" vertical="center"/>
    </xf>
    <xf numFmtId="0" fontId="19" fillId="0" borderId="56" xfId="0" applyFont="1" applyBorder="1" applyAlignment="1">
      <alignment horizontal="center" vertical="center" wrapText="1"/>
    </xf>
    <xf numFmtId="0" fontId="6" fillId="0" borderId="111" xfId="0" applyFont="1" applyBorder="1"/>
    <xf numFmtId="0" fontId="6" fillId="0" borderId="113" xfId="0" applyFont="1" applyBorder="1"/>
    <xf numFmtId="0" fontId="5" fillId="0" borderId="56" xfId="0" applyFont="1" applyBorder="1" applyAlignment="1">
      <alignment horizontal="left" vertical="center" wrapText="1"/>
    </xf>
    <xf numFmtId="0" fontId="19" fillId="4" borderId="76" xfId="0" applyFont="1" applyFill="1" applyBorder="1" applyAlignment="1">
      <alignment horizontal="left" vertical="center"/>
    </xf>
    <xf numFmtId="0" fontId="19" fillId="4" borderId="56" xfId="0" applyFont="1" applyFill="1" applyBorder="1" applyAlignment="1">
      <alignment horizontal="center" vertical="center" wrapText="1"/>
    </xf>
    <xf numFmtId="0" fontId="19" fillId="4" borderId="67" xfId="0" applyFont="1" applyFill="1" applyBorder="1" applyAlignment="1">
      <alignment horizontal="center" vertical="center" wrapText="1"/>
    </xf>
    <xf numFmtId="0" fontId="19" fillId="4" borderId="56" xfId="0" applyFont="1" applyFill="1" applyBorder="1" applyAlignment="1">
      <alignment horizontal="center" vertical="center"/>
    </xf>
    <xf numFmtId="0" fontId="16" fillId="0" borderId="56" xfId="0" applyFont="1" applyBorder="1" applyAlignment="1">
      <alignment horizontal="left" vertical="center"/>
    </xf>
    <xf numFmtId="0" fontId="19" fillId="10" borderId="64" xfId="0" applyFont="1" applyFill="1" applyBorder="1" applyAlignment="1">
      <alignment horizontal="center" vertical="center" wrapText="1"/>
    </xf>
    <xf numFmtId="0" fontId="5" fillId="10" borderId="64" xfId="0" applyFont="1" applyFill="1" applyBorder="1" applyAlignment="1">
      <alignment horizontal="center" vertical="center" wrapText="1"/>
    </xf>
    <xf numFmtId="0" fontId="6" fillId="0" borderId="88" xfId="0" applyFont="1" applyBorder="1"/>
    <xf numFmtId="0" fontId="5" fillId="0" borderId="10" xfId="0" applyFont="1" applyBorder="1" applyAlignment="1">
      <alignment horizontal="left" vertical="center" wrapText="1"/>
    </xf>
    <xf numFmtId="0" fontId="19" fillId="0" borderId="56" xfId="0" applyFont="1" applyBorder="1" applyAlignment="1">
      <alignment horizontal="left" vertical="center" wrapText="1"/>
    </xf>
    <xf numFmtId="0" fontId="19" fillId="0" borderId="51" xfId="0" applyFont="1" applyBorder="1" applyAlignment="1">
      <alignment horizontal="center" vertical="center"/>
    </xf>
    <xf numFmtId="0" fontId="19" fillId="0" borderId="56" xfId="0" applyFont="1" applyBorder="1" applyAlignment="1">
      <alignment horizontal="center" vertical="center"/>
    </xf>
    <xf numFmtId="0" fontId="19" fillId="0" borderId="64" xfId="0" applyFont="1" applyBorder="1" applyAlignment="1">
      <alignment horizontal="center" vertical="center"/>
    </xf>
    <xf numFmtId="0" fontId="34" fillId="0" borderId="111" xfId="3" applyFont="1" applyAlignment="1">
      <alignment horizontal="center" vertical="center" wrapText="1"/>
    </xf>
    <xf numFmtId="0" fontId="5" fillId="4" borderId="56"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4" borderId="56" xfId="0" applyFont="1" applyFill="1" applyBorder="1" applyAlignment="1">
      <alignment horizontal="center" vertical="center"/>
    </xf>
    <xf numFmtId="0" fontId="19" fillId="0" borderId="64" xfId="0" applyFont="1" applyBorder="1" applyAlignment="1">
      <alignment vertical="center" wrapText="1"/>
    </xf>
    <xf numFmtId="0" fontId="5" fillId="0" borderId="56" xfId="0" applyFont="1" applyBorder="1" applyAlignment="1">
      <alignment vertical="center" wrapText="1"/>
    </xf>
    <xf numFmtId="0" fontId="21" fillId="0" borderId="76" xfId="0" applyFont="1" applyBorder="1" applyAlignment="1">
      <alignment horizontal="center" vertical="center"/>
    </xf>
    <xf numFmtId="0" fontId="19" fillId="12" borderId="56" xfId="0" applyFont="1" applyFill="1" applyBorder="1" applyAlignment="1">
      <alignment horizontal="center" vertical="center"/>
    </xf>
    <xf numFmtId="0" fontId="16" fillId="0" borderId="67" xfId="0" applyFont="1" applyBorder="1" applyAlignment="1">
      <alignment horizontal="left" vertical="center" wrapText="1"/>
    </xf>
    <xf numFmtId="177" fontId="16" fillId="0" borderId="64" xfId="0" applyNumberFormat="1" applyFont="1" applyBorder="1" applyAlignment="1">
      <alignment horizontal="left" vertical="center"/>
    </xf>
    <xf numFmtId="0" fontId="0" fillId="0" borderId="110" xfId="0" applyFont="1" applyBorder="1" applyAlignment="1">
      <alignment horizontal="center"/>
    </xf>
    <xf numFmtId="0" fontId="0" fillId="19" borderId="120" xfId="0" applyFont="1" applyFill="1" applyBorder="1" applyAlignment="1">
      <alignment horizontal="center"/>
    </xf>
    <xf numFmtId="0" fontId="6" fillId="0" borderId="121" xfId="0" applyFont="1" applyBorder="1"/>
    <xf numFmtId="0" fontId="6" fillId="0" borderId="122" xfId="0" applyFont="1" applyBorder="1"/>
    <xf numFmtId="0" fontId="0" fillId="20" borderId="67" xfId="0" applyFont="1" applyFill="1" applyBorder="1" applyAlignment="1">
      <alignment horizontal="center"/>
    </xf>
    <xf numFmtId="0" fontId="0" fillId="0" borderId="0" xfId="0" applyFont="1" applyAlignment="1">
      <alignment horizontal="center"/>
    </xf>
    <xf numFmtId="0" fontId="0" fillId="0" borderId="72" xfId="0" applyFont="1" applyBorder="1" applyAlignment="1">
      <alignment horizontal="center"/>
    </xf>
    <xf numFmtId="0" fontId="0" fillId="0" borderId="2" xfId="0" applyFont="1" applyBorder="1" applyAlignment="1">
      <alignment horizontal="center"/>
    </xf>
  </cellXfs>
  <cellStyles count="8">
    <cellStyle name="Millares [0]" xfId="1" builtinId="6"/>
    <cellStyle name="Millares 2" xfId="7" xr:uid="{C5DB0E2B-0F60-40B6-A0BD-FBA483A13B8D}"/>
    <cellStyle name="Normal" xfId="0" builtinId="0"/>
    <cellStyle name="Normal 2" xfId="3" xr:uid="{2F694335-C5A6-4DAD-9C06-EB4E5E88B454}"/>
    <cellStyle name="Normal 2 2" xfId="4" xr:uid="{F252E089-41B1-4D36-993A-C18658F52D29}"/>
    <cellStyle name="Normal 3" xfId="5" xr:uid="{2A175ECA-0B70-455B-B8B8-621EC0EF80CE}"/>
    <cellStyle name="Porcentaje" xfId="2" builtinId="5"/>
    <cellStyle name="Porcentaje 2" xfId="6" xr:uid="{2534CD5D-CF99-40B8-A197-4E43874251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sorjuela_sdmujer_gov_co/Documents/SD%20MUJER/PLAN%20DE%20ACCION/2022/FORMULACION/21012021_REPORTE%20SEG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2">
          <cell r="AS32">
            <v>8542</v>
          </cell>
        </row>
        <row r="33">
          <cell r="AS33">
            <v>700</v>
          </cell>
        </row>
        <row r="34">
          <cell r="AS34">
            <v>0</v>
          </cell>
        </row>
        <row r="35">
          <cell r="AS35">
            <v>6</v>
          </cell>
        </row>
        <row r="36">
          <cell r="AS36">
            <v>100</v>
          </cell>
        </row>
        <row r="37">
          <cell r="AS37">
            <v>2</v>
          </cell>
        </row>
        <row r="39">
          <cell r="AS39">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2C8-A938-41AF-8D1F-474CFAA7CDD3}">
  <sheetPr>
    <tabColor rgb="FF00B050"/>
  </sheetPr>
  <dimension ref="A1:AK92"/>
  <sheetViews>
    <sheetView zoomScale="85" zoomScaleNormal="85" workbookViewId="0">
      <pane xSplit="4" ySplit="2" topLeftCell="V12" activePane="bottomRight" state="frozen"/>
      <selection pane="topRight" activeCell="D1" sqref="D1"/>
      <selection pane="bottomLeft" activeCell="A4" sqref="A4"/>
      <selection pane="bottomRight" activeCell="X31" sqref="X31"/>
    </sheetView>
  </sheetViews>
  <sheetFormatPr baseColWidth="10" defaultRowHeight="15"/>
  <cols>
    <col min="1" max="1" width="4.85546875" style="394" customWidth="1"/>
    <col min="2" max="2" width="30.7109375" style="394" customWidth="1"/>
    <col min="3" max="3" width="6.42578125" style="394" customWidth="1"/>
    <col min="4" max="4" width="30.7109375" style="394" customWidth="1"/>
    <col min="5" max="5" width="18.7109375" style="394" customWidth="1"/>
    <col min="6" max="7" width="17.85546875" style="394" customWidth="1"/>
    <col min="8" max="19" width="15.7109375" style="394" customWidth="1"/>
    <col min="20" max="20" width="18.28515625" style="394" customWidth="1"/>
    <col min="21" max="21" width="15.7109375" style="394" customWidth="1"/>
    <col min="22" max="22" width="11.42578125" style="393"/>
    <col min="23" max="27" width="15.7109375" style="394" customWidth="1"/>
    <col min="28" max="28" width="17.140625" style="394" customWidth="1"/>
    <col min="29" max="29" width="13.28515625" style="394" customWidth="1"/>
    <col min="30" max="35" width="11.42578125" style="394"/>
    <col min="36" max="36" width="17.7109375" style="394" customWidth="1"/>
    <col min="37" max="256" width="11.42578125" style="394"/>
    <col min="257" max="257" width="6.42578125" style="394" customWidth="1"/>
    <col min="258" max="258" width="30.7109375" style="394" customWidth="1"/>
    <col min="259" max="259" width="19.42578125" style="394" customWidth="1"/>
    <col min="260" max="260" width="30.7109375" style="394" customWidth="1"/>
    <col min="261" max="263" width="17.85546875" style="394" customWidth="1"/>
    <col min="264" max="277" width="15.7109375" style="394" customWidth="1"/>
    <col min="278" max="278" width="11.42578125" style="394"/>
    <col min="279" max="283" width="15.7109375" style="394" customWidth="1"/>
    <col min="284" max="284" width="11.42578125" style="394"/>
    <col min="285" max="285" width="13.28515625" style="394" customWidth="1"/>
    <col min="286" max="291" width="11.42578125" style="394"/>
    <col min="292" max="292" width="14.5703125" style="394" customWidth="1"/>
    <col min="293" max="512" width="11.42578125" style="394"/>
    <col min="513" max="513" width="6.42578125" style="394" customWidth="1"/>
    <col min="514" max="514" width="30.7109375" style="394" customWidth="1"/>
    <col min="515" max="515" width="19.42578125" style="394" customWidth="1"/>
    <col min="516" max="516" width="30.7109375" style="394" customWidth="1"/>
    <col min="517" max="519" width="17.85546875" style="394" customWidth="1"/>
    <col min="520" max="533" width="15.7109375" style="394" customWidth="1"/>
    <col min="534" max="534" width="11.42578125" style="394"/>
    <col min="535" max="539" width="15.7109375" style="394" customWidth="1"/>
    <col min="540" max="540" width="11.42578125" style="394"/>
    <col min="541" max="541" width="13.28515625" style="394" customWidth="1"/>
    <col min="542" max="547" width="11.42578125" style="394"/>
    <col min="548" max="548" width="14.5703125" style="394" customWidth="1"/>
    <col min="549" max="768" width="11.42578125" style="394"/>
    <col min="769" max="769" width="6.42578125" style="394" customWidth="1"/>
    <col min="770" max="770" width="30.7109375" style="394" customWidth="1"/>
    <col min="771" max="771" width="19.42578125" style="394" customWidth="1"/>
    <col min="772" max="772" width="30.7109375" style="394" customWidth="1"/>
    <col min="773" max="775" width="17.85546875" style="394" customWidth="1"/>
    <col min="776" max="789" width="15.7109375" style="394" customWidth="1"/>
    <col min="790" max="790" width="11.42578125" style="394"/>
    <col min="791" max="795" width="15.7109375" style="394" customWidth="1"/>
    <col min="796" max="796" width="11.42578125" style="394"/>
    <col min="797" max="797" width="13.28515625" style="394" customWidth="1"/>
    <col min="798" max="803" width="11.42578125" style="394"/>
    <col min="804" max="804" width="14.5703125" style="394" customWidth="1"/>
    <col min="805" max="1024" width="11.42578125" style="394"/>
    <col min="1025" max="1025" width="6.42578125" style="394" customWidth="1"/>
    <col min="1026" max="1026" width="30.7109375" style="394" customWidth="1"/>
    <col min="1027" max="1027" width="19.42578125" style="394" customWidth="1"/>
    <col min="1028" max="1028" width="30.7109375" style="394" customWidth="1"/>
    <col min="1029" max="1031" width="17.85546875" style="394" customWidth="1"/>
    <col min="1032" max="1045" width="15.7109375" style="394" customWidth="1"/>
    <col min="1046" max="1046" width="11.42578125" style="394"/>
    <col min="1047" max="1051" width="15.7109375" style="394" customWidth="1"/>
    <col min="1052" max="1052" width="11.42578125" style="394"/>
    <col min="1053" max="1053" width="13.28515625" style="394" customWidth="1"/>
    <col min="1054" max="1059" width="11.42578125" style="394"/>
    <col min="1060" max="1060" width="14.5703125" style="394" customWidth="1"/>
    <col min="1061" max="1280" width="11.42578125" style="394"/>
    <col min="1281" max="1281" width="6.42578125" style="394" customWidth="1"/>
    <col min="1282" max="1282" width="30.7109375" style="394" customWidth="1"/>
    <col min="1283" max="1283" width="19.42578125" style="394" customWidth="1"/>
    <col min="1284" max="1284" width="30.7109375" style="394" customWidth="1"/>
    <col min="1285" max="1287" width="17.85546875" style="394" customWidth="1"/>
    <col min="1288" max="1301" width="15.7109375" style="394" customWidth="1"/>
    <col min="1302" max="1302" width="11.42578125" style="394"/>
    <col min="1303" max="1307" width="15.7109375" style="394" customWidth="1"/>
    <col min="1308" max="1308" width="11.42578125" style="394"/>
    <col min="1309" max="1309" width="13.28515625" style="394" customWidth="1"/>
    <col min="1310" max="1315" width="11.42578125" style="394"/>
    <col min="1316" max="1316" width="14.5703125" style="394" customWidth="1"/>
    <col min="1317" max="1536" width="11.42578125" style="394"/>
    <col min="1537" max="1537" width="6.42578125" style="394" customWidth="1"/>
    <col min="1538" max="1538" width="30.7109375" style="394" customWidth="1"/>
    <col min="1539" max="1539" width="19.42578125" style="394" customWidth="1"/>
    <col min="1540" max="1540" width="30.7109375" style="394" customWidth="1"/>
    <col min="1541" max="1543" width="17.85546875" style="394" customWidth="1"/>
    <col min="1544" max="1557" width="15.7109375" style="394" customWidth="1"/>
    <col min="1558" max="1558" width="11.42578125" style="394"/>
    <col min="1559" max="1563" width="15.7109375" style="394" customWidth="1"/>
    <col min="1564" max="1564" width="11.42578125" style="394"/>
    <col min="1565" max="1565" width="13.28515625" style="394" customWidth="1"/>
    <col min="1566" max="1571" width="11.42578125" style="394"/>
    <col min="1572" max="1572" width="14.5703125" style="394" customWidth="1"/>
    <col min="1573" max="1792" width="11.42578125" style="394"/>
    <col min="1793" max="1793" width="6.42578125" style="394" customWidth="1"/>
    <col min="1794" max="1794" width="30.7109375" style="394" customWidth="1"/>
    <col min="1795" max="1795" width="19.42578125" style="394" customWidth="1"/>
    <col min="1796" max="1796" width="30.7109375" style="394" customWidth="1"/>
    <col min="1797" max="1799" width="17.85546875" style="394" customWidth="1"/>
    <col min="1800" max="1813" width="15.7109375" style="394" customWidth="1"/>
    <col min="1814" max="1814" width="11.42578125" style="394"/>
    <col min="1815" max="1819" width="15.7109375" style="394" customWidth="1"/>
    <col min="1820" max="1820" width="11.42578125" style="394"/>
    <col min="1821" max="1821" width="13.28515625" style="394" customWidth="1"/>
    <col min="1822" max="1827" width="11.42578125" style="394"/>
    <col min="1828" max="1828" width="14.5703125" style="394" customWidth="1"/>
    <col min="1829" max="2048" width="11.42578125" style="394"/>
    <col min="2049" max="2049" width="6.42578125" style="394" customWidth="1"/>
    <col min="2050" max="2050" width="30.7109375" style="394" customWidth="1"/>
    <col min="2051" max="2051" width="19.42578125" style="394" customWidth="1"/>
    <col min="2052" max="2052" width="30.7109375" style="394" customWidth="1"/>
    <col min="2053" max="2055" width="17.85546875" style="394" customWidth="1"/>
    <col min="2056" max="2069" width="15.7109375" style="394" customWidth="1"/>
    <col min="2070" max="2070" width="11.42578125" style="394"/>
    <col min="2071" max="2075" width="15.7109375" style="394" customWidth="1"/>
    <col min="2076" max="2076" width="11.42578125" style="394"/>
    <col min="2077" max="2077" width="13.28515625" style="394" customWidth="1"/>
    <col min="2078" max="2083" width="11.42578125" style="394"/>
    <col min="2084" max="2084" width="14.5703125" style="394" customWidth="1"/>
    <col min="2085" max="2304" width="11.42578125" style="394"/>
    <col min="2305" max="2305" width="6.42578125" style="394" customWidth="1"/>
    <col min="2306" max="2306" width="30.7109375" style="394" customWidth="1"/>
    <col min="2307" max="2307" width="19.42578125" style="394" customWidth="1"/>
    <col min="2308" max="2308" width="30.7109375" style="394" customWidth="1"/>
    <col min="2309" max="2311" width="17.85546875" style="394" customWidth="1"/>
    <col min="2312" max="2325" width="15.7109375" style="394" customWidth="1"/>
    <col min="2326" max="2326" width="11.42578125" style="394"/>
    <col min="2327" max="2331" width="15.7109375" style="394" customWidth="1"/>
    <col min="2332" max="2332" width="11.42578125" style="394"/>
    <col min="2333" max="2333" width="13.28515625" style="394" customWidth="1"/>
    <col min="2334" max="2339" width="11.42578125" style="394"/>
    <col min="2340" max="2340" width="14.5703125" style="394" customWidth="1"/>
    <col min="2341" max="2560" width="11.42578125" style="394"/>
    <col min="2561" max="2561" width="6.42578125" style="394" customWidth="1"/>
    <col min="2562" max="2562" width="30.7109375" style="394" customWidth="1"/>
    <col min="2563" max="2563" width="19.42578125" style="394" customWidth="1"/>
    <col min="2564" max="2564" width="30.7109375" style="394" customWidth="1"/>
    <col min="2565" max="2567" width="17.85546875" style="394" customWidth="1"/>
    <col min="2568" max="2581" width="15.7109375" style="394" customWidth="1"/>
    <col min="2582" max="2582" width="11.42578125" style="394"/>
    <col min="2583" max="2587" width="15.7109375" style="394" customWidth="1"/>
    <col min="2588" max="2588" width="11.42578125" style="394"/>
    <col min="2589" max="2589" width="13.28515625" style="394" customWidth="1"/>
    <col min="2590" max="2595" width="11.42578125" style="394"/>
    <col min="2596" max="2596" width="14.5703125" style="394" customWidth="1"/>
    <col min="2597" max="2816" width="11.42578125" style="394"/>
    <col min="2817" max="2817" width="6.42578125" style="394" customWidth="1"/>
    <col min="2818" max="2818" width="30.7109375" style="394" customWidth="1"/>
    <col min="2819" max="2819" width="19.42578125" style="394" customWidth="1"/>
    <col min="2820" max="2820" width="30.7109375" style="394" customWidth="1"/>
    <col min="2821" max="2823" width="17.85546875" style="394" customWidth="1"/>
    <col min="2824" max="2837" width="15.7109375" style="394" customWidth="1"/>
    <col min="2838" max="2838" width="11.42578125" style="394"/>
    <col min="2839" max="2843" width="15.7109375" style="394" customWidth="1"/>
    <col min="2844" max="2844" width="11.42578125" style="394"/>
    <col min="2845" max="2845" width="13.28515625" style="394" customWidth="1"/>
    <col min="2846" max="2851" width="11.42578125" style="394"/>
    <col min="2852" max="2852" width="14.5703125" style="394" customWidth="1"/>
    <col min="2853" max="3072" width="11.42578125" style="394"/>
    <col min="3073" max="3073" width="6.42578125" style="394" customWidth="1"/>
    <col min="3074" max="3074" width="30.7109375" style="394" customWidth="1"/>
    <col min="3075" max="3075" width="19.42578125" style="394" customWidth="1"/>
    <col min="3076" max="3076" width="30.7109375" style="394" customWidth="1"/>
    <col min="3077" max="3079" width="17.85546875" style="394" customWidth="1"/>
    <col min="3080" max="3093" width="15.7109375" style="394" customWidth="1"/>
    <col min="3094" max="3094" width="11.42578125" style="394"/>
    <col min="3095" max="3099" width="15.7109375" style="394" customWidth="1"/>
    <col min="3100" max="3100" width="11.42578125" style="394"/>
    <col min="3101" max="3101" width="13.28515625" style="394" customWidth="1"/>
    <col min="3102" max="3107" width="11.42578125" style="394"/>
    <col min="3108" max="3108" width="14.5703125" style="394" customWidth="1"/>
    <col min="3109" max="3328" width="11.42578125" style="394"/>
    <col min="3329" max="3329" width="6.42578125" style="394" customWidth="1"/>
    <col min="3330" max="3330" width="30.7109375" style="394" customWidth="1"/>
    <col min="3331" max="3331" width="19.42578125" style="394" customWidth="1"/>
    <col min="3332" max="3332" width="30.7109375" style="394" customWidth="1"/>
    <col min="3333" max="3335" width="17.85546875" style="394" customWidth="1"/>
    <col min="3336" max="3349" width="15.7109375" style="394" customWidth="1"/>
    <col min="3350" max="3350" width="11.42578125" style="394"/>
    <col min="3351" max="3355" width="15.7109375" style="394" customWidth="1"/>
    <col min="3356" max="3356" width="11.42578125" style="394"/>
    <col min="3357" max="3357" width="13.28515625" style="394" customWidth="1"/>
    <col min="3358" max="3363" width="11.42578125" style="394"/>
    <col min="3364" max="3364" width="14.5703125" style="394" customWidth="1"/>
    <col min="3365" max="3584" width="11.42578125" style="394"/>
    <col min="3585" max="3585" width="6.42578125" style="394" customWidth="1"/>
    <col min="3586" max="3586" width="30.7109375" style="394" customWidth="1"/>
    <col min="3587" max="3587" width="19.42578125" style="394" customWidth="1"/>
    <col min="3588" max="3588" width="30.7109375" style="394" customWidth="1"/>
    <col min="3589" max="3591" width="17.85546875" style="394" customWidth="1"/>
    <col min="3592" max="3605" width="15.7109375" style="394" customWidth="1"/>
    <col min="3606" max="3606" width="11.42578125" style="394"/>
    <col min="3607" max="3611" width="15.7109375" style="394" customWidth="1"/>
    <col min="3612" max="3612" width="11.42578125" style="394"/>
    <col min="3613" max="3613" width="13.28515625" style="394" customWidth="1"/>
    <col min="3614" max="3619" width="11.42578125" style="394"/>
    <col min="3620" max="3620" width="14.5703125" style="394" customWidth="1"/>
    <col min="3621" max="3840" width="11.42578125" style="394"/>
    <col min="3841" max="3841" width="6.42578125" style="394" customWidth="1"/>
    <col min="3842" max="3842" width="30.7109375" style="394" customWidth="1"/>
    <col min="3843" max="3843" width="19.42578125" style="394" customWidth="1"/>
    <col min="3844" max="3844" width="30.7109375" style="394" customWidth="1"/>
    <col min="3845" max="3847" width="17.85546875" style="394" customWidth="1"/>
    <col min="3848" max="3861" width="15.7109375" style="394" customWidth="1"/>
    <col min="3862" max="3862" width="11.42578125" style="394"/>
    <col min="3863" max="3867" width="15.7109375" style="394" customWidth="1"/>
    <col min="3868" max="3868" width="11.42578125" style="394"/>
    <col min="3869" max="3869" width="13.28515625" style="394" customWidth="1"/>
    <col min="3870" max="3875" width="11.42578125" style="394"/>
    <col min="3876" max="3876" width="14.5703125" style="394" customWidth="1"/>
    <col min="3877" max="4096" width="11.42578125" style="394"/>
    <col min="4097" max="4097" width="6.42578125" style="394" customWidth="1"/>
    <col min="4098" max="4098" width="30.7109375" style="394" customWidth="1"/>
    <col min="4099" max="4099" width="19.42578125" style="394" customWidth="1"/>
    <col min="4100" max="4100" width="30.7109375" style="394" customWidth="1"/>
    <col min="4101" max="4103" width="17.85546875" style="394" customWidth="1"/>
    <col min="4104" max="4117" width="15.7109375" style="394" customWidth="1"/>
    <col min="4118" max="4118" width="11.42578125" style="394"/>
    <col min="4119" max="4123" width="15.7109375" style="394" customWidth="1"/>
    <col min="4124" max="4124" width="11.42578125" style="394"/>
    <col min="4125" max="4125" width="13.28515625" style="394" customWidth="1"/>
    <col min="4126" max="4131" width="11.42578125" style="394"/>
    <col min="4132" max="4132" width="14.5703125" style="394" customWidth="1"/>
    <col min="4133" max="4352" width="11.42578125" style="394"/>
    <col min="4353" max="4353" width="6.42578125" style="394" customWidth="1"/>
    <col min="4354" max="4354" width="30.7109375" style="394" customWidth="1"/>
    <col min="4355" max="4355" width="19.42578125" style="394" customWidth="1"/>
    <col min="4356" max="4356" width="30.7109375" style="394" customWidth="1"/>
    <col min="4357" max="4359" width="17.85546875" style="394" customWidth="1"/>
    <col min="4360" max="4373" width="15.7109375" style="394" customWidth="1"/>
    <col min="4374" max="4374" width="11.42578125" style="394"/>
    <col min="4375" max="4379" width="15.7109375" style="394" customWidth="1"/>
    <col min="4380" max="4380" width="11.42578125" style="394"/>
    <col min="4381" max="4381" width="13.28515625" style="394" customWidth="1"/>
    <col min="4382" max="4387" width="11.42578125" style="394"/>
    <col min="4388" max="4388" width="14.5703125" style="394" customWidth="1"/>
    <col min="4389" max="4608" width="11.42578125" style="394"/>
    <col min="4609" max="4609" width="6.42578125" style="394" customWidth="1"/>
    <col min="4610" max="4610" width="30.7109375" style="394" customWidth="1"/>
    <col min="4611" max="4611" width="19.42578125" style="394" customWidth="1"/>
    <col min="4612" max="4612" width="30.7109375" style="394" customWidth="1"/>
    <col min="4613" max="4615" width="17.85546875" style="394" customWidth="1"/>
    <col min="4616" max="4629" width="15.7109375" style="394" customWidth="1"/>
    <col min="4630" max="4630" width="11.42578125" style="394"/>
    <col min="4631" max="4635" width="15.7109375" style="394" customWidth="1"/>
    <col min="4636" max="4636" width="11.42578125" style="394"/>
    <col min="4637" max="4637" width="13.28515625" style="394" customWidth="1"/>
    <col min="4638" max="4643" width="11.42578125" style="394"/>
    <col min="4644" max="4644" width="14.5703125" style="394" customWidth="1"/>
    <col min="4645" max="4864" width="11.42578125" style="394"/>
    <col min="4865" max="4865" width="6.42578125" style="394" customWidth="1"/>
    <col min="4866" max="4866" width="30.7109375" style="394" customWidth="1"/>
    <col min="4867" max="4867" width="19.42578125" style="394" customWidth="1"/>
    <col min="4868" max="4868" width="30.7109375" style="394" customWidth="1"/>
    <col min="4869" max="4871" width="17.85546875" style="394" customWidth="1"/>
    <col min="4872" max="4885" width="15.7109375" style="394" customWidth="1"/>
    <col min="4886" max="4886" width="11.42578125" style="394"/>
    <col min="4887" max="4891" width="15.7109375" style="394" customWidth="1"/>
    <col min="4892" max="4892" width="11.42578125" style="394"/>
    <col min="4893" max="4893" width="13.28515625" style="394" customWidth="1"/>
    <col min="4894" max="4899" width="11.42578125" style="394"/>
    <col min="4900" max="4900" width="14.5703125" style="394" customWidth="1"/>
    <col min="4901" max="5120" width="11.42578125" style="394"/>
    <col min="5121" max="5121" width="6.42578125" style="394" customWidth="1"/>
    <col min="5122" max="5122" width="30.7109375" style="394" customWidth="1"/>
    <col min="5123" max="5123" width="19.42578125" style="394" customWidth="1"/>
    <col min="5124" max="5124" width="30.7109375" style="394" customWidth="1"/>
    <col min="5125" max="5127" width="17.85546875" style="394" customWidth="1"/>
    <col min="5128" max="5141" width="15.7109375" style="394" customWidth="1"/>
    <col min="5142" max="5142" width="11.42578125" style="394"/>
    <col min="5143" max="5147" width="15.7109375" style="394" customWidth="1"/>
    <col min="5148" max="5148" width="11.42578125" style="394"/>
    <col min="5149" max="5149" width="13.28515625" style="394" customWidth="1"/>
    <col min="5150" max="5155" width="11.42578125" style="394"/>
    <col min="5156" max="5156" width="14.5703125" style="394" customWidth="1"/>
    <col min="5157" max="5376" width="11.42578125" style="394"/>
    <col min="5377" max="5377" width="6.42578125" style="394" customWidth="1"/>
    <col min="5378" max="5378" width="30.7109375" style="394" customWidth="1"/>
    <col min="5379" max="5379" width="19.42578125" style="394" customWidth="1"/>
    <col min="5380" max="5380" width="30.7109375" style="394" customWidth="1"/>
    <col min="5381" max="5383" width="17.85546875" style="394" customWidth="1"/>
    <col min="5384" max="5397" width="15.7109375" style="394" customWidth="1"/>
    <col min="5398" max="5398" width="11.42578125" style="394"/>
    <col min="5399" max="5403" width="15.7109375" style="394" customWidth="1"/>
    <col min="5404" max="5404" width="11.42578125" style="394"/>
    <col min="5405" max="5405" width="13.28515625" style="394" customWidth="1"/>
    <col min="5406" max="5411" width="11.42578125" style="394"/>
    <col min="5412" max="5412" width="14.5703125" style="394" customWidth="1"/>
    <col min="5413" max="5632" width="11.42578125" style="394"/>
    <col min="5633" max="5633" width="6.42578125" style="394" customWidth="1"/>
    <col min="5634" max="5634" width="30.7109375" style="394" customWidth="1"/>
    <col min="5635" max="5635" width="19.42578125" style="394" customWidth="1"/>
    <col min="5636" max="5636" width="30.7109375" style="394" customWidth="1"/>
    <col min="5637" max="5639" width="17.85546875" style="394" customWidth="1"/>
    <col min="5640" max="5653" width="15.7109375" style="394" customWidth="1"/>
    <col min="5654" max="5654" width="11.42578125" style="394"/>
    <col min="5655" max="5659" width="15.7109375" style="394" customWidth="1"/>
    <col min="5660" max="5660" width="11.42578125" style="394"/>
    <col min="5661" max="5661" width="13.28515625" style="394" customWidth="1"/>
    <col min="5662" max="5667" width="11.42578125" style="394"/>
    <col min="5668" max="5668" width="14.5703125" style="394" customWidth="1"/>
    <col min="5669" max="5888" width="11.42578125" style="394"/>
    <col min="5889" max="5889" width="6.42578125" style="394" customWidth="1"/>
    <col min="5890" max="5890" width="30.7109375" style="394" customWidth="1"/>
    <col min="5891" max="5891" width="19.42578125" style="394" customWidth="1"/>
    <col min="5892" max="5892" width="30.7109375" style="394" customWidth="1"/>
    <col min="5893" max="5895" width="17.85546875" style="394" customWidth="1"/>
    <col min="5896" max="5909" width="15.7109375" style="394" customWidth="1"/>
    <col min="5910" max="5910" width="11.42578125" style="394"/>
    <col min="5911" max="5915" width="15.7109375" style="394" customWidth="1"/>
    <col min="5916" max="5916" width="11.42578125" style="394"/>
    <col min="5917" max="5917" width="13.28515625" style="394" customWidth="1"/>
    <col min="5918" max="5923" width="11.42578125" style="394"/>
    <col min="5924" max="5924" width="14.5703125" style="394" customWidth="1"/>
    <col min="5925" max="6144" width="11.42578125" style="394"/>
    <col min="6145" max="6145" width="6.42578125" style="394" customWidth="1"/>
    <col min="6146" max="6146" width="30.7109375" style="394" customWidth="1"/>
    <col min="6147" max="6147" width="19.42578125" style="394" customWidth="1"/>
    <col min="6148" max="6148" width="30.7109375" style="394" customWidth="1"/>
    <col min="6149" max="6151" width="17.85546875" style="394" customWidth="1"/>
    <col min="6152" max="6165" width="15.7109375" style="394" customWidth="1"/>
    <col min="6166" max="6166" width="11.42578125" style="394"/>
    <col min="6167" max="6171" width="15.7109375" style="394" customWidth="1"/>
    <col min="6172" max="6172" width="11.42578125" style="394"/>
    <col min="6173" max="6173" width="13.28515625" style="394" customWidth="1"/>
    <col min="6174" max="6179" width="11.42578125" style="394"/>
    <col min="6180" max="6180" width="14.5703125" style="394" customWidth="1"/>
    <col min="6181" max="6400" width="11.42578125" style="394"/>
    <col min="6401" max="6401" width="6.42578125" style="394" customWidth="1"/>
    <col min="6402" max="6402" width="30.7109375" style="394" customWidth="1"/>
    <col min="6403" max="6403" width="19.42578125" style="394" customWidth="1"/>
    <col min="6404" max="6404" width="30.7109375" style="394" customWidth="1"/>
    <col min="6405" max="6407" width="17.85546875" style="394" customWidth="1"/>
    <col min="6408" max="6421" width="15.7109375" style="394" customWidth="1"/>
    <col min="6422" max="6422" width="11.42578125" style="394"/>
    <col min="6423" max="6427" width="15.7109375" style="394" customWidth="1"/>
    <col min="6428" max="6428" width="11.42578125" style="394"/>
    <col min="6429" max="6429" width="13.28515625" style="394" customWidth="1"/>
    <col min="6430" max="6435" width="11.42578125" style="394"/>
    <col min="6436" max="6436" width="14.5703125" style="394" customWidth="1"/>
    <col min="6437" max="6656" width="11.42578125" style="394"/>
    <col min="6657" max="6657" width="6.42578125" style="394" customWidth="1"/>
    <col min="6658" max="6658" width="30.7109375" style="394" customWidth="1"/>
    <col min="6659" max="6659" width="19.42578125" style="394" customWidth="1"/>
    <col min="6660" max="6660" width="30.7109375" style="394" customWidth="1"/>
    <col min="6661" max="6663" width="17.85546875" style="394" customWidth="1"/>
    <col min="6664" max="6677" width="15.7109375" style="394" customWidth="1"/>
    <col min="6678" max="6678" width="11.42578125" style="394"/>
    <col min="6679" max="6683" width="15.7109375" style="394" customWidth="1"/>
    <col min="6684" max="6684" width="11.42578125" style="394"/>
    <col min="6685" max="6685" width="13.28515625" style="394" customWidth="1"/>
    <col min="6686" max="6691" width="11.42578125" style="394"/>
    <col min="6692" max="6692" width="14.5703125" style="394" customWidth="1"/>
    <col min="6693" max="6912" width="11.42578125" style="394"/>
    <col min="6913" max="6913" width="6.42578125" style="394" customWidth="1"/>
    <col min="6914" max="6914" width="30.7109375" style="394" customWidth="1"/>
    <col min="6915" max="6915" width="19.42578125" style="394" customWidth="1"/>
    <col min="6916" max="6916" width="30.7109375" style="394" customWidth="1"/>
    <col min="6917" max="6919" width="17.85546875" style="394" customWidth="1"/>
    <col min="6920" max="6933" width="15.7109375" style="394" customWidth="1"/>
    <col min="6934" max="6934" width="11.42578125" style="394"/>
    <col min="6935" max="6939" width="15.7109375" style="394" customWidth="1"/>
    <col min="6940" max="6940" width="11.42578125" style="394"/>
    <col min="6941" max="6941" width="13.28515625" style="394" customWidth="1"/>
    <col min="6942" max="6947" width="11.42578125" style="394"/>
    <col min="6948" max="6948" width="14.5703125" style="394" customWidth="1"/>
    <col min="6949" max="7168" width="11.42578125" style="394"/>
    <col min="7169" max="7169" width="6.42578125" style="394" customWidth="1"/>
    <col min="7170" max="7170" width="30.7109375" style="394" customWidth="1"/>
    <col min="7171" max="7171" width="19.42578125" style="394" customWidth="1"/>
    <col min="7172" max="7172" width="30.7109375" style="394" customWidth="1"/>
    <col min="7173" max="7175" width="17.85546875" style="394" customWidth="1"/>
    <col min="7176" max="7189" width="15.7109375" style="394" customWidth="1"/>
    <col min="7190" max="7190" width="11.42578125" style="394"/>
    <col min="7191" max="7195" width="15.7109375" style="394" customWidth="1"/>
    <col min="7196" max="7196" width="11.42578125" style="394"/>
    <col min="7197" max="7197" width="13.28515625" style="394" customWidth="1"/>
    <col min="7198" max="7203" width="11.42578125" style="394"/>
    <col min="7204" max="7204" width="14.5703125" style="394" customWidth="1"/>
    <col min="7205" max="7424" width="11.42578125" style="394"/>
    <col min="7425" max="7425" width="6.42578125" style="394" customWidth="1"/>
    <col min="7426" max="7426" width="30.7109375" style="394" customWidth="1"/>
    <col min="7427" max="7427" width="19.42578125" style="394" customWidth="1"/>
    <col min="7428" max="7428" width="30.7109375" style="394" customWidth="1"/>
    <col min="7429" max="7431" width="17.85546875" style="394" customWidth="1"/>
    <col min="7432" max="7445" width="15.7109375" style="394" customWidth="1"/>
    <col min="7446" max="7446" width="11.42578125" style="394"/>
    <col min="7447" max="7451" width="15.7109375" style="394" customWidth="1"/>
    <col min="7452" max="7452" width="11.42578125" style="394"/>
    <col min="7453" max="7453" width="13.28515625" style="394" customWidth="1"/>
    <col min="7454" max="7459" width="11.42578125" style="394"/>
    <col min="7460" max="7460" width="14.5703125" style="394" customWidth="1"/>
    <col min="7461" max="7680" width="11.42578125" style="394"/>
    <col min="7681" max="7681" width="6.42578125" style="394" customWidth="1"/>
    <col min="7682" max="7682" width="30.7109375" style="394" customWidth="1"/>
    <col min="7683" max="7683" width="19.42578125" style="394" customWidth="1"/>
    <col min="7684" max="7684" width="30.7109375" style="394" customWidth="1"/>
    <col min="7685" max="7687" width="17.85546875" style="394" customWidth="1"/>
    <col min="7688" max="7701" width="15.7109375" style="394" customWidth="1"/>
    <col min="7702" max="7702" width="11.42578125" style="394"/>
    <col min="7703" max="7707" width="15.7109375" style="394" customWidth="1"/>
    <col min="7708" max="7708" width="11.42578125" style="394"/>
    <col min="7709" max="7709" width="13.28515625" style="394" customWidth="1"/>
    <col min="7710" max="7715" width="11.42578125" style="394"/>
    <col min="7716" max="7716" width="14.5703125" style="394" customWidth="1"/>
    <col min="7717" max="7936" width="11.42578125" style="394"/>
    <col min="7937" max="7937" width="6.42578125" style="394" customWidth="1"/>
    <col min="7938" max="7938" width="30.7109375" style="394" customWidth="1"/>
    <col min="7939" max="7939" width="19.42578125" style="394" customWidth="1"/>
    <col min="7940" max="7940" width="30.7109375" style="394" customWidth="1"/>
    <col min="7941" max="7943" width="17.85546875" style="394" customWidth="1"/>
    <col min="7944" max="7957" width="15.7109375" style="394" customWidth="1"/>
    <col min="7958" max="7958" width="11.42578125" style="394"/>
    <col min="7959" max="7963" width="15.7109375" style="394" customWidth="1"/>
    <col min="7964" max="7964" width="11.42578125" style="394"/>
    <col min="7965" max="7965" width="13.28515625" style="394" customWidth="1"/>
    <col min="7966" max="7971" width="11.42578125" style="394"/>
    <col min="7972" max="7972" width="14.5703125" style="394" customWidth="1"/>
    <col min="7973" max="8192" width="11.42578125" style="394"/>
    <col min="8193" max="8193" width="6.42578125" style="394" customWidth="1"/>
    <col min="8194" max="8194" width="30.7109375" style="394" customWidth="1"/>
    <col min="8195" max="8195" width="19.42578125" style="394" customWidth="1"/>
    <col min="8196" max="8196" width="30.7109375" style="394" customWidth="1"/>
    <col min="8197" max="8199" width="17.85546875" style="394" customWidth="1"/>
    <col min="8200" max="8213" width="15.7109375" style="394" customWidth="1"/>
    <col min="8214" max="8214" width="11.42578125" style="394"/>
    <col min="8215" max="8219" width="15.7109375" style="394" customWidth="1"/>
    <col min="8220" max="8220" width="11.42578125" style="394"/>
    <col min="8221" max="8221" width="13.28515625" style="394" customWidth="1"/>
    <col min="8222" max="8227" width="11.42578125" style="394"/>
    <col min="8228" max="8228" width="14.5703125" style="394" customWidth="1"/>
    <col min="8229" max="8448" width="11.42578125" style="394"/>
    <col min="8449" max="8449" width="6.42578125" style="394" customWidth="1"/>
    <col min="8450" max="8450" width="30.7109375" style="394" customWidth="1"/>
    <col min="8451" max="8451" width="19.42578125" style="394" customWidth="1"/>
    <col min="8452" max="8452" width="30.7109375" style="394" customWidth="1"/>
    <col min="8453" max="8455" width="17.85546875" style="394" customWidth="1"/>
    <col min="8456" max="8469" width="15.7109375" style="394" customWidth="1"/>
    <col min="8470" max="8470" width="11.42578125" style="394"/>
    <col min="8471" max="8475" width="15.7109375" style="394" customWidth="1"/>
    <col min="8476" max="8476" width="11.42578125" style="394"/>
    <col min="8477" max="8477" width="13.28515625" style="394" customWidth="1"/>
    <col min="8478" max="8483" width="11.42578125" style="394"/>
    <col min="8484" max="8484" width="14.5703125" style="394" customWidth="1"/>
    <col min="8485" max="8704" width="11.42578125" style="394"/>
    <col min="8705" max="8705" width="6.42578125" style="394" customWidth="1"/>
    <col min="8706" max="8706" width="30.7109375" style="394" customWidth="1"/>
    <col min="8707" max="8707" width="19.42578125" style="394" customWidth="1"/>
    <col min="8708" max="8708" width="30.7109375" style="394" customWidth="1"/>
    <col min="8709" max="8711" width="17.85546875" style="394" customWidth="1"/>
    <col min="8712" max="8725" width="15.7109375" style="394" customWidth="1"/>
    <col min="8726" max="8726" width="11.42578125" style="394"/>
    <col min="8727" max="8731" width="15.7109375" style="394" customWidth="1"/>
    <col min="8732" max="8732" width="11.42578125" style="394"/>
    <col min="8733" max="8733" width="13.28515625" style="394" customWidth="1"/>
    <col min="8734" max="8739" width="11.42578125" style="394"/>
    <col min="8740" max="8740" width="14.5703125" style="394" customWidth="1"/>
    <col min="8741" max="8960" width="11.42578125" style="394"/>
    <col min="8961" max="8961" width="6.42578125" style="394" customWidth="1"/>
    <col min="8962" max="8962" width="30.7109375" style="394" customWidth="1"/>
    <col min="8963" max="8963" width="19.42578125" style="394" customWidth="1"/>
    <col min="8964" max="8964" width="30.7109375" style="394" customWidth="1"/>
    <col min="8965" max="8967" width="17.85546875" style="394" customWidth="1"/>
    <col min="8968" max="8981" width="15.7109375" style="394" customWidth="1"/>
    <col min="8982" max="8982" width="11.42578125" style="394"/>
    <col min="8983" max="8987" width="15.7109375" style="394" customWidth="1"/>
    <col min="8988" max="8988" width="11.42578125" style="394"/>
    <col min="8989" max="8989" width="13.28515625" style="394" customWidth="1"/>
    <col min="8990" max="8995" width="11.42578125" style="394"/>
    <col min="8996" max="8996" width="14.5703125" style="394" customWidth="1"/>
    <col min="8997" max="9216" width="11.42578125" style="394"/>
    <col min="9217" max="9217" width="6.42578125" style="394" customWidth="1"/>
    <col min="9218" max="9218" width="30.7109375" style="394" customWidth="1"/>
    <col min="9219" max="9219" width="19.42578125" style="394" customWidth="1"/>
    <col min="9220" max="9220" width="30.7109375" style="394" customWidth="1"/>
    <col min="9221" max="9223" width="17.85546875" style="394" customWidth="1"/>
    <col min="9224" max="9237" width="15.7109375" style="394" customWidth="1"/>
    <col min="9238" max="9238" width="11.42578125" style="394"/>
    <col min="9239" max="9243" width="15.7109375" style="394" customWidth="1"/>
    <col min="9244" max="9244" width="11.42578125" style="394"/>
    <col min="9245" max="9245" width="13.28515625" style="394" customWidth="1"/>
    <col min="9246" max="9251" width="11.42578125" style="394"/>
    <col min="9252" max="9252" width="14.5703125" style="394" customWidth="1"/>
    <col min="9253" max="9472" width="11.42578125" style="394"/>
    <col min="9473" max="9473" width="6.42578125" style="394" customWidth="1"/>
    <col min="9474" max="9474" width="30.7109375" style="394" customWidth="1"/>
    <col min="9475" max="9475" width="19.42578125" style="394" customWidth="1"/>
    <col min="9476" max="9476" width="30.7109375" style="394" customWidth="1"/>
    <col min="9477" max="9479" width="17.85546875" style="394" customWidth="1"/>
    <col min="9480" max="9493" width="15.7109375" style="394" customWidth="1"/>
    <col min="9494" max="9494" width="11.42578125" style="394"/>
    <col min="9495" max="9499" width="15.7109375" style="394" customWidth="1"/>
    <col min="9500" max="9500" width="11.42578125" style="394"/>
    <col min="9501" max="9501" width="13.28515625" style="394" customWidth="1"/>
    <col min="9502" max="9507" width="11.42578125" style="394"/>
    <col min="9508" max="9508" width="14.5703125" style="394" customWidth="1"/>
    <col min="9509" max="9728" width="11.42578125" style="394"/>
    <col min="9729" max="9729" width="6.42578125" style="394" customWidth="1"/>
    <col min="9730" max="9730" width="30.7109375" style="394" customWidth="1"/>
    <col min="9731" max="9731" width="19.42578125" style="394" customWidth="1"/>
    <col min="9732" max="9732" width="30.7109375" style="394" customWidth="1"/>
    <col min="9733" max="9735" width="17.85546875" style="394" customWidth="1"/>
    <col min="9736" max="9749" width="15.7109375" style="394" customWidth="1"/>
    <col min="9750" max="9750" width="11.42578125" style="394"/>
    <col min="9751" max="9755" width="15.7109375" style="394" customWidth="1"/>
    <col min="9756" max="9756" width="11.42578125" style="394"/>
    <col min="9757" max="9757" width="13.28515625" style="394" customWidth="1"/>
    <col min="9758" max="9763" width="11.42578125" style="394"/>
    <col min="9764" max="9764" width="14.5703125" style="394" customWidth="1"/>
    <col min="9765" max="9984" width="11.42578125" style="394"/>
    <col min="9985" max="9985" width="6.42578125" style="394" customWidth="1"/>
    <col min="9986" max="9986" width="30.7109375" style="394" customWidth="1"/>
    <col min="9987" max="9987" width="19.42578125" style="394" customWidth="1"/>
    <col min="9988" max="9988" width="30.7109375" style="394" customWidth="1"/>
    <col min="9989" max="9991" width="17.85546875" style="394" customWidth="1"/>
    <col min="9992" max="10005" width="15.7109375" style="394" customWidth="1"/>
    <col min="10006" max="10006" width="11.42578125" style="394"/>
    <col min="10007" max="10011" width="15.7109375" style="394" customWidth="1"/>
    <col min="10012" max="10012" width="11.42578125" style="394"/>
    <col min="10013" max="10013" width="13.28515625" style="394" customWidth="1"/>
    <col min="10014" max="10019" width="11.42578125" style="394"/>
    <col min="10020" max="10020" width="14.5703125" style="394" customWidth="1"/>
    <col min="10021" max="10240" width="11.42578125" style="394"/>
    <col min="10241" max="10241" width="6.42578125" style="394" customWidth="1"/>
    <col min="10242" max="10242" width="30.7109375" style="394" customWidth="1"/>
    <col min="10243" max="10243" width="19.42578125" style="394" customWidth="1"/>
    <col min="10244" max="10244" width="30.7109375" style="394" customWidth="1"/>
    <col min="10245" max="10247" width="17.85546875" style="394" customWidth="1"/>
    <col min="10248" max="10261" width="15.7109375" style="394" customWidth="1"/>
    <col min="10262" max="10262" width="11.42578125" style="394"/>
    <col min="10263" max="10267" width="15.7109375" style="394" customWidth="1"/>
    <col min="10268" max="10268" width="11.42578125" style="394"/>
    <col min="10269" max="10269" width="13.28515625" style="394" customWidth="1"/>
    <col min="10270" max="10275" width="11.42578125" style="394"/>
    <col min="10276" max="10276" width="14.5703125" style="394" customWidth="1"/>
    <col min="10277" max="10496" width="11.42578125" style="394"/>
    <col min="10497" max="10497" width="6.42578125" style="394" customWidth="1"/>
    <col min="10498" max="10498" width="30.7109375" style="394" customWidth="1"/>
    <col min="10499" max="10499" width="19.42578125" style="394" customWidth="1"/>
    <col min="10500" max="10500" width="30.7109375" style="394" customWidth="1"/>
    <col min="10501" max="10503" width="17.85546875" style="394" customWidth="1"/>
    <col min="10504" max="10517" width="15.7109375" style="394" customWidth="1"/>
    <col min="10518" max="10518" width="11.42578125" style="394"/>
    <col min="10519" max="10523" width="15.7109375" style="394" customWidth="1"/>
    <col min="10524" max="10524" width="11.42578125" style="394"/>
    <col min="10525" max="10525" width="13.28515625" style="394" customWidth="1"/>
    <col min="10526" max="10531" width="11.42578125" style="394"/>
    <col min="10532" max="10532" width="14.5703125" style="394" customWidth="1"/>
    <col min="10533" max="10752" width="11.42578125" style="394"/>
    <col min="10753" max="10753" width="6.42578125" style="394" customWidth="1"/>
    <col min="10754" max="10754" width="30.7109375" style="394" customWidth="1"/>
    <col min="10755" max="10755" width="19.42578125" style="394" customWidth="1"/>
    <col min="10756" max="10756" width="30.7109375" style="394" customWidth="1"/>
    <col min="10757" max="10759" width="17.85546875" style="394" customWidth="1"/>
    <col min="10760" max="10773" width="15.7109375" style="394" customWidth="1"/>
    <col min="10774" max="10774" width="11.42578125" style="394"/>
    <col min="10775" max="10779" width="15.7109375" style="394" customWidth="1"/>
    <col min="10780" max="10780" width="11.42578125" style="394"/>
    <col min="10781" max="10781" width="13.28515625" style="394" customWidth="1"/>
    <col min="10782" max="10787" width="11.42578125" style="394"/>
    <col min="10788" max="10788" width="14.5703125" style="394" customWidth="1"/>
    <col min="10789" max="11008" width="11.42578125" style="394"/>
    <col min="11009" max="11009" width="6.42578125" style="394" customWidth="1"/>
    <col min="11010" max="11010" width="30.7109375" style="394" customWidth="1"/>
    <col min="11011" max="11011" width="19.42578125" style="394" customWidth="1"/>
    <col min="11012" max="11012" width="30.7109375" style="394" customWidth="1"/>
    <col min="11013" max="11015" width="17.85546875" style="394" customWidth="1"/>
    <col min="11016" max="11029" width="15.7109375" style="394" customWidth="1"/>
    <col min="11030" max="11030" width="11.42578125" style="394"/>
    <col min="11031" max="11035" width="15.7109375" style="394" customWidth="1"/>
    <col min="11036" max="11036" width="11.42578125" style="394"/>
    <col min="11037" max="11037" width="13.28515625" style="394" customWidth="1"/>
    <col min="11038" max="11043" width="11.42578125" style="394"/>
    <col min="11044" max="11044" width="14.5703125" style="394" customWidth="1"/>
    <col min="11045" max="11264" width="11.42578125" style="394"/>
    <col min="11265" max="11265" width="6.42578125" style="394" customWidth="1"/>
    <col min="11266" max="11266" width="30.7109375" style="394" customWidth="1"/>
    <col min="11267" max="11267" width="19.42578125" style="394" customWidth="1"/>
    <col min="11268" max="11268" width="30.7109375" style="394" customWidth="1"/>
    <col min="11269" max="11271" width="17.85546875" style="394" customWidth="1"/>
    <col min="11272" max="11285" width="15.7109375" style="394" customWidth="1"/>
    <col min="11286" max="11286" width="11.42578125" style="394"/>
    <col min="11287" max="11291" width="15.7109375" style="394" customWidth="1"/>
    <col min="11292" max="11292" width="11.42578125" style="394"/>
    <col min="11293" max="11293" width="13.28515625" style="394" customWidth="1"/>
    <col min="11294" max="11299" width="11.42578125" style="394"/>
    <col min="11300" max="11300" width="14.5703125" style="394" customWidth="1"/>
    <col min="11301" max="11520" width="11.42578125" style="394"/>
    <col min="11521" max="11521" width="6.42578125" style="394" customWidth="1"/>
    <col min="11522" max="11522" width="30.7109375" style="394" customWidth="1"/>
    <col min="11523" max="11523" width="19.42578125" style="394" customWidth="1"/>
    <col min="11524" max="11524" width="30.7109375" style="394" customWidth="1"/>
    <col min="11525" max="11527" width="17.85546875" style="394" customWidth="1"/>
    <col min="11528" max="11541" width="15.7109375" style="394" customWidth="1"/>
    <col min="11542" max="11542" width="11.42578125" style="394"/>
    <col min="11543" max="11547" width="15.7109375" style="394" customWidth="1"/>
    <col min="11548" max="11548" width="11.42578125" style="394"/>
    <col min="11549" max="11549" width="13.28515625" style="394" customWidth="1"/>
    <col min="11550" max="11555" width="11.42578125" style="394"/>
    <col min="11556" max="11556" width="14.5703125" style="394" customWidth="1"/>
    <col min="11557" max="11776" width="11.42578125" style="394"/>
    <col min="11777" max="11777" width="6.42578125" style="394" customWidth="1"/>
    <col min="11778" max="11778" width="30.7109375" style="394" customWidth="1"/>
    <col min="11779" max="11779" width="19.42578125" style="394" customWidth="1"/>
    <col min="11780" max="11780" width="30.7109375" style="394" customWidth="1"/>
    <col min="11781" max="11783" width="17.85546875" style="394" customWidth="1"/>
    <col min="11784" max="11797" width="15.7109375" style="394" customWidth="1"/>
    <col min="11798" max="11798" width="11.42578125" style="394"/>
    <col min="11799" max="11803" width="15.7109375" style="394" customWidth="1"/>
    <col min="11804" max="11804" width="11.42578125" style="394"/>
    <col min="11805" max="11805" width="13.28515625" style="394" customWidth="1"/>
    <col min="11806" max="11811" width="11.42578125" style="394"/>
    <col min="11812" max="11812" width="14.5703125" style="394" customWidth="1"/>
    <col min="11813" max="12032" width="11.42578125" style="394"/>
    <col min="12033" max="12033" width="6.42578125" style="394" customWidth="1"/>
    <col min="12034" max="12034" width="30.7109375" style="394" customWidth="1"/>
    <col min="12035" max="12035" width="19.42578125" style="394" customWidth="1"/>
    <col min="12036" max="12036" width="30.7109375" style="394" customWidth="1"/>
    <col min="12037" max="12039" width="17.85546875" style="394" customWidth="1"/>
    <col min="12040" max="12053" width="15.7109375" style="394" customWidth="1"/>
    <col min="12054" max="12054" width="11.42578125" style="394"/>
    <col min="12055" max="12059" width="15.7109375" style="394" customWidth="1"/>
    <col min="12060" max="12060" width="11.42578125" style="394"/>
    <col min="12061" max="12061" width="13.28515625" style="394" customWidth="1"/>
    <col min="12062" max="12067" width="11.42578125" style="394"/>
    <col min="12068" max="12068" width="14.5703125" style="394" customWidth="1"/>
    <col min="12069" max="12288" width="11.42578125" style="394"/>
    <col min="12289" max="12289" width="6.42578125" style="394" customWidth="1"/>
    <col min="12290" max="12290" width="30.7109375" style="394" customWidth="1"/>
    <col min="12291" max="12291" width="19.42578125" style="394" customWidth="1"/>
    <col min="12292" max="12292" width="30.7109375" style="394" customWidth="1"/>
    <col min="12293" max="12295" width="17.85546875" style="394" customWidth="1"/>
    <col min="12296" max="12309" width="15.7109375" style="394" customWidth="1"/>
    <col min="12310" max="12310" width="11.42578125" style="394"/>
    <col min="12311" max="12315" width="15.7109375" style="394" customWidth="1"/>
    <col min="12316" max="12316" width="11.42578125" style="394"/>
    <col min="12317" max="12317" width="13.28515625" style="394" customWidth="1"/>
    <col min="12318" max="12323" width="11.42578125" style="394"/>
    <col min="12324" max="12324" width="14.5703125" style="394" customWidth="1"/>
    <col min="12325" max="12544" width="11.42578125" style="394"/>
    <col min="12545" max="12545" width="6.42578125" style="394" customWidth="1"/>
    <col min="12546" max="12546" width="30.7109375" style="394" customWidth="1"/>
    <col min="12547" max="12547" width="19.42578125" style="394" customWidth="1"/>
    <col min="12548" max="12548" width="30.7109375" style="394" customWidth="1"/>
    <col min="12549" max="12551" width="17.85546875" style="394" customWidth="1"/>
    <col min="12552" max="12565" width="15.7109375" style="394" customWidth="1"/>
    <col min="12566" max="12566" width="11.42578125" style="394"/>
    <col min="12567" max="12571" width="15.7109375" style="394" customWidth="1"/>
    <col min="12572" max="12572" width="11.42578125" style="394"/>
    <col min="12573" max="12573" width="13.28515625" style="394" customWidth="1"/>
    <col min="12574" max="12579" width="11.42578125" style="394"/>
    <col min="12580" max="12580" width="14.5703125" style="394" customWidth="1"/>
    <col min="12581" max="12800" width="11.42578125" style="394"/>
    <col min="12801" max="12801" width="6.42578125" style="394" customWidth="1"/>
    <col min="12802" max="12802" width="30.7109375" style="394" customWidth="1"/>
    <col min="12803" max="12803" width="19.42578125" style="394" customWidth="1"/>
    <col min="12804" max="12804" width="30.7109375" style="394" customWidth="1"/>
    <col min="12805" max="12807" width="17.85546875" style="394" customWidth="1"/>
    <col min="12808" max="12821" width="15.7109375" style="394" customWidth="1"/>
    <col min="12822" max="12822" width="11.42578125" style="394"/>
    <col min="12823" max="12827" width="15.7109375" style="394" customWidth="1"/>
    <col min="12828" max="12828" width="11.42578125" style="394"/>
    <col min="12829" max="12829" width="13.28515625" style="394" customWidth="1"/>
    <col min="12830" max="12835" width="11.42578125" style="394"/>
    <col min="12836" max="12836" width="14.5703125" style="394" customWidth="1"/>
    <col min="12837" max="13056" width="11.42578125" style="394"/>
    <col min="13057" max="13057" width="6.42578125" style="394" customWidth="1"/>
    <col min="13058" max="13058" width="30.7109375" style="394" customWidth="1"/>
    <col min="13059" max="13059" width="19.42578125" style="394" customWidth="1"/>
    <col min="13060" max="13060" width="30.7109375" style="394" customWidth="1"/>
    <col min="13061" max="13063" width="17.85546875" style="394" customWidth="1"/>
    <col min="13064" max="13077" width="15.7109375" style="394" customWidth="1"/>
    <col min="13078" max="13078" width="11.42578125" style="394"/>
    <col min="13079" max="13083" width="15.7109375" style="394" customWidth="1"/>
    <col min="13084" max="13084" width="11.42578125" style="394"/>
    <col min="13085" max="13085" width="13.28515625" style="394" customWidth="1"/>
    <col min="13086" max="13091" width="11.42578125" style="394"/>
    <col min="13092" max="13092" width="14.5703125" style="394" customWidth="1"/>
    <col min="13093" max="13312" width="11.42578125" style="394"/>
    <col min="13313" max="13313" width="6.42578125" style="394" customWidth="1"/>
    <col min="13314" max="13314" width="30.7109375" style="394" customWidth="1"/>
    <col min="13315" max="13315" width="19.42578125" style="394" customWidth="1"/>
    <col min="13316" max="13316" width="30.7109375" style="394" customWidth="1"/>
    <col min="13317" max="13319" width="17.85546875" style="394" customWidth="1"/>
    <col min="13320" max="13333" width="15.7109375" style="394" customWidth="1"/>
    <col min="13334" max="13334" width="11.42578125" style="394"/>
    <col min="13335" max="13339" width="15.7109375" style="394" customWidth="1"/>
    <col min="13340" max="13340" width="11.42578125" style="394"/>
    <col min="13341" max="13341" width="13.28515625" style="394" customWidth="1"/>
    <col min="13342" max="13347" width="11.42578125" style="394"/>
    <col min="13348" max="13348" width="14.5703125" style="394" customWidth="1"/>
    <col min="13349" max="13568" width="11.42578125" style="394"/>
    <col min="13569" max="13569" width="6.42578125" style="394" customWidth="1"/>
    <col min="13570" max="13570" width="30.7109375" style="394" customWidth="1"/>
    <col min="13571" max="13571" width="19.42578125" style="394" customWidth="1"/>
    <col min="13572" max="13572" width="30.7109375" style="394" customWidth="1"/>
    <col min="13573" max="13575" width="17.85546875" style="394" customWidth="1"/>
    <col min="13576" max="13589" width="15.7109375" style="394" customWidth="1"/>
    <col min="13590" max="13590" width="11.42578125" style="394"/>
    <col min="13591" max="13595" width="15.7109375" style="394" customWidth="1"/>
    <col min="13596" max="13596" width="11.42578125" style="394"/>
    <col min="13597" max="13597" width="13.28515625" style="394" customWidth="1"/>
    <col min="13598" max="13603" width="11.42578125" style="394"/>
    <col min="13604" max="13604" width="14.5703125" style="394" customWidth="1"/>
    <col min="13605" max="13824" width="11.42578125" style="394"/>
    <col min="13825" max="13825" width="6.42578125" style="394" customWidth="1"/>
    <col min="13826" max="13826" width="30.7109375" style="394" customWidth="1"/>
    <col min="13827" max="13827" width="19.42578125" style="394" customWidth="1"/>
    <col min="13828" max="13828" width="30.7109375" style="394" customWidth="1"/>
    <col min="13829" max="13831" width="17.85546875" style="394" customWidth="1"/>
    <col min="13832" max="13845" width="15.7109375" style="394" customWidth="1"/>
    <col min="13846" max="13846" width="11.42578125" style="394"/>
    <col min="13847" max="13851" width="15.7109375" style="394" customWidth="1"/>
    <col min="13852" max="13852" width="11.42578125" style="394"/>
    <col min="13853" max="13853" width="13.28515625" style="394" customWidth="1"/>
    <col min="13854" max="13859" width="11.42578125" style="394"/>
    <col min="13860" max="13860" width="14.5703125" style="394" customWidth="1"/>
    <col min="13861" max="14080" width="11.42578125" style="394"/>
    <col min="14081" max="14081" width="6.42578125" style="394" customWidth="1"/>
    <col min="14082" max="14082" width="30.7109375" style="394" customWidth="1"/>
    <col min="14083" max="14083" width="19.42578125" style="394" customWidth="1"/>
    <col min="14084" max="14084" width="30.7109375" style="394" customWidth="1"/>
    <col min="14085" max="14087" width="17.85546875" style="394" customWidth="1"/>
    <col min="14088" max="14101" width="15.7109375" style="394" customWidth="1"/>
    <col min="14102" max="14102" width="11.42578125" style="394"/>
    <col min="14103" max="14107" width="15.7109375" style="394" customWidth="1"/>
    <col min="14108" max="14108" width="11.42578125" style="394"/>
    <col min="14109" max="14109" width="13.28515625" style="394" customWidth="1"/>
    <col min="14110" max="14115" width="11.42578125" style="394"/>
    <col min="14116" max="14116" width="14.5703125" style="394" customWidth="1"/>
    <col min="14117" max="14336" width="11.42578125" style="394"/>
    <col min="14337" max="14337" width="6.42578125" style="394" customWidth="1"/>
    <col min="14338" max="14338" width="30.7109375" style="394" customWidth="1"/>
    <col min="14339" max="14339" width="19.42578125" style="394" customWidth="1"/>
    <col min="14340" max="14340" width="30.7109375" style="394" customWidth="1"/>
    <col min="14341" max="14343" width="17.85546875" style="394" customWidth="1"/>
    <col min="14344" max="14357" width="15.7109375" style="394" customWidth="1"/>
    <col min="14358" max="14358" width="11.42578125" style="394"/>
    <col min="14359" max="14363" width="15.7109375" style="394" customWidth="1"/>
    <col min="14364" max="14364" width="11.42578125" style="394"/>
    <col min="14365" max="14365" width="13.28515625" style="394" customWidth="1"/>
    <col min="14366" max="14371" width="11.42578125" style="394"/>
    <col min="14372" max="14372" width="14.5703125" style="394" customWidth="1"/>
    <col min="14373" max="14592" width="11.42578125" style="394"/>
    <col min="14593" max="14593" width="6.42578125" style="394" customWidth="1"/>
    <col min="14594" max="14594" width="30.7109375" style="394" customWidth="1"/>
    <col min="14595" max="14595" width="19.42578125" style="394" customWidth="1"/>
    <col min="14596" max="14596" width="30.7109375" style="394" customWidth="1"/>
    <col min="14597" max="14599" width="17.85546875" style="394" customWidth="1"/>
    <col min="14600" max="14613" width="15.7109375" style="394" customWidth="1"/>
    <col min="14614" max="14614" width="11.42578125" style="394"/>
    <col min="14615" max="14619" width="15.7109375" style="394" customWidth="1"/>
    <col min="14620" max="14620" width="11.42578125" style="394"/>
    <col min="14621" max="14621" width="13.28515625" style="394" customWidth="1"/>
    <col min="14622" max="14627" width="11.42578125" style="394"/>
    <col min="14628" max="14628" width="14.5703125" style="394" customWidth="1"/>
    <col min="14629" max="14848" width="11.42578125" style="394"/>
    <col min="14849" max="14849" width="6.42578125" style="394" customWidth="1"/>
    <col min="14850" max="14850" width="30.7109375" style="394" customWidth="1"/>
    <col min="14851" max="14851" width="19.42578125" style="394" customWidth="1"/>
    <col min="14852" max="14852" width="30.7109375" style="394" customWidth="1"/>
    <col min="14853" max="14855" width="17.85546875" style="394" customWidth="1"/>
    <col min="14856" max="14869" width="15.7109375" style="394" customWidth="1"/>
    <col min="14870" max="14870" width="11.42578125" style="394"/>
    <col min="14871" max="14875" width="15.7109375" style="394" customWidth="1"/>
    <col min="14876" max="14876" width="11.42578125" style="394"/>
    <col min="14877" max="14877" width="13.28515625" style="394" customWidth="1"/>
    <col min="14878" max="14883" width="11.42578125" style="394"/>
    <col min="14884" max="14884" width="14.5703125" style="394" customWidth="1"/>
    <col min="14885" max="15104" width="11.42578125" style="394"/>
    <col min="15105" max="15105" width="6.42578125" style="394" customWidth="1"/>
    <col min="15106" max="15106" width="30.7109375" style="394" customWidth="1"/>
    <col min="15107" max="15107" width="19.42578125" style="394" customWidth="1"/>
    <col min="15108" max="15108" width="30.7109375" style="394" customWidth="1"/>
    <col min="15109" max="15111" width="17.85546875" style="394" customWidth="1"/>
    <col min="15112" max="15125" width="15.7109375" style="394" customWidth="1"/>
    <col min="15126" max="15126" width="11.42578125" style="394"/>
    <col min="15127" max="15131" width="15.7109375" style="394" customWidth="1"/>
    <col min="15132" max="15132" width="11.42578125" style="394"/>
    <col min="15133" max="15133" width="13.28515625" style="394" customWidth="1"/>
    <col min="15134" max="15139" width="11.42578125" style="394"/>
    <col min="15140" max="15140" width="14.5703125" style="394" customWidth="1"/>
    <col min="15141" max="15360" width="11.42578125" style="394"/>
    <col min="15361" max="15361" width="6.42578125" style="394" customWidth="1"/>
    <col min="15362" max="15362" width="30.7109375" style="394" customWidth="1"/>
    <col min="15363" max="15363" width="19.42578125" style="394" customWidth="1"/>
    <col min="15364" max="15364" width="30.7109375" style="394" customWidth="1"/>
    <col min="15365" max="15367" width="17.85546875" style="394" customWidth="1"/>
    <col min="15368" max="15381" width="15.7109375" style="394" customWidth="1"/>
    <col min="15382" max="15382" width="11.42578125" style="394"/>
    <col min="15383" max="15387" width="15.7109375" style="394" customWidth="1"/>
    <col min="15388" max="15388" width="11.42578125" style="394"/>
    <col min="15389" max="15389" width="13.28515625" style="394" customWidth="1"/>
    <col min="15390" max="15395" width="11.42578125" style="394"/>
    <col min="15396" max="15396" width="14.5703125" style="394" customWidth="1"/>
    <col min="15397" max="15616" width="11.42578125" style="394"/>
    <col min="15617" max="15617" width="6.42578125" style="394" customWidth="1"/>
    <col min="15618" max="15618" width="30.7109375" style="394" customWidth="1"/>
    <col min="15619" max="15619" width="19.42578125" style="394" customWidth="1"/>
    <col min="15620" max="15620" width="30.7109375" style="394" customWidth="1"/>
    <col min="15621" max="15623" width="17.85546875" style="394" customWidth="1"/>
    <col min="15624" max="15637" width="15.7109375" style="394" customWidth="1"/>
    <col min="15638" max="15638" width="11.42578125" style="394"/>
    <col min="15639" max="15643" width="15.7109375" style="394" customWidth="1"/>
    <col min="15644" max="15644" width="11.42578125" style="394"/>
    <col min="15645" max="15645" width="13.28515625" style="394" customWidth="1"/>
    <col min="15646" max="15651" width="11.42578125" style="394"/>
    <col min="15652" max="15652" width="14.5703125" style="394" customWidth="1"/>
    <col min="15653" max="15872" width="11.42578125" style="394"/>
    <col min="15873" max="15873" width="6.42578125" style="394" customWidth="1"/>
    <col min="15874" max="15874" width="30.7109375" style="394" customWidth="1"/>
    <col min="15875" max="15875" width="19.42578125" style="394" customWidth="1"/>
    <col min="15876" max="15876" width="30.7109375" style="394" customWidth="1"/>
    <col min="15877" max="15879" width="17.85546875" style="394" customWidth="1"/>
    <col min="15880" max="15893" width="15.7109375" style="394" customWidth="1"/>
    <col min="15894" max="15894" width="11.42578125" style="394"/>
    <col min="15895" max="15899" width="15.7109375" style="394" customWidth="1"/>
    <col min="15900" max="15900" width="11.42578125" style="394"/>
    <col min="15901" max="15901" width="13.28515625" style="394" customWidth="1"/>
    <col min="15902" max="15907" width="11.42578125" style="394"/>
    <col min="15908" max="15908" width="14.5703125" style="394" customWidth="1"/>
    <col min="15909" max="16128" width="11.42578125" style="394"/>
    <col min="16129" max="16129" width="6.42578125" style="394" customWidth="1"/>
    <col min="16130" max="16130" width="30.7109375" style="394" customWidth="1"/>
    <col min="16131" max="16131" width="19.42578125" style="394" customWidth="1"/>
    <col min="16132" max="16132" width="30.7109375" style="394" customWidth="1"/>
    <col min="16133" max="16135" width="17.85546875" style="394" customWidth="1"/>
    <col min="16136" max="16149" width="15.7109375" style="394" customWidth="1"/>
    <col min="16150" max="16150" width="11.42578125" style="394"/>
    <col min="16151" max="16155" width="15.7109375" style="394" customWidth="1"/>
    <col min="16156" max="16156" width="11.42578125" style="394"/>
    <col min="16157" max="16157" width="13.28515625" style="394" customWidth="1"/>
    <col min="16158" max="16163" width="11.42578125" style="394"/>
    <col min="16164" max="16164" width="14.5703125" style="394" customWidth="1"/>
    <col min="16165" max="16384" width="11.42578125" style="394"/>
  </cols>
  <sheetData>
    <row r="1" spans="1:37">
      <c r="A1" s="390"/>
      <c r="B1" s="391"/>
      <c r="C1" s="391"/>
      <c r="D1" s="391"/>
      <c r="E1" s="392"/>
      <c r="F1" s="392"/>
      <c r="G1" s="392"/>
      <c r="H1" s="419" t="s">
        <v>27</v>
      </c>
      <c r="I1" s="419"/>
      <c r="J1" s="419"/>
      <c r="K1" s="419"/>
      <c r="L1" s="419"/>
      <c r="M1" s="419"/>
      <c r="N1" s="419"/>
      <c r="O1" s="419"/>
      <c r="P1" s="419"/>
      <c r="Q1" s="419"/>
      <c r="R1" s="419"/>
      <c r="S1" s="419"/>
      <c r="T1" s="419"/>
      <c r="U1" s="419"/>
      <c r="W1" s="392"/>
      <c r="X1" s="419" t="s">
        <v>26</v>
      </c>
      <c r="Y1" s="419"/>
      <c r="Z1" s="419"/>
      <c r="AA1" s="419"/>
      <c r="AB1" s="419"/>
      <c r="AC1" s="419"/>
      <c r="AD1" s="419"/>
      <c r="AE1" s="419"/>
      <c r="AF1" s="419"/>
      <c r="AG1" s="419"/>
      <c r="AH1" s="419"/>
      <c r="AI1" s="419"/>
      <c r="AJ1" s="419"/>
      <c r="AK1" s="419"/>
    </row>
    <row r="2" spans="1:37" ht="24" customHeight="1">
      <c r="A2" s="395"/>
      <c r="B2" s="396"/>
      <c r="C2" s="396"/>
      <c r="D2" s="396"/>
      <c r="E2" s="392" t="s">
        <v>616</v>
      </c>
      <c r="F2" s="392"/>
      <c r="G2" s="392"/>
      <c r="H2" s="392" t="s">
        <v>28</v>
      </c>
      <c r="I2" s="392" t="s">
        <v>29</v>
      </c>
      <c r="J2" s="392" t="s">
        <v>30</v>
      </c>
      <c r="K2" s="392" t="s">
        <v>31</v>
      </c>
      <c r="L2" s="392" t="s">
        <v>32</v>
      </c>
      <c r="M2" s="392" t="s">
        <v>33</v>
      </c>
      <c r="N2" s="392" t="s">
        <v>34</v>
      </c>
      <c r="O2" s="392" t="s">
        <v>35</v>
      </c>
      <c r="P2" s="392" t="s">
        <v>36</v>
      </c>
      <c r="Q2" s="392" t="s">
        <v>37</v>
      </c>
      <c r="R2" s="392" t="s">
        <v>38</v>
      </c>
      <c r="S2" s="392" t="s">
        <v>39</v>
      </c>
      <c r="T2" s="392" t="s">
        <v>40</v>
      </c>
      <c r="U2" s="392" t="s">
        <v>41</v>
      </c>
      <c r="W2" s="392"/>
      <c r="X2" s="392" t="s">
        <v>28</v>
      </c>
      <c r="Y2" s="392" t="s">
        <v>29</v>
      </c>
      <c r="Z2" s="392" t="s">
        <v>30</v>
      </c>
      <c r="AA2" s="392" t="s">
        <v>31</v>
      </c>
      <c r="AB2" s="392" t="s">
        <v>32</v>
      </c>
      <c r="AC2" s="392" t="s">
        <v>33</v>
      </c>
      <c r="AD2" s="392" t="s">
        <v>34</v>
      </c>
      <c r="AE2" s="392" t="s">
        <v>35</v>
      </c>
      <c r="AF2" s="392" t="s">
        <v>36</v>
      </c>
      <c r="AG2" s="392" t="s">
        <v>37</v>
      </c>
      <c r="AH2" s="392" t="s">
        <v>38</v>
      </c>
      <c r="AI2" s="392" t="s">
        <v>39</v>
      </c>
      <c r="AJ2" s="392" t="s">
        <v>40</v>
      </c>
      <c r="AK2" s="392" t="s">
        <v>41</v>
      </c>
    </row>
    <row r="3" spans="1:37" ht="27" customHeight="1">
      <c r="A3" s="419" t="s">
        <v>42</v>
      </c>
      <c r="B3" s="419"/>
      <c r="C3" s="420"/>
      <c r="D3" s="420"/>
      <c r="E3" s="397">
        <v>13853951000</v>
      </c>
      <c r="F3" s="397"/>
      <c r="G3" s="397"/>
      <c r="H3" s="398">
        <f>+'Metas 1'!Q22+'Metas 2'!Q22+'Metas 3'!Q22+'Metas 4 (Contrato relevos)'!Q22+'Metas 5'!Q22+'Metas 6 (ONU Mujeres)'!Q22+'Metas 7 (Unidades Moviles)'!Q22</f>
        <v>6726921106</v>
      </c>
      <c r="I3" s="398">
        <f>+'Metas 1'!R22+'Metas 2'!R22+'Metas 3'!R22+'Metas 4 (Contrato relevos)'!R22+'Metas 5'!R22+'Metas 6 (ONU Mujeres)'!R22+'Metas 7 (Unidades Moviles)'!R22</f>
        <v>90000000</v>
      </c>
      <c r="J3" s="398">
        <f>+'Metas 1'!S22+'Metas 2'!S22+'Metas 3'!S22+'Metas 4 (Contrato relevos)'!S22+'Metas 5'!S22+'Metas 6 (ONU Mujeres)'!S22+'Metas 7 (Unidades Moviles)'!S22</f>
        <v>2262603187</v>
      </c>
      <c r="K3" s="398">
        <f>+'Metas 1'!T22+'Metas 2'!T22+'Metas 3'!T22+'Metas 4 (Contrato relevos)'!T22+'Metas 5'!T22+'Metas 6 (ONU Mujeres)'!T22+'Metas 7 (Unidades Moviles)'!T22</f>
        <v>87122000</v>
      </c>
      <c r="L3" s="398">
        <f>+'Metas 1'!U22+'Metas 2'!U22+'Metas 3'!U22+'Metas 4 (Contrato relevos)'!U22+'Metas 5'!U22+'Metas 6 (ONU Mujeres)'!U22+'Metas 7 (Unidades Moviles)'!U22</f>
        <v>4217725695</v>
      </c>
      <c r="M3" s="398">
        <f>+'Metas 1'!V22+'Metas 2'!V22+'Metas 3'!V22+'Metas 4 (Contrato relevos)'!V22+'Metas 5'!V22+'Metas 6 (ONU Mujeres)'!V22+'Metas 7 (Unidades Moviles)'!V22</f>
        <v>22959012</v>
      </c>
      <c r="N3" s="398">
        <f>+'Metas 1'!W22+'Metas 2'!W22+'Metas 3'!W22+'Metas 4 (Contrato relevos)'!W22+'Metas 5'!W22+'Metas 6 (ONU Mujeres)'!W22+'Metas 7 (Unidades Moviles)'!W22</f>
        <v>49000000</v>
      </c>
      <c r="O3" s="398">
        <f>+'Metas 1'!X22+'Metas 2'!X22+'Metas 3'!X22+'Metas 4 (Contrato relevos)'!X22+'Metas 5'!X22+'Metas 6 (ONU Mujeres)'!X22+'Metas 7 (Unidades Moviles)'!X22</f>
        <v>397620000</v>
      </c>
      <c r="P3" s="398">
        <f>+'Metas 1'!Y22+'Metas 2'!Y22+'Metas 3'!Y22+'Metas 4 (Contrato relevos)'!Y22+'Metas 5'!Y22+'Metas 6 (ONU Mujeres)'!Y22+'Metas 7 (Unidades Moviles)'!Y22</f>
        <v>0</v>
      </c>
      <c r="Q3" s="398">
        <f>+'Metas 1'!Z22+'Metas 2'!Z22+'Metas 3'!Z22+'Metas 4 (Contrato relevos)'!Z22+'Metas 5'!Z22+'Metas 6 (ONU Mujeres)'!Z22+'Metas 7 (Unidades Moviles)'!Z22</f>
        <v>0</v>
      </c>
      <c r="R3" s="398">
        <f>+'Metas 1'!AA22+'Metas 2'!AA22+'Metas 3'!AA22+'Metas 4 (Contrato relevos)'!AA22+'Metas 5'!AA22+'Metas 6 (ONU Mujeres)'!AA22+'Metas 7 (Unidades Moviles)'!AA22</f>
        <v>0</v>
      </c>
      <c r="S3" s="398">
        <f>+'Metas 1'!AB22+'Metas 2'!AB22+'Metas 3'!AB22+'Metas 4 (Contrato relevos)'!AB22+'Metas 5'!AB22+'Metas 6 (ONU Mujeres)'!AB22+'Metas 7 (Unidades Moviles)'!AB22</f>
        <v>0</v>
      </c>
      <c r="T3" s="398">
        <f>SUM(H3:S3)</f>
        <v>13853951000</v>
      </c>
      <c r="U3" s="399"/>
      <c r="W3" s="399"/>
      <c r="X3" s="398">
        <f>+'Metas 1'!C22+'Metas 2'!C22+'Metas 3'!C22+'Metas 4 (Contrato relevos)'!C22+'Metas 5'!C22+'Metas 6 (ONU Mujeres)'!C22+'Metas 7 (Unidades Moviles)'!C22</f>
        <v>0</v>
      </c>
      <c r="Y3" s="398">
        <f>+'Metas 1'!D22+'Metas 2'!D22+'Metas 3'!D22+'Metas 4 (Contrato relevos)'!D22+'Metas 5'!D22+'Metas 6 (ONU Mujeres)'!D22+'Metas 7 (Unidades Moviles)'!D22</f>
        <v>0</v>
      </c>
      <c r="Z3" s="398">
        <f>+'Metas 1'!E22+'Metas 2'!E22+'Metas 3'!E22+'Metas 4 (Contrato relevos)'!E22+'Metas 5'!E22+'Metas 6 (ONU Mujeres)'!E22+'Metas 7 (Unidades Moviles)'!E22</f>
        <v>0</v>
      </c>
      <c r="AA3" s="398">
        <f>+'Metas 1'!F22+'Metas 2'!F22+'Metas 3'!F22+'Metas 4 (Contrato relevos)'!F22+'Metas 5'!F22+'Metas 6 (ONU Mujeres)'!F22+'Metas 7 (Unidades Moviles)'!F22</f>
        <v>0</v>
      </c>
      <c r="AB3" s="398">
        <f>+'Metas 1'!G22+'Metas 2'!G22+'Metas 3'!G22+'Metas 4 (Contrato relevos)'!G22+'Metas 5'!G22+'Metas 6 (ONU Mujeres)'!G22+'Metas 7 (Unidades Moviles)'!G22</f>
        <v>0</v>
      </c>
      <c r="AC3" s="398">
        <f>+'Metas 1'!H22+'Metas 2'!H22+'Metas 3'!H22+'Metas 4 (Contrato relevos)'!H22+'Metas 5'!H22+'Metas 6 (ONU Mujeres)'!H22+'Metas 7 (Unidades Moviles)'!H22</f>
        <v>0</v>
      </c>
      <c r="AD3" s="398">
        <f>+'Metas 1'!I22+'Metas 2'!I22+'Metas 3'!I22+'Metas 4 (Contrato relevos)'!I22+'Metas 5'!I22+'Metas 6 (ONU Mujeres)'!I22+'Metas 7 (Unidades Moviles)'!I22</f>
        <v>0</v>
      </c>
      <c r="AE3" s="398">
        <f>+'Metas 1'!J22+'Metas 2'!J22+'Metas 3'!J22+'Metas 4 (Contrato relevos)'!J22+'Metas 5'!J22+'Metas 6 (ONU Mujeres)'!J22+'Metas 7 (Unidades Moviles)'!J22</f>
        <v>0</v>
      </c>
      <c r="AF3" s="398">
        <f>+'Metas 1'!K22+'Metas 2'!K22+'Metas 3'!K22+'Metas 4 (Contrato relevos)'!K22+'Metas 5'!K22+'Metas 6 (ONU Mujeres)'!K22+'Metas 7 (Unidades Moviles)'!K22</f>
        <v>0</v>
      </c>
      <c r="AG3" s="398">
        <f>+'Metas 1'!L22+'Metas 2'!L22+'Metas 3'!L22+'Metas 4 (Contrato relevos)'!L22+'Metas 5'!L22+'Metas 6 (ONU Mujeres)'!L22+'Metas 7 (Unidades Moviles)'!L22</f>
        <v>0</v>
      </c>
      <c r="AH3" s="398">
        <f>+'Metas 1'!M22+'Metas 2'!M22+'Metas 3'!M22+'Metas 4 (Contrato relevos)'!M22+'Metas 5'!M22+'Metas 6 (ONU Mujeres)'!M22+'Metas 7 (Unidades Moviles)'!M22</f>
        <v>0</v>
      </c>
      <c r="AI3" s="398">
        <f>+'Metas 1'!N22+'Metas 2'!N22+'Metas 3'!N22+'Metas 4 (Contrato relevos)'!N22+'Metas 5'!N22+'Metas 6 (ONU Mujeres)'!N22+'Metas 7 (Unidades Moviles)'!N22</f>
        <v>0</v>
      </c>
      <c r="AJ3" s="398">
        <f>SUM(X3:AI3)</f>
        <v>0</v>
      </c>
      <c r="AK3" s="400"/>
    </row>
    <row r="4" spans="1:37" ht="27" customHeight="1">
      <c r="A4" s="419" t="s">
        <v>43</v>
      </c>
      <c r="B4" s="419"/>
      <c r="C4" s="420"/>
      <c r="D4" s="420"/>
      <c r="E4" s="399"/>
      <c r="F4" s="399"/>
      <c r="G4" s="399"/>
      <c r="H4" s="398">
        <f>+'Metas 1'!Q23+'Metas 2'!Q23+'Metas 3'!Q23+'Metas 4 (Contrato relevos)'!Q23+'Metas 5'!Q23+'Metas 6 (ONU Mujeres)'!Q23+'Metas 7 (Unidades Moviles)'!Q23</f>
        <v>6689497774</v>
      </c>
      <c r="I4" s="398">
        <f>+'Metas 1'!R23+'Metas 2'!R23+'Metas 3'!R23+'Metas 4 (Contrato relevos)'!R23+'Metas 5'!R23+'Metas 6 (ONU Mujeres)'!R23+'Metas 7 (Unidades Moviles)'!R23</f>
        <v>0</v>
      </c>
      <c r="J4" s="398">
        <f>+'Metas 1'!S23+'Metas 2'!S23+'Metas 3'!S23+'Metas 4 (Contrato relevos)'!S23+'Metas 5'!S23+'Metas 6 (ONU Mujeres)'!S23+'Metas 7 (Unidades Moviles)'!S23</f>
        <v>0</v>
      </c>
      <c r="K4" s="398">
        <f>+'Metas 1'!T23+'Metas 2'!T23+'Metas 3'!T23+'Metas 4 (Contrato relevos)'!T23+'Metas 5'!T23+'Metas 6 (ONU Mujeres)'!T23+'Metas 7 (Unidades Moviles)'!T23</f>
        <v>0</v>
      </c>
      <c r="L4" s="398">
        <f>+'Metas 1'!U23+'Metas 2'!U23+'Metas 3'!U23+'Metas 4 (Contrato relevos)'!U23+'Metas 5'!U23+'Metas 6 (ONU Mujeres)'!U23+'Metas 7 (Unidades Moviles)'!U23</f>
        <v>0</v>
      </c>
      <c r="M4" s="398">
        <f>+'Metas 1'!V23+'Metas 2'!V23+'Metas 3'!V23+'Metas 4 (Contrato relevos)'!V23+'Metas 5'!V23+'Metas 6 (ONU Mujeres)'!V23+'Metas 7 (Unidades Moviles)'!V23</f>
        <v>0</v>
      </c>
      <c r="N4" s="398">
        <f>+'Metas 1'!W23+'Metas 2'!W23+'Metas 3'!W23+'Metas 4 (Contrato relevos)'!W23+'Metas 5'!W23+'Metas 6 (ONU Mujeres)'!W23+'Metas 7 (Unidades Moviles)'!W23</f>
        <v>0</v>
      </c>
      <c r="O4" s="398">
        <f>+'Metas 1'!X23+'Metas 2'!X23+'Metas 3'!X23+'Metas 4 (Contrato relevos)'!X23+'Metas 5'!X23+'Metas 6 (ONU Mujeres)'!X23+'Metas 7 (Unidades Moviles)'!X23</f>
        <v>0</v>
      </c>
      <c r="P4" s="398">
        <f>+'Metas 1'!Y23+'Metas 2'!Y23+'Metas 3'!Y23+'Metas 4 (Contrato relevos)'!Y23+'Metas 5'!Y23+'Metas 6 (ONU Mujeres)'!Y23+'Metas 7 (Unidades Moviles)'!Y23</f>
        <v>0</v>
      </c>
      <c r="Q4" s="398">
        <f>+'Metas 1'!Z23+'Metas 2'!Z23+'Metas 3'!Z23+'Metas 4 (Contrato relevos)'!Z23+'Metas 5'!Z23+'Metas 6 (ONU Mujeres)'!Z23+'Metas 7 (Unidades Moviles)'!Z23</f>
        <v>0</v>
      </c>
      <c r="R4" s="398">
        <f>+'Metas 1'!AA23+'Metas 2'!AA23+'Metas 3'!AA23+'Metas 4 (Contrato relevos)'!AA23+'Metas 5'!AA23+'Metas 6 (ONU Mujeres)'!AA23+'Metas 7 (Unidades Moviles)'!AA23</f>
        <v>0</v>
      </c>
      <c r="S4" s="398">
        <f>+'Metas 1'!AB23+'Metas 2'!AB23+'Metas 3'!AB23+'Metas 4 (Contrato relevos)'!AB23+'Metas 5'!AB23+'Metas 6 (ONU Mujeres)'!AB23+'Metas 7 (Unidades Moviles)'!AB23</f>
        <v>0</v>
      </c>
      <c r="T4" s="398">
        <f>SUM(H4:S4)</f>
        <v>6689497774</v>
      </c>
      <c r="U4" s="399">
        <f>IFERROR(T4/(SUMIF(H4:S4,"&gt;0",H3:S3))," ")</f>
        <v>0.99443678149181491</v>
      </c>
      <c r="W4" s="399"/>
      <c r="X4" s="398">
        <f>+'Metas 1'!C23+'Metas 2'!C23+'Metas 3'!C23+'Metas 4 (Contrato relevos)'!C23+'Metas 5'!C23+'Metas 6 (ONU Mujeres)'!C23+'Metas 7 (Unidades Moviles)'!C23</f>
        <v>0</v>
      </c>
      <c r="Y4" s="398">
        <f>+'Metas 1'!D23+'Metas 2'!D23+'Metas 3'!D23+'Metas 4 (Contrato relevos)'!D23+'Metas 5'!D23+'Metas 6 (ONU Mujeres)'!D23+'Metas 7 (Unidades Moviles)'!D23</f>
        <v>0</v>
      </c>
      <c r="Z4" s="398">
        <f>+'Metas 1'!E23+'Metas 2'!E23+'Metas 3'!E23+'Metas 4 (Contrato relevos)'!E23+'Metas 5'!E23+'Metas 6 (ONU Mujeres)'!E23+'Metas 7 (Unidades Moviles)'!E23</f>
        <v>0</v>
      </c>
      <c r="AA4" s="398">
        <f>+'Metas 1'!F23+'Metas 2'!F23+'Metas 3'!F23+'Metas 4 (Contrato relevos)'!F23+'Metas 5'!F23+'Metas 6 (ONU Mujeres)'!F23+'Metas 7 (Unidades Moviles)'!F23</f>
        <v>0</v>
      </c>
      <c r="AB4" s="398">
        <f>+'Metas 1'!G23+'Metas 2'!G23+'Metas 3'!G23+'Metas 4 (Contrato relevos)'!G23+'Metas 5'!G23+'Metas 6 (ONU Mujeres)'!G23+'Metas 7 (Unidades Moviles)'!G23</f>
        <v>0</v>
      </c>
      <c r="AC4" s="398">
        <f>+'Metas 1'!H23+'Metas 2'!H23+'Metas 3'!H23+'Metas 4 (Contrato relevos)'!H23+'Metas 5'!H23+'Metas 6 (ONU Mujeres)'!H23+'Metas 7 (Unidades Moviles)'!H23</f>
        <v>0</v>
      </c>
      <c r="AD4" s="398">
        <f>+'Metas 1'!I23+'Metas 2'!I23+'Metas 3'!I23+'Metas 4 (Contrato relevos)'!I23+'Metas 5'!I23+'Metas 6 (ONU Mujeres)'!I23+'Metas 7 (Unidades Moviles)'!I23</f>
        <v>0</v>
      </c>
      <c r="AE4" s="398">
        <f>+'Metas 1'!J23+'Metas 2'!J23+'Metas 3'!J23+'Metas 4 (Contrato relevos)'!J23+'Metas 5'!J23+'Metas 6 (ONU Mujeres)'!J23+'Metas 7 (Unidades Moviles)'!J23</f>
        <v>0</v>
      </c>
      <c r="AF4" s="398">
        <f>+'Metas 1'!K23+'Metas 2'!K23+'Metas 3'!K23+'Metas 4 (Contrato relevos)'!K23+'Metas 5'!K23+'Metas 6 (ONU Mujeres)'!K23+'Metas 7 (Unidades Moviles)'!K23</f>
        <v>0</v>
      </c>
      <c r="AG4" s="398">
        <f>+'Metas 1'!L23+'Metas 2'!L23+'Metas 3'!L23+'Metas 4 (Contrato relevos)'!L23+'Metas 5'!L23+'Metas 6 (ONU Mujeres)'!L23+'Metas 7 (Unidades Moviles)'!L23</f>
        <v>0</v>
      </c>
      <c r="AH4" s="398">
        <f>+'Metas 1'!M23+'Metas 2'!M23+'Metas 3'!M23+'Metas 4 (Contrato relevos)'!M23+'Metas 5'!M23+'Metas 6 (ONU Mujeres)'!M23+'Metas 7 (Unidades Moviles)'!M23</f>
        <v>0</v>
      </c>
      <c r="AI4" s="398">
        <f>+'Metas 1'!N23+'Metas 2'!N23+'Metas 3'!N23+'Metas 4 (Contrato relevos)'!N23+'Metas 5'!N23+'Metas 6 (ONU Mujeres)'!N23+'Metas 7 (Unidades Moviles)'!N23</f>
        <v>0</v>
      </c>
      <c r="AJ4" s="398" t="s">
        <v>166</v>
      </c>
      <c r="AK4" s="400"/>
    </row>
    <row r="5" spans="1:37" ht="27" customHeight="1">
      <c r="A5" s="419" t="s">
        <v>44</v>
      </c>
      <c r="B5" s="419"/>
      <c r="C5" s="420"/>
      <c r="D5" s="420"/>
      <c r="E5" s="397">
        <v>13853951000</v>
      </c>
      <c r="F5" s="397"/>
      <c r="G5" s="397"/>
      <c r="H5" s="398">
        <f>+'Metas 1'!Q24+'Metas 2'!Q24+'Metas 3'!Q24+'Metas 4 (Contrato relevos)'!Q24+'Metas 5'!Q24+'Metas 6 (ONU Mujeres)'!Q24+'Metas 7 (Unidades Moviles)'!Q24</f>
        <v>0</v>
      </c>
      <c r="I5" s="398">
        <f>+'Metas 1'!R24+'Metas 2'!R24+'Metas 3'!R24+'Metas 4 (Contrato relevos)'!R24+'Metas 5'!R24+'Metas 6 (ONU Mujeres)'!R24+'Metas 7 (Unidades Moviles)'!R24</f>
        <v>285410170.99999994</v>
      </c>
      <c r="J5" s="398">
        <f>+'Metas 1'!S24+'Metas 2'!S24+'Metas 3'!S24+'Metas 4 (Contrato relevos)'!S24+'Metas 5'!S24+'Metas 6 (ONU Mujeres)'!S24+'Metas 7 (Unidades Moviles)'!S24</f>
        <v>589199007</v>
      </c>
      <c r="K5" s="398">
        <f>+'Metas 1'!T24+'Metas 2'!T24+'Metas 3'!T24+'Metas 4 (Contrato relevos)'!T24+'Metas 5'!T24+'Metas 6 (ONU Mujeres)'!T24+'Metas 7 (Unidades Moviles)'!T24</f>
        <v>602699007</v>
      </c>
      <c r="L5" s="398">
        <f>+'Metas 1'!U24+'Metas 2'!U24+'Metas 3'!U24+'Metas 4 (Contrato relevos)'!U24+'Metas 5'!U24+'Metas 6 (ONU Mujeres)'!U24+'Metas 7 (Unidades Moviles)'!U24</f>
        <v>1109990533</v>
      </c>
      <c r="M5" s="398">
        <f>+'Metas 1'!V24+'Metas 2'!V24+'Metas 3'!V24+'Metas 4 (Contrato relevos)'!V24+'Metas 5'!V24+'Metas 6 (ONU Mujeres)'!V24+'Metas 7 (Unidades Moviles)'!V24</f>
        <v>1107838917</v>
      </c>
      <c r="N5" s="398">
        <f>+'Metas 1'!W24+'Metas 2'!W24+'Metas 3'!W24+'Metas 4 (Contrato relevos)'!W24+'Metas 5'!W24+'Metas 6 (ONU Mujeres)'!W24+'Metas 7 (Unidades Moviles)'!W24</f>
        <v>2020257523</v>
      </c>
      <c r="O5" s="398">
        <f>+'Metas 1'!X24+'Metas 2'!X24+'Metas 3'!X24+'Metas 4 (Contrato relevos)'!X24+'Metas 5'!X24+'Metas 6 (ONU Mujeres)'!X24+'Metas 7 (Unidades Moviles)'!X24</f>
        <v>1317997659</v>
      </c>
      <c r="P5" s="398">
        <f>+'Metas 1'!Y24+'Metas 2'!Y24+'Metas 3'!Y24+'Metas 4 (Contrato relevos)'!Y24+'Metas 5'!Y24+'Metas 6 (ONU Mujeres)'!Y24+'Metas 7 (Unidades Moviles)'!Y24</f>
        <v>1256790005</v>
      </c>
      <c r="Q5" s="398">
        <f>+'Metas 1'!Z24+'Metas 2'!Z24+'Metas 3'!Z24+'Metas 4 (Contrato relevos)'!Z24+'Metas 5'!Z24+'Metas 6 (ONU Mujeres)'!Z24+'Metas 7 (Unidades Moviles)'!Z24</f>
        <v>1257597658</v>
      </c>
      <c r="R5" s="398">
        <f>+'Metas 1'!AA24+'Metas 2'!AA24+'Metas 3'!AA24+'Metas 4 (Contrato relevos)'!AA24+'Metas 5'!AA24+'Metas 6 (ONU Mujeres)'!AA24+'Metas 7 (Unidades Moviles)'!AA24</f>
        <v>1384124327</v>
      </c>
      <c r="S5" s="398">
        <f>+'Metas 1'!AB24+'Metas 2'!AB24+'Metas 3'!AB24+'Metas 4 (Contrato relevos)'!AB24+'Metas 5'!AB24+'Metas 6 (ONU Mujeres)'!AB24+'Metas 7 (Unidades Moviles)'!AB24</f>
        <v>2922046193</v>
      </c>
      <c r="T5" s="398">
        <f>SUM(H5:S5)</f>
        <v>13853951000</v>
      </c>
      <c r="U5" s="399"/>
      <c r="W5" s="399"/>
      <c r="X5" s="398">
        <f>+'Metas 1'!C24+'Metas 2'!C24+'Metas 3'!C24+'Metas 4 (Contrato relevos)'!C24+'Metas 5'!C24+'Metas 6 (ONU Mujeres)'!C24+'Metas 7 (Unidades Moviles)'!C24</f>
        <v>0</v>
      </c>
      <c r="Y5" s="398">
        <f>+'Metas 1'!D24+'Metas 2'!D24+'Metas 3'!D24+'Metas 4 (Contrato relevos)'!D24+'Metas 5'!D24+'Metas 6 (ONU Mujeres)'!D24+'Metas 7 (Unidades Moviles)'!D24</f>
        <v>1266253814</v>
      </c>
      <c r="Z5" s="398">
        <f>+'Metas 1'!E24+'Metas 2'!E24+'Metas 3'!E24+'Metas 4 (Contrato relevos)'!E24+'Metas 5'!E24+'Metas 6 (ONU Mujeres)'!E24+'Metas 7 (Unidades Moviles)'!E24</f>
        <v>1761231700</v>
      </c>
      <c r="AA5" s="398">
        <f>+'Metas 1'!F24+'Metas 2'!F24+'Metas 3'!F24+'Metas 4 (Contrato relevos)'!F24+'Metas 5'!F24+'Metas 6 (ONU Mujeres)'!F24+'Metas 7 (Unidades Moviles)'!F24</f>
        <v>1796573922</v>
      </c>
      <c r="AB5" s="398">
        <f>+'Metas 1'!G24+'Metas 2'!G24+'Metas 3'!G24+'Metas 4 (Contrato relevos)'!G24+'Metas 5'!G24+'Metas 6 (ONU Mujeres)'!G24+'Metas 7 (Unidades Moviles)'!G24</f>
        <v>928996922</v>
      </c>
      <c r="AC5" s="398">
        <f>+'Metas 1'!H24+'Metas 2'!H24+'Metas 3'!H24+'Metas 4 (Contrato relevos)'!H24+'Metas 5'!H24+'Metas 6 (ONU Mujeres)'!H24+'Metas 7 (Unidades Moviles)'!H24</f>
        <v>0</v>
      </c>
      <c r="AD5" s="398">
        <f>+'Metas 1'!I24+'Metas 2'!I24+'Metas 3'!I24+'Metas 4 (Contrato relevos)'!I24+'Metas 5'!I24+'Metas 6 (ONU Mujeres)'!I24+'Metas 7 (Unidades Moviles)'!I24</f>
        <v>0</v>
      </c>
      <c r="AE5" s="398">
        <f>+'Metas 1'!J24+'Metas 2'!J24+'Metas 3'!J24+'Metas 4 (Contrato relevos)'!J24+'Metas 5'!J24+'Metas 6 (ONU Mujeres)'!J24+'Metas 7 (Unidades Moviles)'!J24</f>
        <v>0</v>
      </c>
      <c r="AF5" s="398">
        <f>+'Metas 1'!K24+'Metas 2'!K24+'Metas 3'!K24+'Metas 4 (Contrato relevos)'!K24+'Metas 5'!K24+'Metas 6 (ONU Mujeres)'!K24+'Metas 7 (Unidades Moviles)'!K24</f>
        <v>0</v>
      </c>
      <c r="AG5" s="398">
        <f>+'Metas 1'!L24+'Metas 2'!L24+'Metas 3'!L24+'Metas 4 (Contrato relevos)'!L24+'Metas 5'!L24+'Metas 6 (ONU Mujeres)'!L24+'Metas 7 (Unidades Moviles)'!L24</f>
        <v>0</v>
      </c>
      <c r="AH5" s="398">
        <f>+'Metas 1'!M24+'Metas 2'!M24+'Metas 3'!M24+'Metas 4 (Contrato relevos)'!M24+'Metas 5'!M24+'Metas 6 (ONU Mujeres)'!M24+'Metas 7 (Unidades Moviles)'!M24</f>
        <v>0</v>
      </c>
      <c r="AI5" s="398">
        <f>+'Metas 1'!N24+'Metas 2'!N24+'Metas 3'!N24+'Metas 4 (Contrato relevos)'!N24+'Metas 5'!N24+'Metas 6 (ONU Mujeres)'!N24+'Metas 7 (Unidades Moviles)'!N24</f>
        <v>0</v>
      </c>
      <c r="AJ5" s="398">
        <f>SUM(X5:AI5)</f>
        <v>5753056358</v>
      </c>
      <c r="AK5" s="400"/>
    </row>
    <row r="6" spans="1:37" ht="27" customHeight="1">
      <c r="A6" s="419" t="s">
        <v>45</v>
      </c>
      <c r="B6" s="419"/>
      <c r="C6" s="420"/>
      <c r="D6" s="420"/>
      <c r="E6" s="399"/>
      <c r="F6" s="399"/>
      <c r="G6" s="399"/>
      <c r="H6" s="398">
        <f>+'Metas 1'!Q25+'Metas 2'!Q25+'Metas 3'!Q25+'Metas 4 (Contrato relevos)'!Q25+'Metas 5'!Q25+'Metas 6 (ONU Mujeres)'!Q25+'Metas 7 (Unidades Moviles)'!Q25</f>
        <v>0</v>
      </c>
      <c r="I6" s="398">
        <f>+'Metas 1'!R25+'Metas 2'!R25+'Metas 3'!R25+'Metas 4 (Contrato relevos)'!R25+'Metas 5'!R25+'Metas 6 (ONU Mujeres)'!R25+'Metas 7 (Unidades Moviles)'!R25</f>
        <v>0</v>
      </c>
      <c r="J6" s="398">
        <f>+'Metas 1'!S25+'Metas 2'!S25+'Metas 3'!S25+'Metas 4 (Contrato relevos)'!S25+'Metas 5'!S25+'Metas 6 (ONU Mujeres)'!S25+'Metas 7 (Unidades Moviles)'!S25</f>
        <v>0</v>
      </c>
      <c r="K6" s="398">
        <f>+'Metas 1'!T25+'Metas 2'!T25+'Metas 3'!T25+'Metas 4 (Contrato relevos)'!T25+'Metas 5'!T25+'Metas 6 (ONU Mujeres)'!T25+'Metas 7 (Unidades Moviles)'!T25</f>
        <v>0</v>
      </c>
      <c r="L6" s="398">
        <f>+'Metas 1'!U25+'Metas 2'!U25+'Metas 3'!U25+'Metas 4 (Contrato relevos)'!U25+'Metas 5'!U25+'Metas 6 (ONU Mujeres)'!U25+'Metas 7 (Unidades Moviles)'!U25</f>
        <v>0</v>
      </c>
      <c r="M6" s="398">
        <f>+'Metas 1'!V25+'Metas 2'!V25+'Metas 3'!V25+'Metas 4 (Contrato relevos)'!V25+'Metas 5'!V25+'Metas 6 (ONU Mujeres)'!V25+'Metas 7 (Unidades Moviles)'!V25</f>
        <v>0</v>
      </c>
      <c r="N6" s="398">
        <f>+'Metas 1'!W25+'Metas 2'!W25+'Metas 3'!W25+'Metas 4 (Contrato relevos)'!W25+'Metas 5'!W25+'Metas 6 (ONU Mujeres)'!W25+'Metas 7 (Unidades Moviles)'!W25</f>
        <v>0</v>
      </c>
      <c r="O6" s="398">
        <f>+'Metas 1'!X25+'Metas 2'!X25+'Metas 3'!X25+'Metas 4 (Contrato relevos)'!X25+'Metas 5'!X25+'Metas 6 (ONU Mujeres)'!X25+'Metas 7 (Unidades Moviles)'!X25</f>
        <v>0</v>
      </c>
      <c r="P6" s="398">
        <f>+'Metas 1'!Y25+'Metas 2'!Y25+'Metas 3'!Y25+'Metas 4 (Contrato relevos)'!Y25+'Metas 5'!Y25+'Metas 6 (ONU Mujeres)'!Y25+'Metas 7 (Unidades Moviles)'!Y25</f>
        <v>0</v>
      </c>
      <c r="Q6" s="398">
        <f>+'Metas 1'!Z25+'Metas 2'!Z25+'Metas 3'!Z25+'Metas 4 (Contrato relevos)'!Z25+'Metas 5'!Z25+'Metas 6 (ONU Mujeres)'!Z25+'Metas 7 (Unidades Moviles)'!Z25</f>
        <v>0</v>
      </c>
      <c r="R6" s="398">
        <f>+'Metas 1'!AA25+'Metas 2'!AA25+'Metas 3'!AA25+'Metas 4 (Contrato relevos)'!AA25+'Metas 5'!AA25+'Metas 6 (ONU Mujeres)'!AA25+'Metas 7 (Unidades Moviles)'!AA25</f>
        <v>0</v>
      </c>
      <c r="S6" s="398">
        <f>+'Metas 1'!AB25+'Metas 2'!AB25+'Metas 3'!AB25+'Metas 4 (Contrato relevos)'!AB25+'Metas 5'!AB25+'Metas 6 (ONU Mujeres)'!AB25+'Metas 7 (Unidades Moviles)'!AB25</f>
        <v>0</v>
      </c>
      <c r="T6" s="398">
        <f>SUM(H6:S6)</f>
        <v>0</v>
      </c>
      <c r="U6" s="399" t="str">
        <f>IFERROR(T6/(SUMIF(H6:S6,"&gt;0",H5:S5))," ")</f>
        <v xml:space="preserve"> </v>
      </c>
      <c r="W6" s="399"/>
      <c r="X6" s="398">
        <f>+'Metas 1'!C25+'Metas 2'!C25+'Metas 3'!C25+'Metas 4 (Contrato relevos)'!C25+'Metas 5'!C25+'Metas 6 (ONU Mujeres)'!C25+'Metas 7 (Unidades Moviles)'!C25</f>
        <v>77754654</v>
      </c>
      <c r="Y6" s="398">
        <f>+'Metas 1'!D25+'Metas 2'!D25+'Metas 3'!D25+'Metas 4 (Contrato relevos)'!D25+'Metas 5'!D25+'Metas 6 (ONU Mujeres)'!D25+'Metas 7 (Unidades Moviles)'!D25</f>
        <v>0</v>
      </c>
      <c r="Z6" s="398">
        <f>+'Metas 1'!E25+'Metas 2'!E25+'Metas 3'!E25+'Metas 4 (Contrato relevos)'!E25+'Metas 5'!E25+'Metas 6 (ONU Mujeres)'!E25+'Metas 7 (Unidades Moviles)'!E25</f>
        <v>0</v>
      </c>
      <c r="AA6" s="398">
        <f>+'Metas 1'!F25+'Metas 2'!F25+'Metas 3'!F25+'Metas 4 (Contrato relevos)'!F25+'Metas 5'!F25+'Metas 6 (ONU Mujeres)'!F25+'Metas 7 (Unidades Moviles)'!F25</f>
        <v>0</v>
      </c>
      <c r="AB6" s="398">
        <f>+'Metas 1'!G25+'Metas 2'!G25+'Metas 3'!G25+'Metas 4 (Contrato relevos)'!G25+'Metas 5'!G25+'Metas 6 (ONU Mujeres)'!G25+'Metas 7 (Unidades Moviles)'!G25</f>
        <v>0</v>
      </c>
      <c r="AC6" s="398">
        <f>+'Metas 1'!H25+'Metas 2'!H25+'Metas 3'!H25+'Metas 4 (Contrato relevos)'!H25+'Metas 5'!H25+'Metas 6 (ONU Mujeres)'!H25+'Metas 7 (Unidades Moviles)'!H25</f>
        <v>0</v>
      </c>
      <c r="AD6" s="398">
        <f>+'Metas 1'!I25+'Metas 2'!I25+'Metas 3'!I25+'Metas 4 (Contrato relevos)'!I25+'Metas 5'!I25+'Metas 6 (ONU Mujeres)'!I25+'Metas 7 (Unidades Moviles)'!I25</f>
        <v>0</v>
      </c>
      <c r="AE6" s="398">
        <f>+'Metas 1'!J25+'Metas 2'!J25+'Metas 3'!J25+'Metas 4 (Contrato relevos)'!J25+'Metas 5'!J25+'Metas 6 (ONU Mujeres)'!J25+'Metas 7 (Unidades Moviles)'!J25</f>
        <v>0</v>
      </c>
      <c r="AF6" s="398">
        <f>+'Metas 1'!K25+'Metas 2'!K25+'Metas 3'!K25+'Metas 4 (Contrato relevos)'!K25+'Metas 5'!K25+'Metas 6 (ONU Mujeres)'!K25+'Metas 7 (Unidades Moviles)'!K25</f>
        <v>0</v>
      </c>
      <c r="AG6" s="398">
        <f>+'Metas 1'!L25+'Metas 2'!L25+'Metas 3'!L25+'Metas 4 (Contrato relevos)'!L25+'Metas 5'!L25+'Metas 6 (ONU Mujeres)'!L25+'Metas 7 (Unidades Moviles)'!L25</f>
        <v>0</v>
      </c>
      <c r="AH6" s="398">
        <f>+'Metas 1'!M25+'Metas 2'!M25+'Metas 3'!M25+'Metas 4 (Contrato relevos)'!M25+'Metas 5'!M25+'Metas 6 (ONU Mujeres)'!M25+'Metas 7 (Unidades Moviles)'!M25</f>
        <v>0</v>
      </c>
      <c r="AI6" s="398">
        <f>+'Metas 1'!N25+'Metas 2'!N25+'Metas 3'!N25+'Metas 4 (Contrato relevos)'!N25+'Metas 5'!N25+'Metas 6 (ONU Mujeres)'!N25+'Metas 7 (Unidades Moviles)'!N25</f>
        <v>0</v>
      </c>
      <c r="AJ6" s="398">
        <f>SUM(X6:AI6)</f>
        <v>77754654</v>
      </c>
      <c r="AK6" s="399" t="str">
        <f>IFERROR(AJ6/(SUMIF(X6:AI6,"&gt;0",X5:AI5))," ")</f>
        <v xml:space="preserve"> </v>
      </c>
    </row>
    <row r="8" spans="1:37" ht="28.5">
      <c r="A8" s="395"/>
      <c r="B8" s="396"/>
      <c r="C8" s="396"/>
      <c r="D8" s="396"/>
      <c r="E8" s="392" t="str">
        <f>+E2</f>
        <v>PROGRAMACION</v>
      </c>
      <c r="F8" s="392" t="s">
        <v>617</v>
      </c>
      <c r="G8" s="392"/>
      <c r="H8" s="392" t="s">
        <v>28</v>
      </c>
      <c r="I8" s="392" t="s">
        <v>29</v>
      </c>
      <c r="J8" s="392" t="s">
        <v>30</v>
      </c>
      <c r="K8" s="392" t="s">
        <v>31</v>
      </c>
      <c r="L8" s="392" t="s">
        <v>32</v>
      </c>
      <c r="M8" s="392" t="s">
        <v>33</v>
      </c>
      <c r="N8" s="392" t="s">
        <v>34</v>
      </c>
      <c r="O8" s="392" t="s">
        <v>35</v>
      </c>
      <c r="P8" s="392" t="s">
        <v>36</v>
      </c>
      <c r="Q8" s="392" t="s">
        <v>37</v>
      </c>
      <c r="R8" s="392" t="s">
        <v>38</v>
      </c>
      <c r="S8" s="392" t="s">
        <v>39</v>
      </c>
      <c r="T8" s="392" t="s">
        <v>40</v>
      </c>
      <c r="U8" s="392" t="s">
        <v>41</v>
      </c>
      <c r="W8" s="392"/>
      <c r="X8" s="392" t="s">
        <v>28</v>
      </c>
      <c r="Y8" s="392" t="s">
        <v>29</v>
      </c>
      <c r="Z8" s="392" t="s">
        <v>30</v>
      </c>
      <c r="AA8" s="392" t="s">
        <v>31</v>
      </c>
      <c r="AB8" s="392" t="s">
        <v>32</v>
      </c>
      <c r="AC8" s="392" t="s">
        <v>33</v>
      </c>
      <c r="AD8" s="392" t="s">
        <v>34</v>
      </c>
      <c r="AE8" s="392" t="s">
        <v>35</v>
      </c>
      <c r="AF8" s="392" t="s">
        <v>36</v>
      </c>
      <c r="AG8" s="392" t="s">
        <v>37</v>
      </c>
      <c r="AH8" s="392" t="s">
        <v>38</v>
      </c>
      <c r="AI8" s="392" t="s">
        <v>39</v>
      </c>
      <c r="AJ8" s="392" t="s">
        <v>40</v>
      </c>
      <c r="AK8" s="392" t="s">
        <v>41</v>
      </c>
    </row>
    <row r="9" spans="1:37">
      <c r="A9" s="401"/>
      <c r="B9" s="401" t="s">
        <v>618</v>
      </c>
      <c r="C9" s="401"/>
      <c r="D9" s="402"/>
    </row>
    <row r="10" spans="1:37">
      <c r="A10" s="421">
        <v>1</v>
      </c>
      <c r="B10" s="422" t="str">
        <f>+'Metas 1'!A34</f>
        <v xml:space="preserve">1. Diseñar 1 documento de lineamientos técnicos para la formulación de las bases del sistema distrital de cuidado. </v>
      </c>
      <c r="C10" s="423">
        <f>+'Metas 1'!B34</f>
        <v>0.1</v>
      </c>
      <c r="D10" s="403" t="s">
        <v>619</v>
      </c>
      <c r="E10" s="404">
        <v>340713963</v>
      </c>
      <c r="F10" s="404">
        <f>+T10</f>
        <v>340713963</v>
      </c>
      <c r="G10" s="404">
        <f>E10-F10</f>
        <v>0</v>
      </c>
      <c r="H10" s="404">
        <f>+'Metas 1'!Q$22</f>
        <v>291713963</v>
      </c>
      <c r="I10" s="404">
        <f>+'Metas 1'!R$22</f>
        <v>0</v>
      </c>
      <c r="J10" s="404">
        <f>+'Metas 1'!S$22</f>
        <v>0</v>
      </c>
      <c r="K10" s="404">
        <f>+'Metas 1'!T$22</f>
        <v>0</v>
      </c>
      <c r="L10" s="404">
        <f>+'Metas 1'!U$22</f>
        <v>14000000</v>
      </c>
      <c r="M10" s="404">
        <f>+'Metas 1'!V$22</f>
        <v>0</v>
      </c>
      <c r="N10" s="404">
        <f>+'Metas 1'!W$22</f>
        <v>0</v>
      </c>
      <c r="O10" s="404">
        <f>+'Metas 1'!X$22</f>
        <v>35000000</v>
      </c>
      <c r="P10" s="404">
        <f>+'Metas 1'!Y$22</f>
        <v>0</v>
      </c>
      <c r="Q10" s="404">
        <f>+'Metas 1'!Z$22</f>
        <v>0</v>
      </c>
      <c r="R10" s="404">
        <f>+'Metas 1'!AA$22</f>
        <v>0</v>
      </c>
      <c r="S10" s="404">
        <f>+'Metas 1'!AB$22</f>
        <v>0</v>
      </c>
      <c r="T10" s="404">
        <f>+'Metas 1'!AC$22</f>
        <v>340713963</v>
      </c>
      <c r="U10" s="404">
        <f>+'Metas 1'!AD$22</f>
        <v>0</v>
      </c>
      <c r="W10" s="405"/>
      <c r="X10" s="404">
        <f>+'Metas 1'!C$22</f>
        <v>0</v>
      </c>
      <c r="Y10" s="404">
        <f>+'Metas 1'!D$22</f>
        <v>0</v>
      </c>
      <c r="Z10" s="404">
        <f>+'Metas 1'!E$22</f>
        <v>0</v>
      </c>
      <c r="AA10" s="404">
        <f>+'Metas 1'!F$22</f>
        <v>0</v>
      </c>
      <c r="AB10" s="404">
        <f>+'Metas 1'!G$22</f>
        <v>0</v>
      </c>
      <c r="AC10" s="404">
        <f>+'Metas 1'!H$22</f>
        <v>0</v>
      </c>
      <c r="AD10" s="404">
        <f>+'Metas 1'!I$22</f>
        <v>0</v>
      </c>
      <c r="AE10" s="404">
        <f>+'Metas 1'!J$22</f>
        <v>0</v>
      </c>
      <c r="AF10" s="404">
        <f>+'Metas 1'!K$22</f>
        <v>0</v>
      </c>
      <c r="AG10" s="404">
        <f>+'Metas 1'!L$22</f>
        <v>0</v>
      </c>
      <c r="AH10" s="404">
        <f>+'Metas 1'!M$22</f>
        <v>0</v>
      </c>
      <c r="AI10" s="404">
        <f>+'Metas 1'!N$22</f>
        <v>0</v>
      </c>
      <c r="AJ10" s="404">
        <f>+'Metas 1'!O$22</f>
        <v>0</v>
      </c>
      <c r="AK10" s="404">
        <f>+'Metas 1'!P$22</f>
        <v>0</v>
      </c>
    </row>
    <row r="11" spans="1:37">
      <c r="A11" s="421"/>
      <c r="B11" s="422"/>
      <c r="C11" s="422"/>
      <c r="D11" s="403" t="s">
        <v>43</v>
      </c>
      <c r="E11" s="404"/>
      <c r="F11" s="404"/>
      <c r="G11" s="404">
        <f>E11-F11</f>
        <v>0</v>
      </c>
      <c r="H11" s="404">
        <f>+'Metas 1'!Q$23</f>
        <v>291713963</v>
      </c>
      <c r="I11" s="404">
        <f>+'Metas 1'!R$23</f>
        <v>0</v>
      </c>
      <c r="J11" s="404">
        <f>+'Metas 1'!S$23</f>
        <v>0</v>
      </c>
      <c r="K11" s="404">
        <f>+'Metas 1'!T$23</f>
        <v>0</v>
      </c>
      <c r="L11" s="404">
        <f>+'Metas 1'!U$23</f>
        <v>0</v>
      </c>
      <c r="M11" s="404">
        <f>+'Metas 1'!V$23</f>
        <v>0</v>
      </c>
      <c r="N11" s="404">
        <f>+'Metas 1'!W$23</f>
        <v>0</v>
      </c>
      <c r="O11" s="404">
        <f>+'Metas 1'!X$23</f>
        <v>0</v>
      </c>
      <c r="P11" s="404">
        <f>+'Metas 1'!Y$23</f>
        <v>0</v>
      </c>
      <c r="Q11" s="404">
        <f>+'Metas 1'!Z$23</f>
        <v>0</v>
      </c>
      <c r="R11" s="404">
        <f>+'Metas 1'!AA$23</f>
        <v>0</v>
      </c>
      <c r="S11" s="404">
        <f>+'Metas 1'!AB$23</f>
        <v>0</v>
      </c>
      <c r="T11" s="404">
        <f>+'Metas 1'!AC$23</f>
        <v>291713963</v>
      </c>
      <c r="U11" s="404">
        <f>+'Metas 1'!AD$23</f>
        <v>1</v>
      </c>
      <c r="W11" s="405"/>
      <c r="X11" s="404">
        <f>+'Metas 1'!C$23</f>
        <v>0</v>
      </c>
      <c r="Y11" s="404">
        <f>+'Metas 1'!D$23</f>
        <v>0</v>
      </c>
      <c r="Z11" s="404">
        <f>+'Metas 1'!E$23</f>
        <v>0</v>
      </c>
      <c r="AA11" s="404">
        <f>+'Metas 1'!F$23</f>
        <v>0</v>
      </c>
      <c r="AB11" s="404">
        <f>+'Metas 1'!G$23</f>
        <v>0</v>
      </c>
      <c r="AC11" s="404">
        <f>+'Metas 1'!H$23</f>
        <v>0</v>
      </c>
      <c r="AD11" s="404">
        <f>+'Metas 1'!I$23</f>
        <v>0</v>
      </c>
      <c r="AE11" s="404">
        <f>+'Metas 1'!J$23</f>
        <v>0</v>
      </c>
      <c r="AF11" s="404">
        <f>+'Metas 1'!K$23</f>
        <v>0</v>
      </c>
      <c r="AG11" s="404">
        <f>+'Metas 1'!L$23</f>
        <v>0</v>
      </c>
      <c r="AH11" s="404">
        <f>+'Metas 1'!M$23</f>
        <v>0</v>
      </c>
      <c r="AI11" s="404">
        <f>+'Metas 1'!N$23</f>
        <v>0</v>
      </c>
      <c r="AJ11" s="404">
        <f>+'Metas 1'!O$23</f>
        <v>0</v>
      </c>
      <c r="AK11" s="404">
        <f>+'Metas 1'!P$23</f>
        <v>0</v>
      </c>
    </row>
    <row r="12" spans="1:37">
      <c r="A12" s="421"/>
      <c r="B12" s="422"/>
      <c r="C12" s="422"/>
      <c r="D12" s="403" t="s">
        <v>44</v>
      </c>
      <c r="E12" s="404">
        <v>340713963</v>
      </c>
      <c r="F12" s="404">
        <f>+T12</f>
        <v>340713963</v>
      </c>
      <c r="G12" s="404">
        <f>E12-F12</f>
        <v>0</v>
      </c>
      <c r="H12" s="404">
        <f>+'Metas 1'!Q$24</f>
        <v>0</v>
      </c>
      <c r="I12" s="404">
        <f>+'Metas 1'!R$24</f>
        <v>11192930</v>
      </c>
      <c r="J12" s="404">
        <f>+'Metas 1'!S$24</f>
        <v>25522700</v>
      </c>
      <c r="K12" s="404">
        <f>+'Metas 1'!T$24</f>
        <v>25522700</v>
      </c>
      <c r="L12" s="404">
        <f>+'Metas 1'!U$24</f>
        <v>25522700</v>
      </c>
      <c r="M12" s="404">
        <f>+'Metas 1'!V$24</f>
        <v>25522700</v>
      </c>
      <c r="N12" s="404">
        <f>+'Metas 1'!W$24</f>
        <v>39522700</v>
      </c>
      <c r="O12" s="404">
        <f>+'Metas 1'!X$24</f>
        <v>25522700</v>
      </c>
      <c r="P12" s="404">
        <f>+'Metas 1'!Y$24</f>
        <v>25522700</v>
      </c>
      <c r="Q12" s="404">
        <f>+'Metas 1'!Z$24</f>
        <v>25522700</v>
      </c>
      <c r="R12" s="404">
        <f>+'Metas 1'!AA$24</f>
        <v>32522700</v>
      </c>
      <c r="S12" s="404">
        <f>+'Metas 1'!AB$24</f>
        <v>78816733</v>
      </c>
      <c r="T12" s="404">
        <f>+'Metas 1'!AC$24</f>
        <v>340713963</v>
      </c>
      <c r="U12" s="404">
        <f>+'Metas 1'!AD$24</f>
        <v>0</v>
      </c>
      <c r="W12" s="405"/>
      <c r="X12" s="404">
        <f>+'Metas 1'!C$24</f>
        <v>0</v>
      </c>
      <c r="Y12" s="404">
        <f>+'Metas 1'!D$24</f>
        <v>6150667</v>
      </c>
      <c r="Z12" s="404">
        <f>+'Metas 1'!E$24</f>
        <v>179378</v>
      </c>
      <c r="AA12" s="404">
        <f>+'Metas 1'!F$24</f>
        <v>700000000</v>
      </c>
      <c r="AB12" s="404">
        <f>+'Metas 1'!G$24</f>
        <v>0</v>
      </c>
      <c r="AC12" s="404">
        <f>+'Metas 1'!H$24</f>
        <v>0</v>
      </c>
      <c r="AD12" s="404">
        <f>+'Metas 1'!I$24</f>
        <v>0</v>
      </c>
      <c r="AE12" s="404">
        <f>+'Metas 1'!J$24</f>
        <v>0</v>
      </c>
      <c r="AF12" s="404">
        <f>+'Metas 1'!K$24</f>
        <v>0</v>
      </c>
      <c r="AG12" s="404">
        <f>+'Metas 1'!L$24</f>
        <v>0</v>
      </c>
      <c r="AH12" s="404">
        <f>+'Metas 1'!M$24</f>
        <v>0</v>
      </c>
      <c r="AI12" s="404">
        <f>+'Metas 1'!N$24</f>
        <v>0</v>
      </c>
      <c r="AJ12" s="404">
        <f>+'Metas 1'!O$24</f>
        <v>706330045</v>
      </c>
      <c r="AK12" s="404">
        <f>+'Metas 1'!P$24</f>
        <v>0</v>
      </c>
    </row>
    <row r="13" spans="1:37">
      <c r="A13" s="421"/>
      <c r="B13" s="422"/>
      <c r="C13" s="422"/>
      <c r="D13" s="403" t="s">
        <v>45</v>
      </c>
      <c r="E13" s="404"/>
      <c r="F13" s="404"/>
      <c r="G13" s="404">
        <f>E13-F13</f>
        <v>0</v>
      </c>
      <c r="H13" s="404">
        <f>+'Metas 1'!Q$25</f>
        <v>0</v>
      </c>
      <c r="I13" s="404">
        <f>+'Metas 1'!R$25</f>
        <v>0</v>
      </c>
      <c r="J13" s="404">
        <f>+'Metas 1'!S$25</f>
        <v>0</v>
      </c>
      <c r="K13" s="404">
        <f>+'Metas 1'!T$25</f>
        <v>0</v>
      </c>
      <c r="L13" s="404">
        <f>+'Metas 1'!U$25</f>
        <v>0</v>
      </c>
      <c r="M13" s="404">
        <f>+'Metas 1'!V$25</f>
        <v>0</v>
      </c>
      <c r="N13" s="404">
        <f>+'Metas 1'!W$25</f>
        <v>0</v>
      </c>
      <c r="O13" s="404">
        <f>+'Metas 1'!X$25</f>
        <v>0</v>
      </c>
      <c r="P13" s="404">
        <f>+'Metas 1'!Y$25</f>
        <v>0</v>
      </c>
      <c r="Q13" s="404">
        <f>+'Metas 1'!Z$25</f>
        <v>0</v>
      </c>
      <c r="R13" s="404">
        <f>+'Metas 1'!AA$25</f>
        <v>0</v>
      </c>
      <c r="S13" s="404">
        <f>+'Metas 1'!AB$25</f>
        <v>0</v>
      </c>
      <c r="T13" s="404">
        <f>+'Metas 1'!AC$25</f>
        <v>0</v>
      </c>
      <c r="U13" s="404" t="str">
        <f ca="1">+'Metas 1'!AD$25</f>
        <v xml:space="preserve"> </v>
      </c>
      <c r="W13" s="405"/>
      <c r="X13" s="404">
        <f>+'Metas 1'!C$25</f>
        <v>3150000</v>
      </c>
      <c r="Y13" s="404">
        <f>+'Metas 1'!D$25</f>
        <v>0</v>
      </c>
      <c r="Z13" s="404">
        <f>+'Metas 1'!E$25</f>
        <v>0</v>
      </c>
      <c r="AA13" s="404">
        <f>+'Metas 1'!F$25</f>
        <v>0</v>
      </c>
      <c r="AB13" s="404">
        <f>+'Metas 1'!G$25</f>
        <v>0</v>
      </c>
      <c r="AC13" s="404">
        <f>+'Metas 1'!H$25</f>
        <v>0</v>
      </c>
      <c r="AD13" s="404">
        <f>+'Metas 1'!I$25</f>
        <v>0</v>
      </c>
      <c r="AE13" s="404">
        <f>+'Metas 1'!J$25</f>
        <v>0</v>
      </c>
      <c r="AF13" s="404">
        <f>+'Metas 1'!K$25</f>
        <v>0</v>
      </c>
      <c r="AG13" s="404">
        <f>+'Metas 1'!L$25</f>
        <v>0</v>
      </c>
      <c r="AH13" s="404">
        <f>+'Metas 1'!M$25</f>
        <v>0</v>
      </c>
      <c r="AI13" s="404">
        <f>+'Metas 1'!N$25</f>
        <v>0</v>
      </c>
      <c r="AJ13" s="404">
        <f>+'Metas 1'!O$25</f>
        <v>3150000</v>
      </c>
      <c r="AK13" s="404" t="str">
        <f>+'Metas 1'!P$25</f>
        <v xml:space="preserve"> </v>
      </c>
    </row>
    <row r="14" spans="1:37">
      <c r="A14" s="421"/>
      <c r="B14" s="422"/>
      <c r="C14" s="422"/>
      <c r="D14" s="403" t="s">
        <v>620</v>
      </c>
      <c r="E14" s="406">
        <f>+[2]Hoja1!$AS$32</f>
        <v>8542</v>
      </c>
      <c r="F14" s="407">
        <f>+'Metas 1'!$W$17</f>
        <v>1</v>
      </c>
      <c r="G14" s="404">
        <f>E14-F14</f>
        <v>8541</v>
      </c>
      <c r="H14" s="408">
        <f>+'Metas 1'!D$34</f>
        <v>0.72113654999999999</v>
      </c>
      <c r="I14" s="408">
        <f>+'Metas 1'!E$34</f>
        <v>0.74927310000000003</v>
      </c>
      <c r="J14" s="408">
        <f>+'Metas 1'!F$34</f>
        <v>0.77740965000000006</v>
      </c>
      <c r="K14" s="408">
        <f>+'Metas 1'!G$34</f>
        <v>0.8055462000000001</v>
      </c>
      <c r="L14" s="408">
        <f>+'Metas 1'!H$34</f>
        <v>0.83368275000000014</v>
      </c>
      <c r="M14" s="408">
        <f>+'Metas 1'!I$34</f>
        <v>0.86181930000000018</v>
      </c>
      <c r="N14" s="408">
        <f>+'Metas 1'!J$34</f>
        <v>0.88482895000000017</v>
      </c>
      <c r="O14" s="408">
        <f>+'Metas 1'!K$34</f>
        <v>0.90783860000000016</v>
      </c>
      <c r="P14" s="408">
        <f>+'Metas 1'!L$34</f>
        <v>0.93084825000000015</v>
      </c>
      <c r="Q14" s="408">
        <f>+'Metas 1'!M$34</f>
        <v>0.95385790000000015</v>
      </c>
      <c r="R14" s="408">
        <f>+'Metas 1'!N$34</f>
        <v>0.97686755000000014</v>
      </c>
      <c r="S14" s="408">
        <f>+'Metas 1'!O$34</f>
        <v>0.99987720000000013</v>
      </c>
      <c r="T14" s="408">
        <f>+'Metas 1'!P$34</f>
        <v>0.99987720000000013</v>
      </c>
      <c r="U14" s="408" t="str">
        <f>+'Metas 1'!Q$34</f>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
      <c r="W14" s="409"/>
    </row>
    <row r="15" spans="1:37">
      <c r="A15" s="421"/>
      <c r="B15" s="422"/>
      <c r="C15" s="422"/>
      <c r="D15" s="403" t="s">
        <v>621</v>
      </c>
      <c r="E15" s="408"/>
      <c r="F15" s="408"/>
      <c r="G15" s="408">
        <f t="shared" ref="G15:G51" si="0">E15-F15</f>
        <v>0</v>
      </c>
      <c r="H15" s="408">
        <f>+'Metas 1'!D$35</f>
        <v>0.72062999999999999</v>
      </c>
      <c r="I15" s="408">
        <f>+'Metas 1'!E$35</f>
        <v>0.72062999999999999</v>
      </c>
      <c r="J15" s="408">
        <f>+'Metas 1'!F$35</f>
        <v>0.72062999999999999</v>
      </c>
      <c r="K15" s="408">
        <f>+'Metas 1'!G$35</f>
        <v>0.72062999999999999</v>
      </c>
      <c r="L15" s="408">
        <f>+'Metas 1'!H$35</f>
        <v>0.72062999999999999</v>
      </c>
      <c r="M15" s="408">
        <f>+'Metas 1'!I$35</f>
        <v>0.72062999999999999</v>
      </c>
      <c r="N15" s="408">
        <f>+'Metas 1'!J$35</f>
        <v>0.72062999999999999</v>
      </c>
      <c r="O15" s="408">
        <f>+'Metas 1'!K$35</f>
        <v>0.72062999999999999</v>
      </c>
      <c r="P15" s="408">
        <f>+'Metas 1'!L$35</f>
        <v>0.72062999999999999</v>
      </c>
      <c r="Q15" s="408">
        <f>+'Metas 1'!M$35</f>
        <v>0.72062999999999999</v>
      </c>
      <c r="R15" s="408">
        <f>+'Metas 1'!N$35</f>
        <v>0.72062999999999999</v>
      </c>
      <c r="S15" s="408">
        <f>+'Metas 1'!O$35</f>
        <v>0.72062999999999999</v>
      </c>
      <c r="T15" s="408">
        <f>+'Metas 1'!P$35</f>
        <v>0.72062999999999999</v>
      </c>
      <c r="U15" s="408">
        <f>+'Metas 1'!Q$35</f>
        <v>0</v>
      </c>
      <c r="W15" s="409"/>
    </row>
    <row r="16" spans="1:37">
      <c r="A16" s="424">
        <f>+A10+1</f>
        <v>2</v>
      </c>
      <c r="B16" s="422" t="str">
        <f>+'Metas 2'!A34</f>
        <v>2. Coordinar y articular 13 secretarías del nivel distrital para la implementación del sistema distrital de cuidado</v>
      </c>
      <c r="C16" s="423">
        <f>+'Metas 2'!B34</f>
        <v>0.15000000000000002</v>
      </c>
      <c r="D16" s="403" t="s">
        <v>619</v>
      </c>
      <c r="E16" s="404">
        <v>254977520</v>
      </c>
      <c r="F16" s="404">
        <f>+T16</f>
        <v>254977520</v>
      </c>
      <c r="G16" s="404">
        <f t="shared" si="0"/>
        <v>0</v>
      </c>
      <c r="H16" s="404">
        <f>+'Metas 2'!Q$22</f>
        <v>205977520</v>
      </c>
      <c r="I16" s="404">
        <f>+'Metas 2'!R$22</f>
        <v>0</v>
      </c>
      <c r="J16" s="404">
        <f>+'Metas 2'!S$22</f>
        <v>0</v>
      </c>
      <c r="K16" s="404">
        <f>+'Metas 2'!T$22</f>
        <v>0</v>
      </c>
      <c r="L16" s="404">
        <f>+'Metas 2'!U$22</f>
        <v>16380000</v>
      </c>
      <c r="M16" s="404">
        <f>+'Metas 2'!V$22</f>
        <v>0</v>
      </c>
      <c r="N16" s="404">
        <f>+'Metas 2'!W$22</f>
        <v>0</v>
      </c>
      <c r="O16" s="404">
        <f>+'Metas 2'!X$22</f>
        <v>32620000</v>
      </c>
      <c r="P16" s="404">
        <f>+'Metas 2'!Y$22</f>
        <v>0</v>
      </c>
      <c r="Q16" s="404">
        <f>+'Metas 2'!Z$22</f>
        <v>0</v>
      </c>
      <c r="R16" s="404">
        <f>+'Metas 2'!AA$22</f>
        <v>0</v>
      </c>
      <c r="S16" s="404">
        <f>+'Metas 2'!AB$22</f>
        <v>0</v>
      </c>
      <c r="T16" s="404">
        <f>+'Metas 2'!AC$22</f>
        <v>254977520</v>
      </c>
      <c r="U16" s="404">
        <f>+'Metas 2'!AD$22</f>
        <v>0</v>
      </c>
      <c r="W16" s="405"/>
      <c r="X16" s="404">
        <f>+'Metas 2'!C$22</f>
        <v>0</v>
      </c>
      <c r="Y16" s="404">
        <f>+'Metas 2'!D$22</f>
        <v>0</v>
      </c>
      <c r="Z16" s="404">
        <f>+'Metas 2'!E$22</f>
        <v>0</v>
      </c>
      <c r="AA16" s="404">
        <f>+'Metas 2'!F$22</f>
        <v>0</v>
      </c>
      <c r="AB16" s="404">
        <f>+'Metas 2'!G$22</f>
        <v>0</v>
      </c>
      <c r="AC16" s="404">
        <f>+'Metas 2'!H$22</f>
        <v>0</v>
      </c>
      <c r="AD16" s="404">
        <f>+'Metas 2'!I$22</f>
        <v>0</v>
      </c>
      <c r="AE16" s="404">
        <f>+'Metas 2'!J$22</f>
        <v>0</v>
      </c>
      <c r="AF16" s="404">
        <f>+'Metas 2'!K$22</f>
        <v>0</v>
      </c>
      <c r="AG16" s="404">
        <f>+'Metas 2'!L$22</f>
        <v>0</v>
      </c>
      <c r="AH16" s="404">
        <f>+'Metas 2'!M$22</f>
        <v>0</v>
      </c>
      <c r="AI16" s="404">
        <f>+'Metas 2'!N$22</f>
        <v>0</v>
      </c>
      <c r="AJ16" s="404">
        <f>+'Metas 2'!O$22</f>
        <v>0</v>
      </c>
      <c r="AK16" s="404">
        <f>+'Metas 2'!P$22</f>
        <v>0</v>
      </c>
    </row>
    <row r="17" spans="1:37">
      <c r="A17" s="425"/>
      <c r="B17" s="422"/>
      <c r="C17" s="422"/>
      <c r="D17" s="403" t="s">
        <v>43</v>
      </c>
      <c r="E17" s="404"/>
      <c r="F17" s="404"/>
      <c r="G17" s="404">
        <f t="shared" si="0"/>
        <v>0</v>
      </c>
      <c r="H17" s="404">
        <f>+'Metas 2'!Q$23</f>
        <v>205977520</v>
      </c>
      <c r="I17" s="404">
        <f>+'Metas 2'!R$23</f>
        <v>0</v>
      </c>
      <c r="J17" s="404">
        <f>+'Metas 2'!S$23</f>
        <v>0</v>
      </c>
      <c r="K17" s="404">
        <f>+'Metas 2'!T$23</f>
        <v>0</v>
      </c>
      <c r="L17" s="404">
        <f>+'Metas 2'!U$23</f>
        <v>0</v>
      </c>
      <c r="M17" s="404">
        <f>+'Metas 2'!V$23</f>
        <v>0</v>
      </c>
      <c r="N17" s="404">
        <f>+'Metas 2'!W$23</f>
        <v>0</v>
      </c>
      <c r="O17" s="404">
        <f>+'Metas 2'!X$23</f>
        <v>0</v>
      </c>
      <c r="P17" s="404">
        <f>+'Metas 2'!Y$23</f>
        <v>0</v>
      </c>
      <c r="Q17" s="404">
        <f>+'Metas 2'!Z$23</f>
        <v>0</v>
      </c>
      <c r="R17" s="404">
        <f>+'Metas 2'!AA$23</f>
        <v>0</v>
      </c>
      <c r="S17" s="404">
        <f>+'Metas 2'!AB$23</f>
        <v>0</v>
      </c>
      <c r="T17" s="404">
        <f>+'Metas 2'!AC$23</f>
        <v>205977520</v>
      </c>
      <c r="U17" s="404">
        <f>+'Metas 2'!AD$23</f>
        <v>1</v>
      </c>
      <c r="W17" s="405"/>
      <c r="X17" s="404">
        <f>+'Metas 2'!C$23</f>
        <v>0</v>
      </c>
      <c r="Y17" s="404">
        <f>+'Metas 2'!D$23</f>
        <v>0</v>
      </c>
      <c r="Z17" s="404">
        <f>+'Metas 2'!E$23</f>
        <v>0</v>
      </c>
      <c r="AA17" s="404">
        <f>+'Metas 2'!F$23</f>
        <v>0</v>
      </c>
      <c r="AB17" s="404">
        <f>+'Metas 2'!G$23</f>
        <v>0</v>
      </c>
      <c r="AC17" s="404">
        <f>+'Metas 2'!H$23</f>
        <v>0</v>
      </c>
      <c r="AD17" s="404">
        <f>+'Metas 2'!I$23</f>
        <v>0</v>
      </c>
      <c r="AE17" s="404">
        <f>+'Metas 2'!J$23</f>
        <v>0</v>
      </c>
      <c r="AF17" s="404">
        <f>+'Metas 2'!K$23</f>
        <v>0</v>
      </c>
      <c r="AG17" s="404">
        <f>+'Metas 2'!L$23</f>
        <v>0</v>
      </c>
      <c r="AH17" s="404">
        <f>+'Metas 2'!M$23</f>
        <v>0</v>
      </c>
      <c r="AI17" s="404">
        <f>+'Metas 2'!N$23</f>
        <v>0</v>
      </c>
      <c r="AJ17" s="404">
        <f>+'Metas 2'!O$23</f>
        <v>0</v>
      </c>
      <c r="AK17" s="404" t="str">
        <f>+'Metas 2'!P$23</f>
        <v xml:space="preserve"> </v>
      </c>
    </row>
    <row r="18" spans="1:37">
      <c r="A18" s="425"/>
      <c r="B18" s="422"/>
      <c r="C18" s="422"/>
      <c r="D18" s="403" t="s">
        <v>44</v>
      </c>
      <c r="E18" s="404">
        <v>254977520</v>
      </c>
      <c r="F18" s="404">
        <f>+T18</f>
        <v>254977520</v>
      </c>
      <c r="G18" s="404">
        <f t="shared" si="0"/>
        <v>0</v>
      </c>
      <c r="H18" s="404">
        <f>+'Metas 2'!Q$24</f>
        <v>0</v>
      </c>
      <c r="I18" s="404">
        <f>+'Metas 2'!R$24</f>
        <v>11266053</v>
      </c>
      <c r="J18" s="404">
        <f>+'Metas 2'!S$24</f>
        <v>17724800</v>
      </c>
      <c r="K18" s="404">
        <f>+'Metas 2'!T$24</f>
        <v>17724800</v>
      </c>
      <c r="L18" s="404">
        <f>+'Metas 2'!U$24</f>
        <v>17724800</v>
      </c>
      <c r="M18" s="404">
        <f>+'Metas 2'!V$24</f>
        <v>17724800</v>
      </c>
      <c r="N18" s="404">
        <f>+'Metas 2'!W$24</f>
        <v>34104800</v>
      </c>
      <c r="O18" s="404">
        <f>+'Metas 2'!X$24</f>
        <v>16931467</v>
      </c>
      <c r="P18" s="404">
        <f>+'Metas 2'!Y$24</f>
        <v>16931467</v>
      </c>
      <c r="Q18" s="404">
        <f>+'Metas 2'!Z$24</f>
        <v>16931466</v>
      </c>
      <c r="R18" s="404">
        <f>+'Metas 2'!AA$24</f>
        <v>24724800</v>
      </c>
      <c r="S18" s="404">
        <f>+'Metas 2'!AB$24</f>
        <v>63188267</v>
      </c>
      <c r="T18" s="404">
        <f>+'Metas 2'!AC$24</f>
        <v>254977520</v>
      </c>
      <c r="U18" s="404">
        <f>+'Metas 2'!AD$24</f>
        <v>0</v>
      </c>
      <c r="W18" s="405"/>
      <c r="X18" s="404">
        <f>+'Metas 2'!C$24</f>
        <v>0</v>
      </c>
      <c r="Y18" s="404">
        <f>+'Metas 2'!D$24</f>
        <v>3429333</v>
      </c>
      <c r="Z18" s="404">
        <f>+'Metas 2'!E$24</f>
        <v>179378</v>
      </c>
      <c r="AA18" s="404">
        <f>+'Metas 2'!F$24</f>
        <v>0</v>
      </c>
      <c r="AB18" s="404">
        <f>+'Metas 2'!G$24</f>
        <v>0</v>
      </c>
      <c r="AC18" s="404">
        <f>+'Metas 2'!H$24</f>
        <v>0</v>
      </c>
      <c r="AD18" s="404">
        <f>+'Metas 2'!I$24</f>
        <v>0</v>
      </c>
      <c r="AE18" s="404">
        <f>+'Metas 2'!J$24</f>
        <v>0</v>
      </c>
      <c r="AF18" s="404">
        <f>+'Metas 2'!K$24</f>
        <v>0</v>
      </c>
      <c r="AG18" s="404">
        <f>+'Metas 2'!L$24</f>
        <v>0</v>
      </c>
      <c r="AH18" s="404">
        <f>+'Metas 2'!M$24</f>
        <v>0</v>
      </c>
      <c r="AI18" s="404">
        <f>+'Metas 2'!N$24</f>
        <v>0</v>
      </c>
      <c r="AJ18" s="404">
        <f>+'Metas 2'!O$24</f>
        <v>3608711</v>
      </c>
      <c r="AK18" s="404">
        <f>+'Metas 2'!P$24</f>
        <v>0</v>
      </c>
    </row>
    <row r="19" spans="1:37">
      <c r="A19" s="425"/>
      <c r="B19" s="422"/>
      <c r="C19" s="422"/>
      <c r="D19" s="403" t="s">
        <v>45</v>
      </c>
      <c r="E19" s="404"/>
      <c r="F19" s="404"/>
      <c r="G19" s="404">
        <f t="shared" si="0"/>
        <v>0</v>
      </c>
      <c r="H19" s="404">
        <f>+'Metas 2'!Q$25</f>
        <v>0</v>
      </c>
      <c r="I19" s="404">
        <f>+'Metas 2'!R$25</f>
        <v>0</v>
      </c>
      <c r="J19" s="404">
        <f>+'Metas 2'!S$25</f>
        <v>0</v>
      </c>
      <c r="K19" s="404">
        <f>+'Metas 2'!T$25</f>
        <v>0</v>
      </c>
      <c r="L19" s="404">
        <f>+'Metas 2'!U$25</f>
        <v>0</v>
      </c>
      <c r="M19" s="404">
        <f>+'Metas 2'!V$25</f>
        <v>0</v>
      </c>
      <c r="N19" s="404">
        <f>+'Metas 2'!W$25</f>
        <v>0</v>
      </c>
      <c r="O19" s="404">
        <f>+'Metas 2'!X$25</f>
        <v>0</v>
      </c>
      <c r="P19" s="404">
        <f>+'Metas 2'!Y$25</f>
        <v>0</v>
      </c>
      <c r="Q19" s="404">
        <f>+'Metas 2'!Z$25</f>
        <v>0</v>
      </c>
      <c r="R19" s="404">
        <f>+'Metas 2'!AA$25</f>
        <v>0</v>
      </c>
      <c r="S19" s="404">
        <f>+'Metas 2'!AB$25</f>
        <v>0</v>
      </c>
      <c r="T19" s="404">
        <f>+'Metas 2'!AC$25</f>
        <v>0</v>
      </c>
      <c r="U19" s="404" t="str">
        <f ca="1">+'Metas 2'!AD$25</f>
        <v xml:space="preserve"> </v>
      </c>
      <c r="W19" s="405"/>
      <c r="X19" s="404">
        <f>+'Metas 2'!C$25</f>
        <v>0</v>
      </c>
      <c r="Y19" s="404">
        <f>+'Metas 2'!D$25</f>
        <v>0</v>
      </c>
      <c r="Z19" s="404">
        <f>+'Metas 2'!E$25</f>
        <v>0</v>
      </c>
      <c r="AA19" s="404">
        <f>+'Metas 2'!F$25</f>
        <v>0</v>
      </c>
      <c r="AB19" s="404">
        <f>+'Metas 2'!G$25</f>
        <v>0</v>
      </c>
      <c r="AC19" s="404">
        <f>+'Metas 2'!H$25</f>
        <v>0</v>
      </c>
      <c r="AD19" s="404">
        <f>+'Metas 2'!I$25</f>
        <v>0</v>
      </c>
      <c r="AE19" s="404">
        <f>+'Metas 2'!J$25</f>
        <v>0</v>
      </c>
      <c r="AF19" s="404">
        <f>+'Metas 2'!K$25</f>
        <v>0</v>
      </c>
      <c r="AG19" s="404">
        <f>+'Metas 2'!L$25</f>
        <v>0</v>
      </c>
      <c r="AH19" s="404">
        <f>+'Metas 2'!M$25</f>
        <v>0</v>
      </c>
      <c r="AI19" s="404">
        <f>+'Metas 2'!N$25</f>
        <v>0</v>
      </c>
      <c r="AJ19" s="404">
        <f>+'Metas 2'!O$25</f>
        <v>0</v>
      </c>
      <c r="AK19" s="404" t="str">
        <f>+'Metas 2'!P$25</f>
        <v xml:space="preserve"> </v>
      </c>
    </row>
    <row r="20" spans="1:37">
      <c r="A20" s="425"/>
      <c r="B20" s="422"/>
      <c r="C20" s="422"/>
      <c r="D20" s="403" t="s">
        <v>620</v>
      </c>
      <c r="E20" s="406">
        <f>+[2]Hoja1!$AS$33</f>
        <v>700</v>
      </c>
      <c r="F20" s="407">
        <f>+'Metas 2'!$W$17</f>
        <v>13</v>
      </c>
      <c r="G20" s="407">
        <f t="shared" si="0"/>
        <v>687</v>
      </c>
      <c r="H20" s="408">
        <f>+'Metas 2'!D$34</f>
        <v>13</v>
      </c>
      <c r="I20" s="408">
        <f>+'Metas 2'!E$34</f>
        <v>13</v>
      </c>
      <c r="J20" s="408">
        <f>+'Metas 2'!F$34</f>
        <v>13</v>
      </c>
      <c r="K20" s="408">
        <f>+'Metas 2'!G$34</f>
        <v>13</v>
      </c>
      <c r="L20" s="408">
        <f>+'Metas 2'!H$34</f>
        <v>13</v>
      </c>
      <c r="M20" s="408">
        <f>+'Metas 2'!I$34</f>
        <v>13</v>
      </c>
      <c r="N20" s="408">
        <f>+'Metas 2'!J$34</f>
        <v>13</v>
      </c>
      <c r="O20" s="408">
        <f>+'Metas 2'!K$34</f>
        <v>13</v>
      </c>
      <c r="P20" s="408">
        <f>+'Metas 2'!L$34</f>
        <v>13</v>
      </c>
      <c r="Q20" s="408">
        <f>+'Metas 2'!M$34</f>
        <v>13</v>
      </c>
      <c r="R20" s="408">
        <f>+'Metas 2'!N$34</f>
        <v>13</v>
      </c>
      <c r="S20" s="408">
        <f>+'Metas 2'!O$34</f>
        <v>13</v>
      </c>
      <c r="T20" s="408">
        <f>+'Metas 2'!P$34</f>
        <v>13</v>
      </c>
      <c r="U20" s="410" t="str">
        <f>+'Metas 2'!Q$34</f>
        <v>Se inició el alistamiento para la coordinación y articulación de los 13 sectores en la implementación y seguimiento a compromisos del Sistema Distrital de Cuidado, a enero se solicitó a entidades de los diferentes sectores información sobre la delegación de asistencia a la Unidad Técnica de Apoyo. Se cuenta con cronograma de la Comisión Intersectorial de sesiones en 2022.</v>
      </c>
      <c r="W20" s="409"/>
    </row>
    <row r="21" spans="1:37">
      <c r="A21" s="426"/>
      <c r="B21" s="422"/>
      <c r="C21" s="422"/>
      <c r="D21" s="403" t="s">
        <v>621</v>
      </c>
      <c r="E21" s="408"/>
      <c r="F21" s="408"/>
      <c r="G21" s="408">
        <f t="shared" si="0"/>
        <v>0</v>
      </c>
      <c r="H21" s="408">
        <f>+'Metas 2'!D$35</f>
        <v>0</v>
      </c>
      <c r="I21" s="408">
        <f>+'Metas 2'!E$35</f>
        <v>0</v>
      </c>
      <c r="J21" s="408">
        <f>+'Metas 2'!F$35</f>
        <v>0</v>
      </c>
      <c r="K21" s="408">
        <f>+'Metas 2'!G$35</f>
        <v>0</v>
      </c>
      <c r="L21" s="408">
        <f>+'Metas 2'!H$35</f>
        <v>0</v>
      </c>
      <c r="M21" s="408">
        <f>+'Metas 2'!I$35</f>
        <v>0</v>
      </c>
      <c r="N21" s="408">
        <f>+'Metas 2'!J$35</f>
        <v>0</v>
      </c>
      <c r="O21" s="408">
        <f>+'Metas 2'!K$35</f>
        <v>0</v>
      </c>
      <c r="P21" s="408">
        <f>+'Metas 2'!L$35</f>
        <v>0</v>
      </c>
      <c r="Q21" s="408">
        <f>+'Metas 2'!M$35</f>
        <v>0</v>
      </c>
      <c r="R21" s="408">
        <f>+'Metas 2'!N$35</f>
        <v>0</v>
      </c>
      <c r="S21" s="408">
        <f>+'Metas 2'!O$35</f>
        <v>0</v>
      </c>
      <c r="T21" s="411">
        <f>+'Metas 2'!P$35</f>
        <v>0</v>
      </c>
      <c r="U21" s="410">
        <f>+'Metas 2'!Q$35</f>
        <v>0</v>
      </c>
      <c r="W21" s="409"/>
    </row>
    <row r="22" spans="1:37">
      <c r="A22" s="424">
        <f>+A16+1</f>
        <v>3</v>
      </c>
      <c r="B22" s="422" t="str">
        <f>+'Metas 3'!A34</f>
        <v>3. Gestionar 1 estrategia para la adecuación de infraestructura de manzanas de cuidado</v>
      </c>
      <c r="C22" s="423">
        <f>+'Metas 3'!B34</f>
        <v>0.15000000000000002</v>
      </c>
      <c r="D22" s="403" t="s">
        <v>619</v>
      </c>
      <c r="E22" s="404">
        <v>2501008965</v>
      </c>
      <c r="F22" s="404">
        <f>+T22</f>
        <v>2501008965</v>
      </c>
      <c r="G22" s="404">
        <f t="shared" si="0"/>
        <v>0</v>
      </c>
      <c r="H22" s="404">
        <f>+'Metas 3'!Q$22</f>
        <v>2207643126</v>
      </c>
      <c r="I22" s="404">
        <f>+'Metas 3'!R$22</f>
        <v>22500000</v>
      </c>
      <c r="J22" s="404">
        <f>+'Metas 3'!S$22</f>
        <v>0</v>
      </c>
      <c r="K22" s="404">
        <f>+'Metas 3'!T$22</f>
        <v>19980500</v>
      </c>
      <c r="L22" s="404">
        <f>+'Metas 3'!U$22</f>
        <v>147905833</v>
      </c>
      <c r="M22" s="404">
        <f>+'Metas 3'!V$22</f>
        <v>10479506</v>
      </c>
      <c r="N22" s="404">
        <f>+'Metas 3'!W$22</f>
        <v>15000000</v>
      </c>
      <c r="O22" s="404">
        <f>+'Metas 3'!X$22</f>
        <v>77500000</v>
      </c>
      <c r="P22" s="404">
        <f>+'Metas 3'!Y$22</f>
        <v>0</v>
      </c>
      <c r="Q22" s="404">
        <f>+'Metas 3'!Z$22</f>
        <v>0</v>
      </c>
      <c r="R22" s="404">
        <f>+'Metas 3'!AA$22</f>
        <v>0</v>
      </c>
      <c r="S22" s="404">
        <f>+'Metas 3'!AB$22</f>
        <v>0</v>
      </c>
      <c r="T22" s="404">
        <f>+'Metas 3'!AC$22</f>
        <v>2501008965</v>
      </c>
      <c r="U22" s="404">
        <f>+'Metas 3'!AD$22</f>
        <v>0</v>
      </c>
      <c r="W22" s="405"/>
      <c r="X22" s="404">
        <f>+'Metas 3'!C$22</f>
        <v>0</v>
      </c>
      <c r="Y22" s="404">
        <f>+'Metas 3'!D$22</f>
        <v>0</v>
      </c>
      <c r="Z22" s="404">
        <f>+'Metas 3'!E$22</f>
        <v>0</v>
      </c>
      <c r="AA22" s="404">
        <f>+'Metas 3'!F$22</f>
        <v>0</v>
      </c>
      <c r="AB22" s="404">
        <f>+'Metas 3'!G$22</f>
        <v>0</v>
      </c>
      <c r="AC22" s="404">
        <f>+'Metas 3'!H$22</f>
        <v>0</v>
      </c>
      <c r="AD22" s="404">
        <f>+'Metas 3'!I$22</f>
        <v>0</v>
      </c>
      <c r="AE22" s="404">
        <f>+'Metas 3'!J$22</f>
        <v>0</v>
      </c>
      <c r="AF22" s="404">
        <f>+'Metas 3'!K$22</f>
        <v>0</v>
      </c>
      <c r="AG22" s="404">
        <f>+'Metas 3'!L$22</f>
        <v>0</v>
      </c>
      <c r="AH22" s="404">
        <f>+'Metas 3'!M$22</f>
        <v>0</v>
      </c>
      <c r="AI22" s="404">
        <f>+'Metas 3'!N$22</f>
        <v>0</v>
      </c>
      <c r="AJ22" s="404">
        <f>+'Metas 3'!O$22</f>
        <v>0</v>
      </c>
      <c r="AK22" s="404">
        <f>+'Metas 3'!P$22</f>
        <v>0</v>
      </c>
    </row>
    <row r="23" spans="1:37">
      <c r="A23" s="425"/>
      <c r="B23" s="422"/>
      <c r="C23" s="422"/>
      <c r="D23" s="403" t="s">
        <v>43</v>
      </c>
      <c r="E23" s="404"/>
      <c r="F23" s="404"/>
      <c r="G23" s="404">
        <f t="shared" si="0"/>
        <v>0</v>
      </c>
      <c r="H23" s="404">
        <f>+'Metas 3'!Q$23</f>
        <v>2170219796</v>
      </c>
      <c r="I23" s="404">
        <f>+'Metas 3'!R$23</f>
        <v>0</v>
      </c>
      <c r="J23" s="404">
        <f>+'Metas 3'!S$23</f>
        <v>0</v>
      </c>
      <c r="K23" s="404">
        <f>+'Metas 3'!T$23</f>
        <v>0</v>
      </c>
      <c r="L23" s="404">
        <f>+'Metas 3'!U$23</f>
        <v>0</v>
      </c>
      <c r="M23" s="404">
        <f>+'Metas 3'!V$23</f>
        <v>0</v>
      </c>
      <c r="N23" s="404">
        <f>+'Metas 3'!W$23</f>
        <v>0</v>
      </c>
      <c r="O23" s="404">
        <f>+'Metas 3'!X$23</f>
        <v>0</v>
      </c>
      <c r="P23" s="404">
        <f>+'Metas 3'!Y$23</f>
        <v>0</v>
      </c>
      <c r="Q23" s="404">
        <f>+'Metas 3'!Z$23</f>
        <v>0</v>
      </c>
      <c r="R23" s="404">
        <f>+'Metas 3'!AA$23</f>
        <v>0</v>
      </c>
      <c r="S23" s="404">
        <f>+'Metas 3'!AB$23</f>
        <v>0</v>
      </c>
      <c r="T23" s="404">
        <f>+'Metas 3'!AC$23</f>
        <v>2170219796</v>
      </c>
      <c r="U23" s="404">
        <f>+'Metas 3'!AD$23</f>
        <v>0.98304828821322821</v>
      </c>
      <c r="W23" s="405"/>
      <c r="X23" s="404">
        <f>+'Metas 3'!C$23</f>
        <v>0</v>
      </c>
      <c r="Y23" s="404">
        <f>+'Metas 3'!D$23</f>
        <v>0</v>
      </c>
      <c r="Z23" s="404">
        <f>+'Metas 3'!E$23</f>
        <v>0</v>
      </c>
      <c r="AA23" s="404">
        <f>+'Metas 3'!F$23</f>
        <v>0</v>
      </c>
      <c r="AB23" s="404">
        <f>+'Metas 3'!G$23</f>
        <v>0</v>
      </c>
      <c r="AC23" s="404">
        <f>+'Metas 3'!H$23</f>
        <v>0</v>
      </c>
      <c r="AD23" s="404">
        <f>+'Metas 3'!I$23</f>
        <v>0</v>
      </c>
      <c r="AE23" s="404">
        <f>+'Metas 3'!J$23</f>
        <v>0</v>
      </c>
      <c r="AF23" s="404">
        <f>+'Metas 3'!K$23</f>
        <v>0</v>
      </c>
      <c r="AG23" s="404">
        <f>+'Metas 3'!L$23</f>
        <v>0</v>
      </c>
      <c r="AH23" s="404">
        <f>+'Metas 3'!M$23</f>
        <v>0</v>
      </c>
      <c r="AI23" s="404">
        <f>+'Metas 3'!N$23</f>
        <v>0</v>
      </c>
      <c r="AJ23" s="404">
        <f>+'Metas 3'!O$23</f>
        <v>0</v>
      </c>
      <c r="AK23" s="404" t="str">
        <f>+'Metas 3'!P$23</f>
        <v xml:space="preserve"> </v>
      </c>
    </row>
    <row r="24" spans="1:37">
      <c r="A24" s="425"/>
      <c r="B24" s="422"/>
      <c r="C24" s="422"/>
      <c r="D24" s="403" t="s">
        <v>44</v>
      </c>
      <c r="E24" s="404">
        <v>2501008965</v>
      </c>
      <c r="F24" s="404">
        <f>+T24</f>
        <v>2501008965</v>
      </c>
      <c r="G24" s="404">
        <f t="shared" si="0"/>
        <v>0</v>
      </c>
      <c r="H24" s="404">
        <f>+'Metas 3'!Q$24</f>
        <v>0</v>
      </c>
      <c r="I24" s="404">
        <f>+'Metas 3'!R$24</f>
        <v>102901451.99999993</v>
      </c>
      <c r="J24" s="404">
        <f>+'Metas 3'!S$24</f>
        <v>191360940</v>
      </c>
      <c r="K24" s="404">
        <f>+'Metas 3'!T$24</f>
        <v>194735940</v>
      </c>
      <c r="L24" s="404">
        <f>+'Metas 3'!U$24</f>
        <v>193580996</v>
      </c>
      <c r="M24" s="404">
        <f>+'Metas 3'!V$24</f>
        <v>213334225</v>
      </c>
      <c r="N24" s="404">
        <f>+'Metas 3'!W$24</f>
        <v>222584225</v>
      </c>
      <c r="O24" s="404">
        <f>+'Metas 3'!X$24</f>
        <v>230877557</v>
      </c>
      <c r="P24" s="404">
        <f>+'Metas 3'!Y$24</f>
        <v>217063730</v>
      </c>
      <c r="Q24" s="404">
        <f>+'Metas 3'!Z$24</f>
        <v>223377557</v>
      </c>
      <c r="R24" s="404">
        <f>+'Metas 3'!AA$24</f>
        <v>239459225</v>
      </c>
      <c r="S24" s="404">
        <f>+'Metas 3'!AB$24</f>
        <v>471733118</v>
      </c>
      <c r="T24" s="404">
        <f>+'Metas 3'!AC$24</f>
        <v>2501008965</v>
      </c>
      <c r="U24" s="404">
        <f>+'Metas 3'!AD$24</f>
        <v>0</v>
      </c>
      <c r="W24" s="405"/>
      <c r="X24" s="404">
        <f>+'Metas 3'!C$24</f>
        <v>0</v>
      </c>
      <c r="Y24" s="404">
        <f>+'Metas 3'!D$24</f>
        <v>12368266</v>
      </c>
      <c r="Z24" s="404">
        <f>+'Metas 3'!E$24</f>
        <v>69252528</v>
      </c>
      <c r="AA24" s="404">
        <f>+'Metas 3'!F$24</f>
        <v>1175000</v>
      </c>
      <c r="AB24" s="404">
        <f>+'Metas 3'!G$24</f>
        <v>0</v>
      </c>
      <c r="AC24" s="404">
        <f>+'Metas 3'!H$24</f>
        <v>0</v>
      </c>
      <c r="AD24" s="404">
        <f>+'Metas 3'!I$24</f>
        <v>0</v>
      </c>
      <c r="AE24" s="404">
        <f>+'Metas 3'!J$24</f>
        <v>0</v>
      </c>
      <c r="AF24" s="404">
        <f>+'Metas 3'!K$24</f>
        <v>0</v>
      </c>
      <c r="AG24" s="404">
        <f>+'Metas 3'!L$24</f>
        <v>0</v>
      </c>
      <c r="AH24" s="404">
        <f>+'Metas 3'!M$24</f>
        <v>0</v>
      </c>
      <c r="AI24" s="404">
        <f>+'Metas 3'!N$24</f>
        <v>0</v>
      </c>
      <c r="AJ24" s="404">
        <f>+'Metas 3'!O$24</f>
        <v>82795794</v>
      </c>
      <c r="AK24" s="404">
        <f>+'Metas 3'!P$24</f>
        <v>0</v>
      </c>
    </row>
    <row r="25" spans="1:37">
      <c r="A25" s="425"/>
      <c r="B25" s="422"/>
      <c r="C25" s="422"/>
      <c r="D25" s="403" t="s">
        <v>45</v>
      </c>
      <c r="E25" s="404"/>
      <c r="F25" s="404"/>
      <c r="G25" s="404">
        <f t="shared" si="0"/>
        <v>0</v>
      </c>
      <c r="H25" s="404">
        <f>+'Metas 3'!Q$25</f>
        <v>0</v>
      </c>
      <c r="I25" s="404">
        <f>+'Metas 3'!R$25</f>
        <v>0</v>
      </c>
      <c r="J25" s="404">
        <f>+'Metas 3'!S$25</f>
        <v>0</v>
      </c>
      <c r="K25" s="404">
        <f>+'Metas 3'!T$25</f>
        <v>0</v>
      </c>
      <c r="L25" s="404">
        <f>+'Metas 3'!U$25</f>
        <v>0</v>
      </c>
      <c r="M25" s="404">
        <f>+'Metas 3'!V$25</f>
        <v>0</v>
      </c>
      <c r="N25" s="404">
        <f>+'Metas 3'!W$25</f>
        <v>0</v>
      </c>
      <c r="O25" s="404">
        <f>+'Metas 3'!X$25</f>
        <v>0</v>
      </c>
      <c r="P25" s="404">
        <f>+'Metas 3'!Y$25</f>
        <v>0</v>
      </c>
      <c r="Q25" s="404">
        <f>+'Metas 3'!Z$25</f>
        <v>0</v>
      </c>
      <c r="R25" s="404">
        <f>+'Metas 3'!AA$25</f>
        <v>0</v>
      </c>
      <c r="S25" s="404">
        <f>+'Metas 3'!AB$25</f>
        <v>0</v>
      </c>
      <c r="T25" s="404">
        <f>+'Metas 3'!AC$25</f>
        <v>0</v>
      </c>
      <c r="U25" s="404" t="str">
        <f ca="1">+'Metas 3'!AD$25</f>
        <v xml:space="preserve"> </v>
      </c>
      <c r="W25" s="405"/>
      <c r="X25" s="404">
        <f>+'Metas 3'!C$25</f>
        <v>7349999.9999999991</v>
      </c>
      <c r="Y25" s="404">
        <f>+'Metas 3'!D$25</f>
        <v>0</v>
      </c>
      <c r="Z25" s="404">
        <f>+'Metas 3'!E$25</f>
        <v>0</v>
      </c>
      <c r="AA25" s="404">
        <f>+'Metas 3'!F$25</f>
        <v>0</v>
      </c>
      <c r="AB25" s="404">
        <f>+'Metas 3'!G$25</f>
        <v>0</v>
      </c>
      <c r="AC25" s="404">
        <f>+'Metas 3'!H$25</f>
        <v>0</v>
      </c>
      <c r="AD25" s="404">
        <f>+'Metas 3'!I$25</f>
        <v>0</v>
      </c>
      <c r="AE25" s="404">
        <f>+'Metas 3'!J$25</f>
        <v>0</v>
      </c>
      <c r="AF25" s="404">
        <f>+'Metas 3'!K$25</f>
        <v>0</v>
      </c>
      <c r="AG25" s="404">
        <f>+'Metas 3'!L$25</f>
        <v>0</v>
      </c>
      <c r="AH25" s="404">
        <f>+'Metas 3'!M$25</f>
        <v>0</v>
      </c>
      <c r="AI25" s="404">
        <f>+'Metas 3'!N$25</f>
        <v>0</v>
      </c>
      <c r="AJ25" s="404">
        <f>+'Metas 3'!O$25</f>
        <v>7349999.9999999991</v>
      </c>
      <c r="AK25" s="404" t="str">
        <f>+'Metas 3'!P$25</f>
        <v xml:space="preserve"> </v>
      </c>
    </row>
    <row r="26" spans="1:37">
      <c r="A26" s="425"/>
      <c r="B26" s="422"/>
      <c r="C26" s="422"/>
      <c r="D26" s="403" t="s">
        <v>620</v>
      </c>
      <c r="E26" s="406">
        <f>+[2]Hoja1!$AS$34</f>
        <v>0</v>
      </c>
      <c r="F26" s="407">
        <f>+'Metas 3'!W17</f>
        <v>0.25</v>
      </c>
      <c r="G26" s="407">
        <f t="shared" si="0"/>
        <v>-0.25</v>
      </c>
      <c r="H26" s="408">
        <f>+'Metas 3'!D$34</f>
        <v>2.3083333333333331E-2</v>
      </c>
      <c r="I26" s="408">
        <f>+'Metas 3'!E$34</f>
        <v>2.0833333333333332E-2</v>
      </c>
      <c r="J26" s="408">
        <f>+'Metas 3'!F$34</f>
        <v>2.0833333333333332E-2</v>
      </c>
      <c r="K26" s="408">
        <f>+'Metas 3'!G$34</f>
        <v>2.0833333333333332E-2</v>
      </c>
      <c r="L26" s="408">
        <f>+'Metas 3'!H$34</f>
        <v>2.0833333333333332E-2</v>
      </c>
      <c r="M26" s="408">
        <f>+'Metas 3'!I$34</f>
        <v>2.0833333333333332E-2</v>
      </c>
      <c r="N26" s="408">
        <f>+'Metas 3'!J$34</f>
        <v>2.0833333333333332E-2</v>
      </c>
      <c r="O26" s="408">
        <f>+'Metas 3'!K$34</f>
        <v>2.0833333333333332E-2</v>
      </c>
      <c r="P26" s="408">
        <f>+'Metas 3'!L$34</f>
        <v>2.0833333333333332E-2</v>
      </c>
      <c r="Q26" s="408">
        <f>+'Metas 3'!M$34</f>
        <v>2.0833333333333332E-2</v>
      </c>
      <c r="R26" s="408">
        <f>+'Metas 3'!N$34</f>
        <v>2.0833333333333332E-2</v>
      </c>
      <c r="S26" s="408">
        <f>+'Metas 3'!O$34</f>
        <v>2.0833333333333332E-2</v>
      </c>
      <c r="T26" s="408">
        <f>+'Metas 3'!P$34</f>
        <v>0.25225000000000003</v>
      </c>
      <c r="U26" s="408" t="str">
        <f>+'Metas 3'!Q$34</f>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
      <c r="W26" s="409"/>
    </row>
    <row r="27" spans="1:37">
      <c r="A27" s="426"/>
      <c r="B27" s="422"/>
      <c r="C27" s="422"/>
      <c r="D27" s="403" t="s">
        <v>621</v>
      </c>
      <c r="E27" s="408"/>
      <c r="F27" s="408"/>
      <c r="G27" s="408">
        <f t="shared" si="0"/>
        <v>0</v>
      </c>
      <c r="H27" s="408">
        <f>+'Metas 3'!D$35</f>
        <v>1.5583333333333334E-2</v>
      </c>
      <c r="I27" s="408">
        <f>+'Metas 3'!E$35</f>
        <v>0</v>
      </c>
      <c r="J27" s="408">
        <f>+'Metas 3'!F$35</f>
        <v>0</v>
      </c>
      <c r="K27" s="408">
        <f>+'Metas 3'!G$35</f>
        <v>0</v>
      </c>
      <c r="L27" s="408">
        <f>+'Metas 3'!H$35</f>
        <v>0</v>
      </c>
      <c r="M27" s="408">
        <f>+'Metas 3'!I$35</f>
        <v>0</v>
      </c>
      <c r="N27" s="408">
        <f>+'Metas 3'!J$35</f>
        <v>0</v>
      </c>
      <c r="O27" s="408">
        <f>+'Metas 3'!K$35</f>
        <v>0</v>
      </c>
      <c r="P27" s="408">
        <f>+'Metas 3'!L$35</f>
        <v>0</v>
      </c>
      <c r="Q27" s="408">
        <f>+'Metas 3'!M$35</f>
        <v>0</v>
      </c>
      <c r="R27" s="408">
        <f>+'Metas 3'!N$35</f>
        <v>0</v>
      </c>
      <c r="S27" s="408">
        <f>+'Metas 3'!O$35</f>
        <v>0</v>
      </c>
      <c r="T27" s="411">
        <f>+'Metas 3'!P$35</f>
        <v>1.5583333333333334E-2</v>
      </c>
      <c r="U27" s="408">
        <f>+'Metas 3'!Q$35</f>
        <v>0</v>
      </c>
      <c r="W27" s="409"/>
    </row>
    <row r="28" spans="1:37">
      <c r="A28" s="424">
        <f>+A22+1</f>
        <v>4</v>
      </c>
      <c r="B28" s="422" t="str">
        <f>+'Metas 4 (Contrato relevos)'!A34</f>
        <v>4. Diseñar e implementar 1 estrategia de cuidado a cuidadoras.</v>
      </c>
      <c r="C28" s="423">
        <f>+'Metas 4 (Contrato relevos)'!B34</f>
        <v>0.15000000000000002</v>
      </c>
      <c r="D28" s="403" t="s">
        <v>619</v>
      </c>
      <c r="E28" s="404">
        <v>6333424930</v>
      </c>
      <c r="F28" s="404">
        <f>+T28</f>
        <v>6333424930</v>
      </c>
      <c r="G28" s="404">
        <f t="shared" si="0"/>
        <v>0</v>
      </c>
      <c r="H28" s="404">
        <f>+'Metas 4 (Contrato relevos)'!Q$22</f>
        <v>2217335062</v>
      </c>
      <c r="I28" s="404">
        <f>+'Metas 4 (Contrato relevos)'!R$22</f>
        <v>22500000</v>
      </c>
      <c r="J28" s="404">
        <f>+'Metas 4 (Contrato relevos)'!S$22</f>
        <v>0</v>
      </c>
      <c r="K28" s="404">
        <f>+'Metas 4 (Contrato relevos)'!T$22</f>
        <v>19980500</v>
      </c>
      <c r="L28" s="404">
        <f>+'Metas 4 (Contrato relevos)'!U$22</f>
        <v>3990629862</v>
      </c>
      <c r="M28" s="404">
        <f>+'Metas 4 (Contrato relevos)'!V$22</f>
        <v>10479506</v>
      </c>
      <c r="N28" s="404">
        <f>+'Metas 4 (Contrato relevos)'!W$22</f>
        <v>0</v>
      </c>
      <c r="O28" s="404">
        <f>+'Metas 4 (Contrato relevos)'!X$22</f>
        <v>72500000</v>
      </c>
      <c r="P28" s="404">
        <f>+'Metas 4 (Contrato relevos)'!Y$22</f>
        <v>0</v>
      </c>
      <c r="Q28" s="404">
        <f>+'Metas 4 (Contrato relevos)'!Z$22</f>
        <v>0</v>
      </c>
      <c r="R28" s="404">
        <f>+'Metas 4 (Contrato relevos)'!AA$22</f>
        <v>0</v>
      </c>
      <c r="S28" s="404">
        <f>+'Metas 4 (Contrato relevos)'!AB$22</f>
        <v>0</v>
      </c>
      <c r="T28" s="404">
        <f>+'Metas 4 (Contrato relevos)'!AC$22</f>
        <v>6333424930</v>
      </c>
      <c r="U28" s="404">
        <f>+'Metas 4 (Contrato relevos)'!AD$22</f>
        <v>0</v>
      </c>
      <c r="W28" s="405"/>
      <c r="X28" s="404">
        <f>+'Metas 4 (Contrato relevos)'!C$22</f>
        <v>0</v>
      </c>
      <c r="Y28" s="404">
        <f>+'Metas 4 (Contrato relevos)'!D$22</f>
        <v>0</v>
      </c>
      <c r="Z28" s="404">
        <f>+'Metas 4 (Contrato relevos)'!E$22</f>
        <v>0</v>
      </c>
      <c r="AA28" s="404">
        <f>+'Metas 4 (Contrato relevos)'!F$22</f>
        <v>0</v>
      </c>
      <c r="AB28" s="404">
        <f>+'Metas 4 (Contrato relevos)'!G$22</f>
        <v>0</v>
      </c>
      <c r="AC28" s="404">
        <f>+'Metas 4 (Contrato relevos)'!H$22</f>
        <v>0</v>
      </c>
      <c r="AD28" s="404">
        <f>+'Metas 4 (Contrato relevos)'!I$22</f>
        <v>0</v>
      </c>
      <c r="AE28" s="404">
        <f>+'Metas 4 (Contrato relevos)'!J$22</f>
        <v>0</v>
      </c>
      <c r="AF28" s="404">
        <f>+'Metas 4 (Contrato relevos)'!K$22</f>
        <v>0</v>
      </c>
      <c r="AG28" s="404">
        <f>+'Metas 4 (Contrato relevos)'!L$22</f>
        <v>0</v>
      </c>
      <c r="AH28" s="404">
        <f>+'Metas 4 (Contrato relevos)'!M$22</f>
        <v>0</v>
      </c>
      <c r="AI28" s="404">
        <f>+'Metas 4 (Contrato relevos)'!N$22</f>
        <v>0</v>
      </c>
      <c r="AJ28" s="404">
        <f>+'Metas 4 (Contrato relevos)'!O$22</f>
        <v>0</v>
      </c>
      <c r="AK28" s="404">
        <f>+'Metas 4 (Contrato relevos)'!P$22</f>
        <v>0</v>
      </c>
    </row>
    <row r="29" spans="1:37">
      <c r="A29" s="425"/>
      <c r="B29" s="422"/>
      <c r="C29" s="422"/>
      <c r="D29" s="403" t="s">
        <v>43</v>
      </c>
      <c r="E29" s="404"/>
      <c r="F29" s="404"/>
      <c r="G29" s="404">
        <f t="shared" si="0"/>
        <v>0</v>
      </c>
      <c r="H29" s="404">
        <f>+'Metas 4 (Contrato relevos)'!Q$23</f>
        <v>2217335062</v>
      </c>
      <c r="I29" s="404">
        <f>+'Metas 4 (Contrato relevos)'!R$23</f>
        <v>0</v>
      </c>
      <c r="J29" s="404">
        <f>+'Metas 4 (Contrato relevos)'!S$23</f>
        <v>0</v>
      </c>
      <c r="K29" s="404">
        <f>+'Metas 4 (Contrato relevos)'!T$23</f>
        <v>0</v>
      </c>
      <c r="L29" s="404">
        <f>+'Metas 4 (Contrato relevos)'!U$23</f>
        <v>0</v>
      </c>
      <c r="M29" s="404">
        <f>+'Metas 4 (Contrato relevos)'!V$23</f>
        <v>0</v>
      </c>
      <c r="N29" s="404">
        <f>+'Metas 4 (Contrato relevos)'!W$23</f>
        <v>0</v>
      </c>
      <c r="O29" s="404">
        <f>+'Metas 4 (Contrato relevos)'!X$23</f>
        <v>0</v>
      </c>
      <c r="P29" s="404">
        <f>+'Metas 4 (Contrato relevos)'!Y$23</f>
        <v>0</v>
      </c>
      <c r="Q29" s="404">
        <f>+'Metas 4 (Contrato relevos)'!Z$23</f>
        <v>0</v>
      </c>
      <c r="R29" s="404">
        <f>+'Metas 4 (Contrato relevos)'!AA$23</f>
        <v>0</v>
      </c>
      <c r="S29" s="404">
        <f>+'Metas 4 (Contrato relevos)'!AB$23</f>
        <v>0</v>
      </c>
      <c r="T29" s="404">
        <f>+'Metas 4 (Contrato relevos)'!AC$23</f>
        <v>2217335062</v>
      </c>
      <c r="U29" s="404">
        <f>+'Metas 4 (Contrato relevos)'!AD$23</f>
        <v>1</v>
      </c>
      <c r="W29" s="405"/>
      <c r="X29" s="404">
        <f>+'Metas 4 (Contrato relevos)'!C$23</f>
        <v>0</v>
      </c>
      <c r="Y29" s="404">
        <f>+'Metas 4 (Contrato relevos)'!D$23</f>
        <v>0</v>
      </c>
      <c r="Z29" s="404">
        <f>+'Metas 4 (Contrato relevos)'!E$23</f>
        <v>0</v>
      </c>
      <c r="AA29" s="404">
        <f>+'Metas 4 (Contrato relevos)'!F$23</f>
        <v>0</v>
      </c>
      <c r="AB29" s="404">
        <f>+'Metas 4 (Contrato relevos)'!G$23</f>
        <v>0</v>
      </c>
      <c r="AC29" s="404">
        <f>+'Metas 4 (Contrato relevos)'!H$23</f>
        <v>0</v>
      </c>
      <c r="AD29" s="404">
        <f>+'Metas 4 (Contrato relevos)'!I$23</f>
        <v>0</v>
      </c>
      <c r="AE29" s="404">
        <f>+'Metas 4 (Contrato relevos)'!J$23</f>
        <v>0</v>
      </c>
      <c r="AF29" s="404">
        <f>+'Metas 4 (Contrato relevos)'!K$23</f>
        <v>0</v>
      </c>
      <c r="AG29" s="404">
        <f>+'Metas 4 (Contrato relevos)'!L$23</f>
        <v>0</v>
      </c>
      <c r="AH29" s="404">
        <f>+'Metas 4 (Contrato relevos)'!M$23</f>
        <v>0</v>
      </c>
      <c r="AI29" s="404">
        <f>+'Metas 4 (Contrato relevos)'!N$23</f>
        <v>0</v>
      </c>
      <c r="AJ29" s="404">
        <f>+'Metas 4 (Contrato relevos)'!O$23</f>
        <v>0</v>
      </c>
      <c r="AK29" s="404" t="str">
        <f>+'Metas 4 (Contrato relevos)'!P$23</f>
        <v xml:space="preserve"> </v>
      </c>
    </row>
    <row r="30" spans="1:37">
      <c r="A30" s="425"/>
      <c r="B30" s="422"/>
      <c r="C30" s="422"/>
      <c r="D30" s="403" t="s">
        <v>44</v>
      </c>
      <c r="E30" s="404">
        <v>6333424930</v>
      </c>
      <c r="F30" s="404">
        <f>+T30</f>
        <v>6333424930</v>
      </c>
      <c r="G30" s="404">
        <f t="shared" si="0"/>
        <v>0</v>
      </c>
      <c r="H30" s="404">
        <f>+'Metas 4 (Contrato relevos)'!Q$24</f>
        <v>0</v>
      </c>
      <c r="I30" s="404">
        <f>+'Metas 4 (Contrato relevos)'!R$24</f>
        <v>96865667</v>
      </c>
      <c r="J30" s="404">
        <f>+'Metas 4 (Contrato relevos)'!S$24</f>
        <v>196200867</v>
      </c>
      <c r="K30" s="404">
        <f>+'Metas 4 (Contrato relevos)'!T$24</f>
        <v>199575867</v>
      </c>
      <c r="L30" s="404">
        <f>+'Metas 4 (Contrato relevos)'!U$24</f>
        <v>198420923</v>
      </c>
      <c r="M30" s="404">
        <f>+'Metas 4 (Contrato relevos)'!V$24</f>
        <v>202767589</v>
      </c>
      <c r="N30" s="404">
        <f>+'Metas 4 (Contrato relevos)'!W$24</f>
        <v>1355778641</v>
      </c>
      <c r="O30" s="404">
        <f>+'Metas 4 (Contrato relevos)'!X$24</f>
        <v>685895446</v>
      </c>
      <c r="P30" s="404">
        <f>+'Metas 4 (Contrato relevos)'!Y$24</f>
        <v>672438285</v>
      </c>
      <c r="Q30" s="404">
        <f>+'Metas 4 (Contrato relevos)'!Z$24</f>
        <v>663395446</v>
      </c>
      <c r="R30" s="404">
        <f>+'Metas 4 (Contrato relevos)'!AA$24</f>
        <v>693833779</v>
      </c>
      <c r="S30" s="404">
        <f>+'Metas 4 (Contrato relevos)'!AB$24</f>
        <v>1368252420</v>
      </c>
      <c r="T30" s="404">
        <f>+'Metas 4 (Contrato relevos)'!AC$24</f>
        <v>6333424930</v>
      </c>
      <c r="U30" s="404">
        <f>+'Metas 4 (Contrato relevos)'!AD$24</f>
        <v>0</v>
      </c>
      <c r="W30" s="405"/>
      <c r="X30" s="404">
        <f>+'Metas 4 (Contrato relevos)'!C$24</f>
        <v>0</v>
      </c>
      <c r="Y30" s="404">
        <f>+'Metas 4 (Contrato relevos)'!D$24</f>
        <v>1036406616</v>
      </c>
      <c r="Z30" s="404">
        <f>+'Metas 4 (Contrato relevos)'!E$24</f>
        <v>1680282732</v>
      </c>
      <c r="AA30" s="404">
        <f>+'Metas 4 (Contrato relevos)'!F$24</f>
        <v>1080048922</v>
      </c>
      <c r="AB30" s="404">
        <f>+'Metas 4 (Contrato relevos)'!G$24</f>
        <v>928996922</v>
      </c>
      <c r="AC30" s="404">
        <f>+'Metas 4 (Contrato relevos)'!H$24</f>
        <v>0</v>
      </c>
      <c r="AD30" s="404">
        <f>+'Metas 4 (Contrato relevos)'!I$24</f>
        <v>0</v>
      </c>
      <c r="AE30" s="404">
        <f>+'Metas 4 (Contrato relevos)'!J$24</f>
        <v>0</v>
      </c>
      <c r="AF30" s="404">
        <f>+'Metas 4 (Contrato relevos)'!K$24</f>
        <v>0</v>
      </c>
      <c r="AG30" s="404">
        <f>+'Metas 4 (Contrato relevos)'!L$24</f>
        <v>0</v>
      </c>
      <c r="AH30" s="404">
        <f>+'Metas 4 (Contrato relevos)'!M$24</f>
        <v>0</v>
      </c>
      <c r="AI30" s="404">
        <f>+'Metas 4 (Contrato relevos)'!N$24</f>
        <v>0</v>
      </c>
      <c r="AJ30" s="404">
        <f>+'Metas 4 (Contrato relevos)'!O$24</f>
        <v>4725735192</v>
      </c>
      <c r="AK30" s="404">
        <f>+'Metas 4 (Contrato relevos)'!P$24</f>
        <v>0</v>
      </c>
    </row>
    <row r="31" spans="1:37">
      <c r="A31" s="425"/>
      <c r="B31" s="422"/>
      <c r="C31" s="422"/>
      <c r="D31" s="403" t="s">
        <v>45</v>
      </c>
      <c r="E31" s="404"/>
      <c r="F31" s="404"/>
      <c r="G31" s="404">
        <f t="shared" si="0"/>
        <v>0</v>
      </c>
      <c r="H31" s="404">
        <f>+'Metas 4 (Contrato relevos)'!Q$25</f>
        <v>0</v>
      </c>
      <c r="I31" s="404">
        <f>+'Metas 4 (Contrato relevos)'!R$25</f>
        <v>0</v>
      </c>
      <c r="J31" s="404">
        <f>+'Metas 4 (Contrato relevos)'!S$25</f>
        <v>0</v>
      </c>
      <c r="K31" s="404">
        <f>+'Metas 4 (Contrato relevos)'!T$25</f>
        <v>0</v>
      </c>
      <c r="L31" s="404">
        <f>+'Metas 4 (Contrato relevos)'!U$25</f>
        <v>0</v>
      </c>
      <c r="M31" s="404">
        <f>+'Metas 4 (Contrato relevos)'!V$25</f>
        <v>0</v>
      </c>
      <c r="N31" s="404">
        <f>+'Metas 4 (Contrato relevos)'!W$25</f>
        <v>0</v>
      </c>
      <c r="O31" s="404">
        <f>+'Metas 4 (Contrato relevos)'!X$25</f>
        <v>0</v>
      </c>
      <c r="P31" s="404">
        <f>+'Metas 4 (Contrato relevos)'!Y$25</f>
        <v>0</v>
      </c>
      <c r="Q31" s="404">
        <f>+'Metas 4 (Contrato relevos)'!Z$25</f>
        <v>0</v>
      </c>
      <c r="R31" s="404">
        <f>+'Metas 4 (Contrato relevos)'!AA$25</f>
        <v>0</v>
      </c>
      <c r="S31" s="404">
        <f>+'Metas 4 (Contrato relevos)'!AB$25</f>
        <v>0</v>
      </c>
      <c r="T31" s="404">
        <f>+'Metas 4 (Contrato relevos)'!AC$25</f>
        <v>0</v>
      </c>
      <c r="U31" s="404" t="str">
        <f ca="1">+'Metas 4 (Contrato relevos)'!AD$25</f>
        <v xml:space="preserve"> </v>
      </c>
      <c r="W31" s="405"/>
      <c r="X31" s="404">
        <f>+'Metas 4 (Contrato relevos)'!C$25</f>
        <v>67254654</v>
      </c>
      <c r="Y31" s="404">
        <f>+'Metas 4 (Contrato relevos)'!D$25</f>
        <v>0</v>
      </c>
      <c r="Z31" s="404">
        <f>+'Metas 4 (Contrato relevos)'!E$25</f>
        <v>0</v>
      </c>
      <c r="AA31" s="404">
        <f>+'Metas 4 (Contrato relevos)'!F$25</f>
        <v>0</v>
      </c>
      <c r="AB31" s="404">
        <f>+'Metas 4 (Contrato relevos)'!G$25</f>
        <v>0</v>
      </c>
      <c r="AC31" s="404">
        <f>+'Metas 4 (Contrato relevos)'!H$25</f>
        <v>0</v>
      </c>
      <c r="AD31" s="404">
        <f>+'Metas 4 (Contrato relevos)'!I$25</f>
        <v>0</v>
      </c>
      <c r="AE31" s="404">
        <f>+'Metas 4 (Contrato relevos)'!J$25</f>
        <v>0</v>
      </c>
      <c r="AF31" s="404">
        <f>+'Metas 4 (Contrato relevos)'!K$25</f>
        <v>0</v>
      </c>
      <c r="AG31" s="404">
        <f>+'Metas 4 (Contrato relevos)'!L$25</f>
        <v>0</v>
      </c>
      <c r="AH31" s="404">
        <f>+'Metas 4 (Contrato relevos)'!M$25</f>
        <v>0</v>
      </c>
      <c r="AI31" s="404">
        <f>+'Metas 4 (Contrato relevos)'!N$25</f>
        <v>0</v>
      </c>
      <c r="AJ31" s="404">
        <f>+'Metas 4 (Contrato relevos)'!O$25</f>
        <v>67254654</v>
      </c>
      <c r="AK31" s="404" t="str">
        <f>+'Metas 4 (Contrato relevos)'!P$25</f>
        <v xml:space="preserve"> </v>
      </c>
    </row>
    <row r="32" spans="1:37">
      <c r="A32" s="425"/>
      <c r="B32" s="422"/>
      <c r="C32" s="422"/>
      <c r="D32" s="403" t="s">
        <v>620</v>
      </c>
      <c r="E32" s="406">
        <f>+[2]Hoja1!$AS$35</f>
        <v>6</v>
      </c>
      <c r="F32" s="407">
        <f>+'Metas 4 (Contrato relevos)'!$W$17</f>
        <v>0.24</v>
      </c>
      <c r="G32" s="407">
        <f t="shared" si="0"/>
        <v>5.76</v>
      </c>
      <c r="H32" s="408">
        <f>+'Metas 4 (Contrato relevos)'!D$34</f>
        <v>1.9552E-2</v>
      </c>
      <c r="I32" s="408">
        <f>+'Metas 4 (Contrato relevos)'!E$34</f>
        <v>1.9552E-2</v>
      </c>
      <c r="J32" s="408">
        <f>+'Metas 4 (Contrato relevos)'!F$34</f>
        <v>1.9552E-2</v>
      </c>
      <c r="K32" s="408">
        <f>+'Metas 4 (Contrato relevos)'!G$34</f>
        <v>1.7774222222222219E-2</v>
      </c>
      <c r="L32" s="408">
        <f>+'Metas 4 (Contrato relevos)'!H$34</f>
        <v>2.4886222222222223E-2</v>
      </c>
      <c r="M32" s="408">
        <f>+'Metas 4 (Contrato relevos)'!I$34</f>
        <v>2.4886222222222223E-2</v>
      </c>
      <c r="N32" s="408">
        <f>+'Metas 4 (Contrato relevos)'!J$34</f>
        <v>2.4886222222222223E-2</v>
      </c>
      <c r="O32" s="408">
        <f>+'Metas 4 (Contrato relevos)'!K$34</f>
        <v>1.7774222222222219E-2</v>
      </c>
      <c r="P32" s="408">
        <f>+'Metas 4 (Contrato relevos)'!L$34</f>
        <v>1.7774222222222219E-2</v>
      </c>
      <c r="Q32" s="408">
        <f>+'Metas 4 (Contrato relevos)'!M$34</f>
        <v>1.7774222222222219E-2</v>
      </c>
      <c r="R32" s="408">
        <f>+'Metas 4 (Contrato relevos)'!N$34</f>
        <v>1.7774222222222219E-2</v>
      </c>
      <c r="S32" s="408">
        <f>+'Metas 4 (Contrato relevos)'!O$34</f>
        <v>1.7774222222222219E-2</v>
      </c>
      <c r="T32" s="408">
        <f>+'Metas 4 (Contrato relevos)'!P$34</f>
        <v>0.23995999999999998</v>
      </c>
      <c r="U32" s="408" t="str">
        <f>+'Metas 4 (Contrato relevos)'!Q$34</f>
        <v>Se definió la distribución de metas por territorio, se elaboraron materiales de contexto de los componentes de formación complementaria, formación y respiro con enfoque diferencial y de la evaluación y certificación de saberes en materia de cuidado y se definieron procedimientos para la actuación del equipo, se cuenta con: Plan de trabajo distrital de formadoras territoriales, Plan de trabajo distrital de evaluadoras-certificadoras, Procedimiento de formación en territorio, Mapa de distribución territorial del equipo, Presentación de inducción al equipo asignado para 19 localidades.
A enero 2022 se acumularon 2.228 visitas efectivamente realizadas para 1.855 beneficiarias y se aprobaron 722 planes de trabajo. Adicional se desarrollaron 4 comités operativos donde se presentaron reportes y avances del cumplimiento contractual del programa, se definieron acciones para dar cumplimiento a la prórroga, como la actualización de planes de trabajo y la adecuación del modelo de formación para sesiones adicionales del curso de la Universidad Nacional: “Herramientas para las cuidadoras en el reconocimiento de su trabajo de cuidado”.
Adicional a ello, se continuó en el avance las acciones necesarias para la implementación del modelo de monitoreo y seguimiento con personal contratado por la Entidad, se logró conformar el equipo de 26 contratistas que realizaron las respectivas acciones que buscan garantizar el cumplimiento del contrato con el Operador actual y el que se espera suscribir en el segundo semestre del año. Dichas acciones desarrolladas en el mes de enero fueron la creación de protocolo de revisión de planes de trabajo y validación de instrumentos de seguimiento del avance del desarrollo del contrato 847 de 2021.</v>
      </c>
      <c r="W32" s="409"/>
    </row>
    <row r="33" spans="1:37">
      <c r="A33" s="426"/>
      <c r="B33" s="422"/>
      <c r="C33" s="422"/>
      <c r="D33" s="403" t="s">
        <v>621</v>
      </c>
      <c r="E33" s="408"/>
      <c r="F33" s="408"/>
      <c r="G33" s="408">
        <f t="shared" si="0"/>
        <v>0</v>
      </c>
      <c r="H33" s="408">
        <f>+'Metas 4 (Contrato relevos)'!D$35</f>
        <v>1.9199999999999998E-2</v>
      </c>
      <c r="I33" s="408" t="e">
        <f>+'Metas 4 (Contrato relevos)'!E$35</f>
        <v>#DIV/0!</v>
      </c>
      <c r="J33" s="408" t="e">
        <f>+'Metas 4 (Contrato relevos)'!F$35</f>
        <v>#DIV/0!</v>
      </c>
      <c r="K33" s="408" t="e">
        <f>+'Metas 4 (Contrato relevos)'!G$35</f>
        <v>#DIV/0!</v>
      </c>
      <c r="L33" s="408" t="e">
        <f>+'Metas 4 (Contrato relevos)'!H$35</f>
        <v>#DIV/0!</v>
      </c>
      <c r="M33" s="408" t="e">
        <f>+'Metas 4 (Contrato relevos)'!I$35</f>
        <v>#DIV/0!</v>
      </c>
      <c r="N33" s="408" t="e">
        <f>+'Metas 4 (Contrato relevos)'!J$35</f>
        <v>#DIV/0!</v>
      </c>
      <c r="O33" s="408" t="e">
        <f>+'Metas 4 (Contrato relevos)'!K$35</f>
        <v>#DIV/0!</v>
      </c>
      <c r="P33" s="408" t="e">
        <f>+'Metas 4 (Contrato relevos)'!L$35</f>
        <v>#DIV/0!</v>
      </c>
      <c r="Q33" s="408" t="e">
        <f>+'Metas 4 (Contrato relevos)'!M$35</f>
        <v>#DIV/0!</v>
      </c>
      <c r="R33" s="408" t="e">
        <f>+'Metas 4 (Contrato relevos)'!N$35</f>
        <v>#DIV/0!</v>
      </c>
      <c r="S33" s="408" t="e">
        <f>+'Metas 4 (Contrato relevos)'!O$35</f>
        <v>#DIV/0!</v>
      </c>
      <c r="T33" s="408">
        <f>+'Metas 4 (Contrato relevos)'!P$35</f>
        <v>1.9199999999999998E-2</v>
      </c>
      <c r="U33" s="408">
        <f>+'Metas 4 (Contrato relevos)'!Q$35</f>
        <v>0</v>
      </c>
      <c r="W33" s="409"/>
    </row>
    <row r="34" spans="1:37">
      <c r="A34" s="424">
        <f>+A28+1</f>
        <v>5</v>
      </c>
      <c r="B34" s="422" t="str">
        <f>+'Metas 5'!A34</f>
        <v>5. Diseñar 1 documento para la implementación de la estrategia pedagógica para la valoración, la resignificación, el reconocimiento y la redistribución del trabajo de cuidado no remunerado que realizan las mujeres en Bogotá</v>
      </c>
      <c r="C34" s="423">
        <f>+'Metas 5'!B34</f>
        <v>0.1</v>
      </c>
      <c r="D34" s="403" t="s">
        <v>619</v>
      </c>
      <c r="E34" s="404">
        <v>394554764</v>
      </c>
      <c r="F34" s="404">
        <f>+T34</f>
        <v>394554764</v>
      </c>
      <c r="G34" s="404">
        <f t="shared" si="0"/>
        <v>0</v>
      </c>
      <c r="H34" s="404">
        <f>+'Metas 5'!Q$22</f>
        <v>345554764</v>
      </c>
      <c r="I34" s="404">
        <f>+'Metas 5'!R$22</f>
        <v>0</v>
      </c>
      <c r="J34" s="404">
        <f>+'Metas 5'!S$22</f>
        <v>0</v>
      </c>
      <c r="K34" s="404">
        <f>+'Metas 5'!T$22</f>
        <v>0</v>
      </c>
      <c r="L34" s="404">
        <f>+'Metas 5'!U$22</f>
        <v>14000000</v>
      </c>
      <c r="M34" s="404">
        <f>+'Metas 5'!V$22</f>
        <v>0</v>
      </c>
      <c r="N34" s="404">
        <f>+'Metas 5'!W$22</f>
        <v>0</v>
      </c>
      <c r="O34" s="404">
        <f>+'Metas 5'!X$22</f>
        <v>35000000</v>
      </c>
      <c r="P34" s="404">
        <f>+'Metas 5'!Y$22</f>
        <v>0</v>
      </c>
      <c r="Q34" s="404">
        <f>+'Metas 5'!Z$22</f>
        <v>0</v>
      </c>
      <c r="R34" s="404">
        <f>+'Metas 5'!AA$22</f>
        <v>0</v>
      </c>
      <c r="S34" s="404">
        <f>+'Metas 5'!AB$22</f>
        <v>0</v>
      </c>
      <c r="T34" s="404">
        <f>+'Metas 5'!AC$22</f>
        <v>394554764</v>
      </c>
      <c r="U34" s="404">
        <f>+'Metas 5'!AD$22</f>
        <v>0</v>
      </c>
      <c r="W34" s="405"/>
      <c r="X34" s="404">
        <f>+'Metas 5'!C$22</f>
        <v>0</v>
      </c>
      <c r="Y34" s="404">
        <f>+'Metas 5'!D$22</f>
        <v>0</v>
      </c>
      <c r="Z34" s="404">
        <f>+'Metas 5'!E$22</f>
        <v>0</v>
      </c>
      <c r="AA34" s="404">
        <f>+'Metas 5'!F$22</f>
        <v>0</v>
      </c>
      <c r="AB34" s="404">
        <f>+'Metas 5'!G$22</f>
        <v>0</v>
      </c>
      <c r="AC34" s="404">
        <f>+'Metas 5'!H$22</f>
        <v>0</v>
      </c>
      <c r="AD34" s="404">
        <f>+'Metas 5'!I$22</f>
        <v>0</v>
      </c>
      <c r="AE34" s="404">
        <f>+'Metas 5'!J$22</f>
        <v>0</v>
      </c>
      <c r="AF34" s="404">
        <f>+'Metas 5'!K$22</f>
        <v>0</v>
      </c>
      <c r="AG34" s="404">
        <f>+'Metas 5'!L$22</f>
        <v>0</v>
      </c>
      <c r="AH34" s="404">
        <f>+'Metas 5'!M$22</f>
        <v>0</v>
      </c>
      <c r="AI34" s="404">
        <f>+'Metas 5'!N$22</f>
        <v>0</v>
      </c>
      <c r="AJ34" s="404">
        <f>+'Metas 5'!O$22</f>
        <v>0</v>
      </c>
      <c r="AK34" s="404">
        <f>+'Metas 5'!P$22</f>
        <v>0</v>
      </c>
    </row>
    <row r="35" spans="1:37">
      <c r="A35" s="425"/>
      <c r="B35" s="422"/>
      <c r="C35" s="423"/>
      <c r="D35" s="403" t="s">
        <v>43</v>
      </c>
      <c r="E35" s="404"/>
      <c r="F35" s="404"/>
      <c r="G35" s="404">
        <f t="shared" si="0"/>
        <v>0</v>
      </c>
      <c r="H35" s="404">
        <f>+'Metas 5'!Q$23</f>
        <v>345554764</v>
      </c>
      <c r="I35" s="404">
        <f>+'Metas 5'!R$23</f>
        <v>0</v>
      </c>
      <c r="J35" s="404">
        <f>+'Metas 5'!S$23</f>
        <v>0</v>
      </c>
      <c r="K35" s="404">
        <f>+'Metas 5'!T$23</f>
        <v>0</v>
      </c>
      <c r="L35" s="404">
        <f>+'Metas 5'!U$23</f>
        <v>0</v>
      </c>
      <c r="M35" s="404">
        <f>+'Metas 5'!V$23</f>
        <v>0</v>
      </c>
      <c r="N35" s="404">
        <f>+'Metas 5'!W$23</f>
        <v>0</v>
      </c>
      <c r="O35" s="404">
        <f>+'Metas 5'!X$23</f>
        <v>0</v>
      </c>
      <c r="P35" s="404">
        <f>+'Metas 5'!Y$23</f>
        <v>0</v>
      </c>
      <c r="Q35" s="404">
        <f>+'Metas 5'!Z$23</f>
        <v>0</v>
      </c>
      <c r="R35" s="404">
        <f>+'Metas 5'!AA$23</f>
        <v>0</v>
      </c>
      <c r="S35" s="404">
        <f>+'Metas 5'!AB$23</f>
        <v>0</v>
      </c>
      <c r="T35" s="404">
        <f>+'Metas 5'!AC$23</f>
        <v>345554764</v>
      </c>
      <c r="U35" s="404">
        <f>+'Metas 5'!AD$23</f>
        <v>1</v>
      </c>
      <c r="W35" s="405"/>
      <c r="X35" s="404">
        <f>+'Metas 5'!C$23</f>
        <v>0</v>
      </c>
      <c r="Y35" s="404">
        <f>+'Metas 5'!D$23</f>
        <v>0</v>
      </c>
      <c r="Z35" s="404">
        <f>+'Metas 5'!E$23</f>
        <v>0</v>
      </c>
      <c r="AA35" s="404">
        <f>+'Metas 5'!F$23</f>
        <v>0</v>
      </c>
      <c r="AB35" s="404">
        <f>+'Metas 5'!G$23</f>
        <v>0</v>
      </c>
      <c r="AC35" s="404">
        <f>+'Metas 5'!H$23</f>
        <v>0</v>
      </c>
      <c r="AD35" s="404">
        <f>+'Metas 5'!I$23</f>
        <v>0</v>
      </c>
      <c r="AE35" s="404">
        <f>+'Metas 5'!J$23</f>
        <v>0</v>
      </c>
      <c r="AF35" s="404">
        <f>+'Metas 5'!K$23</f>
        <v>0</v>
      </c>
      <c r="AG35" s="404">
        <f>+'Metas 5'!L$23</f>
        <v>0</v>
      </c>
      <c r="AH35" s="404">
        <f>+'Metas 5'!M$23</f>
        <v>0</v>
      </c>
      <c r="AI35" s="404">
        <f>+'Metas 5'!N$23</f>
        <v>0</v>
      </c>
      <c r="AJ35" s="404">
        <f>+'Metas 5'!O$23</f>
        <v>0</v>
      </c>
      <c r="AK35" s="404" t="str">
        <f>+'Metas 5'!P$23</f>
        <v xml:space="preserve"> </v>
      </c>
    </row>
    <row r="36" spans="1:37">
      <c r="A36" s="425"/>
      <c r="B36" s="422"/>
      <c r="C36" s="423"/>
      <c r="D36" s="403" t="s">
        <v>44</v>
      </c>
      <c r="E36" s="404">
        <v>394554764</v>
      </c>
      <c r="F36" s="404">
        <f>+T36</f>
        <v>394554764</v>
      </c>
      <c r="G36" s="404">
        <f t="shared" si="0"/>
        <v>0</v>
      </c>
      <c r="H36" s="404">
        <f>+'Metas 5'!Q$24</f>
        <v>0</v>
      </c>
      <c r="I36" s="404">
        <f>+'Metas 5'!R$24</f>
        <v>11837729.999999998</v>
      </c>
      <c r="J36" s="404">
        <f>+'Metas 5'!S$24</f>
        <v>30358700</v>
      </c>
      <c r="K36" s="404">
        <f>+'Metas 5'!T$24</f>
        <v>30358700</v>
      </c>
      <c r="L36" s="404">
        <f>+'Metas 5'!U$24</f>
        <v>30358700</v>
      </c>
      <c r="M36" s="404">
        <f>+'Metas 5'!V$24</f>
        <v>30358700</v>
      </c>
      <c r="N36" s="404">
        <f>+'Metas 5'!W$24</f>
        <v>44358700</v>
      </c>
      <c r="O36" s="404">
        <f>+'Metas 5'!X$24</f>
        <v>30358700</v>
      </c>
      <c r="P36" s="404">
        <f>+'Metas 5'!Y$24</f>
        <v>30358700</v>
      </c>
      <c r="Q36" s="404">
        <f>+'Metas 5'!Z$24</f>
        <v>30358700</v>
      </c>
      <c r="R36" s="404">
        <f>+'Metas 5'!AA$24</f>
        <v>37358700</v>
      </c>
      <c r="S36" s="404">
        <f>+'Metas 5'!AB$24</f>
        <v>88488734</v>
      </c>
      <c r="T36" s="404">
        <f>+'Metas 5'!AC$24</f>
        <v>394554764</v>
      </c>
      <c r="U36" s="404">
        <f>+'Metas 5'!AD$24</f>
        <v>0</v>
      </c>
      <c r="W36" s="405"/>
      <c r="X36" s="404">
        <f>+'Metas 5'!C$24</f>
        <v>0</v>
      </c>
      <c r="Y36" s="404">
        <f>+'Metas 5'!D$24</f>
        <v>3000667</v>
      </c>
      <c r="Z36" s="404">
        <f>+'Metas 5'!E$24</f>
        <v>179378</v>
      </c>
      <c r="AA36" s="404">
        <f>+'Metas 5'!F$24</f>
        <v>0</v>
      </c>
      <c r="AB36" s="404">
        <f>+'Metas 5'!G$24</f>
        <v>0</v>
      </c>
      <c r="AC36" s="404">
        <f>+'Metas 5'!H$24</f>
        <v>0</v>
      </c>
      <c r="AD36" s="404">
        <f>+'Metas 5'!I$24</f>
        <v>0</v>
      </c>
      <c r="AE36" s="404">
        <f>+'Metas 5'!J$24</f>
        <v>0</v>
      </c>
      <c r="AF36" s="404">
        <f>+'Metas 5'!K$24</f>
        <v>0</v>
      </c>
      <c r="AG36" s="404">
        <f>+'Metas 5'!L$24</f>
        <v>0</v>
      </c>
      <c r="AH36" s="404">
        <f>+'Metas 5'!M$24</f>
        <v>0</v>
      </c>
      <c r="AI36" s="404">
        <f>+'Metas 5'!N$24</f>
        <v>0</v>
      </c>
      <c r="AJ36" s="404">
        <f>+'Metas 5'!O$24</f>
        <v>3180045</v>
      </c>
      <c r="AK36" s="404">
        <f>+'Metas 5'!P$24</f>
        <v>0</v>
      </c>
    </row>
    <row r="37" spans="1:37">
      <c r="A37" s="425"/>
      <c r="B37" s="422"/>
      <c r="C37" s="423"/>
      <c r="D37" s="403" t="s">
        <v>45</v>
      </c>
      <c r="E37" s="404"/>
      <c r="F37" s="404"/>
      <c r="G37" s="404">
        <f t="shared" si="0"/>
        <v>0</v>
      </c>
      <c r="H37" s="404">
        <f>+'Metas 5'!Q$25</f>
        <v>0</v>
      </c>
      <c r="I37" s="404">
        <f>+'Metas 5'!R$25</f>
        <v>0</v>
      </c>
      <c r="J37" s="404">
        <f>+'Metas 5'!S$25</f>
        <v>0</v>
      </c>
      <c r="K37" s="404">
        <f>+'Metas 5'!T$25</f>
        <v>0</v>
      </c>
      <c r="L37" s="404">
        <f>+'Metas 5'!U$25</f>
        <v>0</v>
      </c>
      <c r="M37" s="404">
        <f>+'Metas 5'!V$25</f>
        <v>0</v>
      </c>
      <c r="N37" s="404">
        <f>+'Metas 5'!W$25</f>
        <v>0</v>
      </c>
      <c r="O37" s="404">
        <f>+'Metas 5'!X$25</f>
        <v>0</v>
      </c>
      <c r="P37" s="404">
        <f>+'Metas 5'!Y$25</f>
        <v>0</v>
      </c>
      <c r="Q37" s="404">
        <f>+'Metas 5'!Z$25</f>
        <v>0</v>
      </c>
      <c r="R37" s="404">
        <f>+'Metas 5'!AA$25</f>
        <v>0</v>
      </c>
      <c r="S37" s="404">
        <f>+'Metas 5'!AB$25</f>
        <v>0</v>
      </c>
      <c r="T37" s="404">
        <f>+'Metas 5'!AC$25</f>
        <v>0</v>
      </c>
      <c r="U37" s="404" t="str">
        <f ca="1">+'Metas 5'!AD$25</f>
        <v xml:space="preserve"> </v>
      </c>
      <c r="W37" s="405"/>
      <c r="X37" s="404">
        <f>+'Metas 5'!C$25</f>
        <v>0</v>
      </c>
      <c r="Y37" s="404">
        <f>+'Metas 5'!D$25</f>
        <v>0</v>
      </c>
      <c r="Z37" s="404">
        <f>+'Metas 5'!E$25</f>
        <v>0</v>
      </c>
      <c r="AA37" s="404">
        <f>+'Metas 5'!F$25</f>
        <v>0</v>
      </c>
      <c r="AB37" s="404">
        <f>+'Metas 5'!G$25</f>
        <v>0</v>
      </c>
      <c r="AC37" s="404">
        <f>+'Metas 5'!H$25</f>
        <v>0</v>
      </c>
      <c r="AD37" s="404">
        <f>+'Metas 5'!I$25</f>
        <v>0</v>
      </c>
      <c r="AE37" s="404">
        <f>+'Metas 5'!J$25</f>
        <v>0</v>
      </c>
      <c r="AF37" s="404">
        <f>+'Metas 5'!K$25</f>
        <v>0</v>
      </c>
      <c r="AG37" s="404">
        <f>+'Metas 5'!L$25</f>
        <v>0</v>
      </c>
      <c r="AH37" s="404">
        <f>+'Metas 5'!M$25</f>
        <v>0</v>
      </c>
      <c r="AI37" s="404">
        <f>+'Metas 5'!N$25</f>
        <v>0</v>
      </c>
      <c r="AJ37" s="404">
        <f>+'Metas 5'!O$25</f>
        <v>0</v>
      </c>
      <c r="AK37" s="404" t="str">
        <f>+'Metas 5'!P$25</f>
        <v xml:space="preserve"> </v>
      </c>
    </row>
    <row r="38" spans="1:37">
      <c r="A38" s="425"/>
      <c r="B38" s="422"/>
      <c r="C38" s="423"/>
      <c r="D38" s="403" t="s">
        <v>620</v>
      </c>
      <c r="E38" s="412">
        <f>+[2]Hoja1!$AS$36</f>
        <v>100</v>
      </c>
      <c r="F38" s="413">
        <f>+'Metas 5'!$W$17*100</f>
        <v>100</v>
      </c>
      <c r="G38" s="407">
        <f t="shared" si="0"/>
        <v>0</v>
      </c>
      <c r="H38" s="408">
        <f>+'Metas 5'!D$34</f>
        <v>0.75249999999999995</v>
      </c>
      <c r="I38" s="408">
        <f>+'Metas 5'!E$34</f>
        <v>0.80499999999999994</v>
      </c>
      <c r="J38" s="408">
        <f>+'Metas 5'!F$34</f>
        <v>0.85749999999999993</v>
      </c>
      <c r="K38" s="408">
        <f>+'Metas 5'!G$34</f>
        <v>0.8866666666666666</v>
      </c>
      <c r="L38" s="408">
        <f>+'Metas 5'!H$34</f>
        <v>0.91583333333333328</v>
      </c>
      <c r="M38" s="408">
        <f>+'Metas 5'!I$34</f>
        <v>0.94499999999999995</v>
      </c>
      <c r="N38" s="408">
        <f>+'Metas 5'!J$34</f>
        <v>0.96666666666666656</v>
      </c>
      <c r="O38" s="408">
        <f>+'Metas 5'!K$34</f>
        <v>0.97333333333333327</v>
      </c>
      <c r="P38" s="408">
        <f>+'Metas 5'!L$34</f>
        <v>0.98</v>
      </c>
      <c r="Q38" s="408">
        <f>+'Metas 5'!M$34</f>
        <v>0.98666666666666669</v>
      </c>
      <c r="R38" s="408">
        <f>+'Metas 5'!N$34</f>
        <v>0.9933333333333334</v>
      </c>
      <c r="S38" s="408">
        <f>+'Metas 5'!O$34</f>
        <v>1</v>
      </c>
      <c r="T38" s="408">
        <f>+'Metas 5'!P$34</f>
        <v>1</v>
      </c>
      <c r="U38" s="408" t="str">
        <f>+'Metas 5'!Q$34</f>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
      <c r="W38" s="409"/>
    </row>
    <row r="39" spans="1:37">
      <c r="A39" s="426"/>
      <c r="B39" s="422"/>
      <c r="C39" s="423"/>
      <c r="D39" s="403" t="s">
        <v>621</v>
      </c>
      <c r="E39" s="408"/>
      <c r="F39" s="408"/>
      <c r="G39" s="408">
        <f t="shared" si="0"/>
        <v>0</v>
      </c>
      <c r="H39" s="408">
        <f>+'Metas 5'!D$35</f>
        <v>0.75372499999999998</v>
      </c>
      <c r="I39" s="408">
        <f>+'Metas 5'!E$35</f>
        <v>0.75372499999999998</v>
      </c>
      <c r="J39" s="408">
        <f>+'Metas 5'!F$35</f>
        <v>0.75372499999999998</v>
      </c>
      <c r="K39" s="408">
        <f>+'Metas 5'!G$35</f>
        <v>0.75372499999999998</v>
      </c>
      <c r="L39" s="408">
        <f>+'Metas 5'!H$35</f>
        <v>0.75372499999999998</v>
      </c>
      <c r="M39" s="408">
        <f>+'Metas 5'!I$35</f>
        <v>0.75372499999999998</v>
      </c>
      <c r="N39" s="408">
        <f>+'Metas 5'!J$35</f>
        <v>0.75372499999999998</v>
      </c>
      <c r="O39" s="408">
        <f>+'Metas 5'!K$35</f>
        <v>0.75372499999999998</v>
      </c>
      <c r="P39" s="408">
        <f>+'Metas 5'!L$35</f>
        <v>0.75372499999999998</v>
      </c>
      <c r="Q39" s="408">
        <f>+'Metas 5'!M$35</f>
        <v>0.75372499999999998</v>
      </c>
      <c r="R39" s="408">
        <f>+'Metas 5'!N$35</f>
        <v>0.75372499999999998</v>
      </c>
      <c r="S39" s="408">
        <f>+'Metas 5'!O$35</f>
        <v>0.75372499999999998</v>
      </c>
      <c r="T39" s="408">
        <f>+'Metas 5'!P$35</f>
        <v>0.75372499999999998</v>
      </c>
      <c r="U39" s="408">
        <f>+'Metas 5'!Q$35</f>
        <v>0</v>
      </c>
      <c r="W39" s="409"/>
    </row>
    <row r="40" spans="1:37">
      <c r="A40" s="424">
        <f>+A34+1</f>
        <v>6</v>
      </c>
      <c r="B40" s="422" t="str">
        <f>+'Metas 6 (ONU Mujeres)'!A34</f>
        <v>6. Implementar 1 estrategia para el reconocimiento y la redistribución del trabajo de cuidado no remunerado entre hombres y mujeres.</v>
      </c>
      <c r="C40" s="423">
        <f>+'Metas 6 (ONU Mujeres)'!B34</f>
        <v>0.2</v>
      </c>
      <c r="D40" s="403" t="s">
        <v>619</v>
      </c>
      <c r="E40" s="404">
        <v>547234329</v>
      </c>
      <c r="F40" s="404">
        <f>+T40</f>
        <v>547234329</v>
      </c>
      <c r="G40" s="404">
        <f t="shared" si="0"/>
        <v>0</v>
      </c>
      <c r="H40" s="404">
        <f>+'Metas 6 (ONU Mujeres)'!Q$22</f>
        <v>371243829</v>
      </c>
      <c r="I40" s="404">
        <f>+'Metas 6 (ONU Mujeres)'!R$22</f>
        <v>22500000</v>
      </c>
      <c r="J40" s="404">
        <f>+'Metas 6 (ONU Mujeres)'!S$22</f>
        <v>0</v>
      </c>
      <c r="K40" s="404">
        <f>+'Metas 6 (ONU Mujeres)'!T$22</f>
        <v>27180500</v>
      </c>
      <c r="L40" s="404">
        <f>+'Metas 6 (ONU Mujeres)'!U$22</f>
        <v>18810000</v>
      </c>
      <c r="M40" s="404">
        <f>+'Metas 6 (ONU Mujeres)'!V$22</f>
        <v>1000000</v>
      </c>
      <c r="N40" s="404">
        <f>+'Metas 6 (ONU Mujeres)'!W$22</f>
        <v>34000000</v>
      </c>
      <c r="O40" s="404">
        <f>+'Metas 6 (ONU Mujeres)'!X$22</f>
        <v>72500000</v>
      </c>
      <c r="P40" s="404">
        <f>+'Metas 6 (ONU Mujeres)'!Y$22</f>
        <v>0</v>
      </c>
      <c r="Q40" s="404">
        <f>+'Metas 6 (ONU Mujeres)'!Z$22</f>
        <v>0</v>
      </c>
      <c r="R40" s="404">
        <f>+'Metas 6 (ONU Mujeres)'!AA$22</f>
        <v>0</v>
      </c>
      <c r="S40" s="404">
        <f>+'Metas 6 (ONU Mujeres)'!AB$22</f>
        <v>0</v>
      </c>
      <c r="T40" s="404">
        <f>+'Metas 6 (ONU Mujeres)'!AC$22</f>
        <v>547234329</v>
      </c>
      <c r="U40" s="404">
        <f>+'Metas 6 (ONU Mujeres)'!AD$22</f>
        <v>0</v>
      </c>
      <c r="W40" s="405"/>
      <c r="X40" s="404">
        <f>+'Metas 6 (ONU Mujeres)'!C$22</f>
        <v>0</v>
      </c>
      <c r="Y40" s="404">
        <f>+'Metas 6 (ONU Mujeres)'!D$22</f>
        <v>0</v>
      </c>
      <c r="Z40" s="404">
        <f>+'Metas 6 (ONU Mujeres)'!E$22</f>
        <v>0</v>
      </c>
      <c r="AA40" s="404">
        <f>+'Metas 6 (ONU Mujeres)'!F$22</f>
        <v>0</v>
      </c>
      <c r="AB40" s="404">
        <f>+'Metas 6 (ONU Mujeres)'!G$22</f>
        <v>0</v>
      </c>
      <c r="AC40" s="404">
        <f>+'Metas 6 (ONU Mujeres)'!H$22</f>
        <v>0</v>
      </c>
      <c r="AD40" s="404">
        <f>+'Metas 6 (ONU Mujeres)'!I$22</f>
        <v>0</v>
      </c>
      <c r="AE40" s="404">
        <f>+'Metas 6 (ONU Mujeres)'!J$22</f>
        <v>0</v>
      </c>
      <c r="AF40" s="404">
        <f>+'Metas 6 (ONU Mujeres)'!K$22</f>
        <v>0</v>
      </c>
      <c r="AG40" s="404">
        <f>+'Metas 6 (ONU Mujeres)'!L$22</f>
        <v>0</v>
      </c>
      <c r="AH40" s="404">
        <f>+'Metas 6 (ONU Mujeres)'!M$22</f>
        <v>0</v>
      </c>
      <c r="AI40" s="404">
        <f>+'Metas 6 (ONU Mujeres)'!N$22</f>
        <v>0</v>
      </c>
      <c r="AJ40" s="404">
        <f>+'Metas 6 (ONU Mujeres)'!O$22</f>
        <v>0</v>
      </c>
      <c r="AK40" s="404">
        <f>+'Metas 6 (ONU Mujeres)'!P$22</f>
        <v>0</v>
      </c>
    </row>
    <row r="41" spans="1:37">
      <c r="A41" s="425"/>
      <c r="B41" s="422"/>
      <c r="C41" s="422"/>
      <c r="D41" s="403" t="s">
        <v>43</v>
      </c>
      <c r="E41" s="404"/>
      <c r="F41" s="404"/>
      <c r="G41" s="404">
        <f t="shared" si="0"/>
        <v>0</v>
      </c>
      <c r="H41" s="404">
        <f>+'Metas 6 (ONU Mujeres)'!Q$23</f>
        <v>371243829</v>
      </c>
      <c r="I41" s="404">
        <f>+'Metas 6 (ONU Mujeres)'!R$23</f>
        <v>0</v>
      </c>
      <c r="J41" s="404">
        <f>+'Metas 6 (ONU Mujeres)'!S$23</f>
        <v>0</v>
      </c>
      <c r="K41" s="404">
        <f>+'Metas 6 (ONU Mujeres)'!T$23</f>
        <v>0</v>
      </c>
      <c r="L41" s="404">
        <f>+'Metas 6 (ONU Mujeres)'!U$23</f>
        <v>0</v>
      </c>
      <c r="M41" s="404">
        <f>+'Metas 6 (ONU Mujeres)'!V$23</f>
        <v>0</v>
      </c>
      <c r="N41" s="404">
        <f>+'Metas 6 (ONU Mujeres)'!W$23</f>
        <v>0</v>
      </c>
      <c r="O41" s="404">
        <f>+'Metas 6 (ONU Mujeres)'!X$23</f>
        <v>0</v>
      </c>
      <c r="P41" s="404">
        <f>+'Metas 6 (ONU Mujeres)'!Y$23</f>
        <v>0</v>
      </c>
      <c r="Q41" s="404">
        <f>+'Metas 6 (ONU Mujeres)'!Z$23</f>
        <v>0</v>
      </c>
      <c r="R41" s="404">
        <f>+'Metas 6 (ONU Mujeres)'!AA$23</f>
        <v>0</v>
      </c>
      <c r="S41" s="404">
        <f>+'Metas 6 (ONU Mujeres)'!AB$23</f>
        <v>0</v>
      </c>
      <c r="T41" s="404">
        <f>+'Metas 6 (ONU Mujeres)'!AC$23</f>
        <v>371243829</v>
      </c>
      <c r="U41" s="404">
        <f>+'Metas 6 (ONU Mujeres)'!AD$23</f>
        <v>1</v>
      </c>
      <c r="W41" s="405"/>
      <c r="X41" s="404">
        <f>+'Metas 6 (ONU Mujeres)'!C$23</f>
        <v>0</v>
      </c>
      <c r="Y41" s="404">
        <f>+'Metas 6 (ONU Mujeres)'!D$23</f>
        <v>0</v>
      </c>
      <c r="Z41" s="404">
        <f>+'Metas 6 (ONU Mujeres)'!E$23</f>
        <v>0</v>
      </c>
      <c r="AA41" s="404">
        <f>+'Metas 6 (ONU Mujeres)'!F$23</f>
        <v>0</v>
      </c>
      <c r="AB41" s="404">
        <f>+'Metas 6 (ONU Mujeres)'!G$23</f>
        <v>0</v>
      </c>
      <c r="AC41" s="404">
        <f>+'Metas 6 (ONU Mujeres)'!H$23</f>
        <v>0</v>
      </c>
      <c r="AD41" s="404">
        <f>+'Metas 6 (ONU Mujeres)'!I$23</f>
        <v>0</v>
      </c>
      <c r="AE41" s="404">
        <f>+'Metas 6 (ONU Mujeres)'!J$23</f>
        <v>0</v>
      </c>
      <c r="AF41" s="404">
        <f>+'Metas 6 (ONU Mujeres)'!K$23</f>
        <v>0</v>
      </c>
      <c r="AG41" s="404">
        <f>+'Metas 6 (ONU Mujeres)'!L$23</f>
        <v>0</v>
      </c>
      <c r="AH41" s="404">
        <f>+'Metas 6 (ONU Mujeres)'!M$23</f>
        <v>0</v>
      </c>
      <c r="AI41" s="404">
        <f>+'Metas 6 (ONU Mujeres)'!N$23</f>
        <v>0</v>
      </c>
      <c r="AJ41" s="404">
        <f>+'Metas 6 (ONU Mujeres)'!O$23</f>
        <v>0</v>
      </c>
      <c r="AK41" s="404" t="str">
        <f>+'Metas 6 (ONU Mujeres)'!P$23</f>
        <v xml:space="preserve"> </v>
      </c>
    </row>
    <row r="42" spans="1:37">
      <c r="A42" s="425"/>
      <c r="B42" s="422"/>
      <c r="C42" s="422"/>
      <c r="D42" s="403" t="s">
        <v>44</v>
      </c>
      <c r="E42" s="404">
        <v>547234329</v>
      </c>
      <c r="F42" s="404">
        <f>+T42</f>
        <v>547234329</v>
      </c>
      <c r="G42" s="404">
        <f t="shared" si="0"/>
        <v>0</v>
      </c>
      <c r="H42" s="404">
        <f>+'Metas 6 (ONU Mujeres)'!Q$24</f>
        <v>0</v>
      </c>
      <c r="I42" s="404">
        <f>+'Metas 6 (ONU Mujeres)'!R$24</f>
        <v>13926297</v>
      </c>
      <c r="J42" s="404">
        <f>+'Metas 6 (ONU Mujeres)'!S$24</f>
        <v>32504200</v>
      </c>
      <c r="K42" s="404">
        <f>+'Metas 6 (ONU Mujeres)'!T$24</f>
        <v>35879200</v>
      </c>
      <c r="L42" s="404">
        <f>+'Metas 6 (ONU Mujeres)'!U$24</f>
        <v>34724254</v>
      </c>
      <c r="M42" s="404">
        <f>+'Metas 6 (ONU Mujeres)'!V$24</f>
        <v>41640923</v>
      </c>
      <c r="N42" s="404">
        <f>+'Metas 6 (ONU Mujeres)'!W$24</f>
        <v>52324256</v>
      </c>
      <c r="O42" s="404">
        <f>+'Metas 6 (ONU Mujeres)'!X$24</f>
        <v>70160922</v>
      </c>
      <c r="P42" s="404">
        <f>+'Metas 6 (ONU Mujeres)'!Y$24</f>
        <v>35890922</v>
      </c>
      <c r="Q42" s="404">
        <f>+'Metas 6 (ONU Mujeres)'!Z$24</f>
        <v>39760922</v>
      </c>
      <c r="R42" s="404">
        <f>+'Metas 6 (ONU Mujeres)'!AA$24</f>
        <v>66765922</v>
      </c>
      <c r="S42" s="404">
        <f>+'Metas 6 (ONU Mujeres)'!AB$24</f>
        <v>123656511</v>
      </c>
      <c r="T42" s="404">
        <f>+'Metas 6 (ONU Mujeres)'!AC$24</f>
        <v>547234329</v>
      </c>
      <c r="U42" s="404">
        <f>+'Metas 6 (ONU Mujeres)'!AD$24</f>
        <v>0</v>
      </c>
      <c r="W42" s="405"/>
      <c r="X42" s="404">
        <f>+'Metas 6 (ONU Mujeres)'!C$24</f>
        <v>0</v>
      </c>
      <c r="Y42" s="404">
        <f>+'Metas 6 (ONU Mujeres)'!D$24</f>
        <v>200686598</v>
      </c>
      <c r="Z42" s="404">
        <f>+'Metas 6 (ONU Mujeres)'!E$24</f>
        <v>9803928</v>
      </c>
      <c r="AA42" s="404">
        <f>+'Metas 6 (ONU Mujeres)'!F$24</f>
        <v>14175000</v>
      </c>
      <c r="AB42" s="404">
        <f>+'Metas 6 (ONU Mujeres)'!G$24</f>
        <v>0</v>
      </c>
      <c r="AC42" s="404">
        <f>+'Metas 6 (ONU Mujeres)'!H$24</f>
        <v>0</v>
      </c>
      <c r="AD42" s="404">
        <f>+'Metas 6 (ONU Mujeres)'!I$24</f>
        <v>0</v>
      </c>
      <c r="AE42" s="404">
        <f>+'Metas 6 (ONU Mujeres)'!J$24</f>
        <v>0</v>
      </c>
      <c r="AF42" s="404">
        <f>+'Metas 6 (ONU Mujeres)'!K$24</f>
        <v>0</v>
      </c>
      <c r="AG42" s="404">
        <f>+'Metas 6 (ONU Mujeres)'!L$24</f>
        <v>0</v>
      </c>
      <c r="AH42" s="404">
        <f>+'Metas 6 (ONU Mujeres)'!M$24</f>
        <v>0</v>
      </c>
      <c r="AI42" s="404">
        <f>+'Metas 6 (ONU Mujeres)'!N$24</f>
        <v>0</v>
      </c>
      <c r="AJ42" s="404">
        <f>+'Metas 6 (ONU Mujeres)'!O$24</f>
        <v>224665526</v>
      </c>
      <c r="AK42" s="404">
        <f>+'Metas 6 (ONU Mujeres)'!P$24</f>
        <v>0</v>
      </c>
    </row>
    <row r="43" spans="1:37">
      <c r="A43" s="425"/>
      <c r="B43" s="422"/>
      <c r="C43" s="422"/>
      <c r="D43" s="403" t="s">
        <v>45</v>
      </c>
      <c r="E43" s="404"/>
      <c r="F43" s="404"/>
      <c r="G43" s="404">
        <f t="shared" si="0"/>
        <v>0</v>
      </c>
      <c r="H43" s="404">
        <f>+'Metas 6 (ONU Mujeres)'!Q$25</f>
        <v>0</v>
      </c>
      <c r="I43" s="404">
        <f>+'Metas 6 (ONU Mujeres)'!R$25</f>
        <v>0</v>
      </c>
      <c r="J43" s="404">
        <f>+'Metas 6 (ONU Mujeres)'!S$25</f>
        <v>0</v>
      </c>
      <c r="K43" s="404">
        <f>+'Metas 6 (ONU Mujeres)'!T$25</f>
        <v>0</v>
      </c>
      <c r="L43" s="404">
        <f>+'Metas 6 (ONU Mujeres)'!U$25</f>
        <v>0</v>
      </c>
      <c r="M43" s="404">
        <f>+'Metas 6 (ONU Mujeres)'!V$25</f>
        <v>0</v>
      </c>
      <c r="N43" s="404">
        <f>+'Metas 6 (ONU Mujeres)'!W$25</f>
        <v>0</v>
      </c>
      <c r="O43" s="404">
        <f>+'Metas 6 (ONU Mujeres)'!X$25</f>
        <v>0</v>
      </c>
      <c r="P43" s="404">
        <f>+'Metas 6 (ONU Mujeres)'!Y$25</f>
        <v>0</v>
      </c>
      <c r="Q43" s="404">
        <f>+'Metas 6 (ONU Mujeres)'!Z$25</f>
        <v>0</v>
      </c>
      <c r="R43" s="404">
        <f>+'Metas 6 (ONU Mujeres)'!AA$25</f>
        <v>0</v>
      </c>
      <c r="S43" s="404">
        <f>+'Metas 6 (ONU Mujeres)'!AB$25</f>
        <v>0</v>
      </c>
      <c r="T43" s="404">
        <f>+'Metas 6 (ONU Mujeres)'!AC$25</f>
        <v>0</v>
      </c>
      <c r="U43" s="404" t="str">
        <f ca="1">+'Metas 6 (ONU Mujeres)'!AD$25</f>
        <v xml:space="preserve"> </v>
      </c>
      <c r="W43" s="405"/>
      <c r="X43" s="404">
        <f>+'Metas 6 (ONU Mujeres)'!C$25</f>
        <v>0</v>
      </c>
      <c r="Y43" s="404">
        <f>+'Metas 6 (ONU Mujeres)'!D$25</f>
        <v>0</v>
      </c>
      <c r="Z43" s="404">
        <f>+'Metas 6 (ONU Mujeres)'!E$25</f>
        <v>0</v>
      </c>
      <c r="AA43" s="404">
        <f>+'Metas 6 (ONU Mujeres)'!F$25</f>
        <v>0</v>
      </c>
      <c r="AB43" s="404">
        <f>+'Metas 6 (ONU Mujeres)'!G$25</f>
        <v>0</v>
      </c>
      <c r="AC43" s="404">
        <f>+'Metas 6 (ONU Mujeres)'!H$25</f>
        <v>0</v>
      </c>
      <c r="AD43" s="404">
        <f>+'Metas 6 (ONU Mujeres)'!I$25</f>
        <v>0</v>
      </c>
      <c r="AE43" s="404">
        <f>+'Metas 6 (ONU Mujeres)'!J$25</f>
        <v>0</v>
      </c>
      <c r="AF43" s="404">
        <f>+'Metas 6 (ONU Mujeres)'!K$25</f>
        <v>0</v>
      </c>
      <c r="AG43" s="404">
        <f>+'Metas 6 (ONU Mujeres)'!L$25</f>
        <v>0</v>
      </c>
      <c r="AH43" s="404">
        <f>+'Metas 6 (ONU Mujeres)'!M$25</f>
        <v>0</v>
      </c>
      <c r="AI43" s="404">
        <f>+'Metas 6 (ONU Mujeres)'!N$25</f>
        <v>0</v>
      </c>
      <c r="AJ43" s="404">
        <f>+'Metas 6 (ONU Mujeres)'!O$25</f>
        <v>0</v>
      </c>
      <c r="AK43" s="404" t="str">
        <f>+'Metas 6 (ONU Mujeres)'!P$25</f>
        <v xml:space="preserve"> </v>
      </c>
    </row>
    <row r="44" spans="1:37">
      <c r="A44" s="425"/>
      <c r="B44" s="422"/>
      <c r="C44" s="422"/>
      <c r="D44" s="403" t="s">
        <v>620</v>
      </c>
      <c r="E44" s="406">
        <f>+[2]Hoja1!$AS$37</f>
        <v>2</v>
      </c>
      <c r="F44" s="407">
        <f>+'Metas 6 (ONU Mujeres)'!$W$17</f>
        <v>1</v>
      </c>
      <c r="G44" s="407">
        <f t="shared" si="0"/>
        <v>1</v>
      </c>
      <c r="H44" s="408">
        <f>+'Metas 6 (ONU Mujeres)'!D$34</f>
        <v>0.72499999999999998</v>
      </c>
      <c r="I44" s="408">
        <f>+'Metas 6 (ONU Mujeres)'!E$34</f>
        <v>0.75</v>
      </c>
      <c r="J44" s="408">
        <f>+'Metas 6 (ONU Mujeres)'!F$34</f>
        <v>0.77500000000000002</v>
      </c>
      <c r="K44" s="408">
        <f>+'Metas 6 (ONU Mujeres)'!G$34</f>
        <v>0.8</v>
      </c>
      <c r="L44" s="408">
        <f>+'Metas 6 (ONU Mujeres)'!H$34</f>
        <v>0.82500000000000007</v>
      </c>
      <c r="M44" s="408">
        <f>+'Metas 6 (ONU Mujeres)'!I$34</f>
        <v>0.85000000000000009</v>
      </c>
      <c r="N44" s="408">
        <f>+'Metas 6 (ONU Mujeres)'!J$34</f>
        <v>0.87500000000000011</v>
      </c>
      <c r="O44" s="408">
        <f>+'Metas 6 (ONU Mujeres)'!K$34</f>
        <v>0.90000000000000013</v>
      </c>
      <c r="P44" s="408">
        <f>+'Metas 6 (ONU Mujeres)'!L$34</f>
        <v>0.92500000000000016</v>
      </c>
      <c r="Q44" s="408">
        <f>+'Metas 6 (ONU Mujeres)'!M$34</f>
        <v>0.95000000000000018</v>
      </c>
      <c r="R44" s="408">
        <f>+'Metas 6 (ONU Mujeres)'!N$34</f>
        <v>0.9750000000000002</v>
      </c>
      <c r="S44" s="408">
        <f>+'Metas 6 (ONU Mujeres)'!O$34</f>
        <v>1.0000000000000002</v>
      </c>
      <c r="T44" s="408">
        <f>+'Metas 6 (ONU Mujeres)'!P$34</f>
        <v>1.0000000000000002</v>
      </c>
      <c r="U44" s="408" t="str">
        <f>+'Metas 6 (ONU Mujeres)'!Q$34</f>
        <v>En alianza con la  Armada Nacional se proyecto el desarrollo de posibles jornadas de talleres pedagógicos y de cambio cultural dirijidos a funcionarios militares de la guarnición de Bogotá. Se comunicaron los requirimientos logísticos de tiempo y espacio para los talleres “A cuidar se aprende”, así como los objetivos que estos buscan. Dentro de la descripción se establece que hay espacios para grupos de solo hombres y de solo mujeres y se dispone la posibilidad de realizar los talleres de manera virtual o presencial de acuerdo a las necesidades de la institución. Se propone el siguiente calendario para la realización de los talleres a lo largo del año: 16 de febrero BPNM70, 16  de marzo BASOA, 7 de abril BN6, 11 de mayo JOLA-Serv  grales, 8 de junio JONA, 7 de julio JINA, 4 agosto JINEN, 2 septiembre Colegio naval, 5 de octubre JEDHU, 2 noviembre DIMAR y diciembre JEJUR.
Se produjeron piezas comunicativas de anuncio del premio Mayor's Global Challenge (Bloomberg): redacción y difusión de comunicado de prensa, de una parrilla de contenido para redes sociales, de bullets y publicación de contenido audiovisual sobre el Sistema Distrital de Cuidado. Monitoreo de medios con el impacto externo en materia de publicaciones en medios nacionales e internacionales. Anuncio del premio del Carter Center para la implementación de la campaña "Informando a las mujeres, transformando vidas”. Se prepararon Insumos para la jornada de 'Engativá Está Mejorando'.</v>
      </c>
      <c r="W44" s="409"/>
    </row>
    <row r="45" spans="1:37">
      <c r="A45" s="426"/>
      <c r="B45" s="422"/>
      <c r="C45" s="422"/>
      <c r="D45" s="403" t="s">
        <v>621</v>
      </c>
      <c r="E45" s="408"/>
      <c r="F45" s="408"/>
      <c r="G45" s="408">
        <f t="shared" si="0"/>
        <v>0</v>
      </c>
      <c r="H45" s="408">
        <f>+'Metas 6 (ONU Mujeres)'!D$35</f>
        <v>0.71841999999999995</v>
      </c>
      <c r="I45" s="408">
        <f>+'Metas 6 (ONU Mujeres)'!E$35</f>
        <v>0.71841999999999995</v>
      </c>
      <c r="J45" s="408">
        <f>+'Metas 6 (ONU Mujeres)'!F$35</f>
        <v>0.71841999999999995</v>
      </c>
      <c r="K45" s="408">
        <f>+'Metas 6 (ONU Mujeres)'!G$35</f>
        <v>0.71841999999999995</v>
      </c>
      <c r="L45" s="408">
        <f>+'Metas 6 (ONU Mujeres)'!H$35</f>
        <v>0.71841999999999995</v>
      </c>
      <c r="M45" s="408">
        <f>+'Metas 6 (ONU Mujeres)'!I$35</f>
        <v>0.71841999999999995</v>
      </c>
      <c r="N45" s="408">
        <f>+'Metas 6 (ONU Mujeres)'!J$35</f>
        <v>0.71841999999999995</v>
      </c>
      <c r="O45" s="408">
        <f>+'Metas 6 (ONU Mujeres)'!K$35</f>
        <v>0.71841999999999995</v>
      </c>
      <c r="P45" s="408">
        <f>+'Metas 6 (ONU Mujeres)'!L$35</f>
        <v>0.71841999999999995</v>
      </c>
      <c r="Q45" s="408">
        <f>+'Metas 6 (ONU Mujeres)'!M$35</f>
        <v>0.71841999999999995</v>
      </c>
      <c r="R45" s="408">
        <f>+'Metas 6 (ONU Mujeres)'!N$35</f>
        <v>0.71841999999999995</v>
      </c>
      <c r="S45" s="408">
        <f>+'Metas 6 (ONU Mujeres)'!O$35</f>
        <v>0.71841999999999995</v>
      </c>
      <c r="T45" s="408">
        <f>+'Metas 6 (ONU Mujeres)'!P$35</f>
        <v>0.71841999999999995</v>
      </c>
      <c r="U45" s="408">
        <f>+'Metas 6 (ONU Mujeres)'!Q$35</f>
        <v>0</v>
      </c>
      <c r="W45" s="409"/>
    </row>
    <row r="46" spans="1:37">
      <c r="A46" s="424">
        <f>+A40+1</f>
        <v>7</v>
      </c>
      <c r="B46" s="422" t="str">
        <f>+'Metas 7 (Unidades Moviles)'!A34</f>
        <v>7. Gestionar la implementación de 1 estrategia de unidades móviles de cuidado.</v>
      </c>
      <c r="C46" s="423">
        <f>+'Metas 7 (Unidades Moviles)'!B34</f>
        <v>0.15000000000000002</v>
      </c>
      <c r="D46" s="403" t="s">
        <v>619</v>
      </c>
      <c r="E46" s="404">
        <v>3482036529</v>
      </c>
      <c r="F46" s="404">
        <f>+T46</f>
        <v>3482036529</v>
      </c>
      <c r="G46" s="404">
        <f t="shared" si="0"/>
        <v>0</v>
      </c>
      <c r="H46" s="404">
        <f>+'Metas 7 (Unidades Moviles)'!Q$22</f>
        <v>1087452842</v>
      </c>
      <c r="I46" s="404">
        <f>+'Metas 7 (Unidades Moviles)'!R$22</f>
        <v>22500000</v>
      </c>
      <c r="J46" s="404">
        <f>+'Metas 7 (Unidades Moviles)'!S$22</f>
        <v>2262603187</v>
      </c>
      <c r="K46" s="404">
        <f>+'Metas 7 (Unidades Moviles)'!T$22</f>
        <v>19980500</v>
      </c>
      <c r="L46" s="404">
        <f>+'Metas 7 (Unidades Moviles)'!U$22</f>
        <v>16000000</v>
      </c>
      <c r="M46" s="404">
        <f>+'Metas 7 (Unidades Moviles)'!V$22</f>
        <v>1000000</v>
      </c>
      <c r="N46" s="404">
        <f>+'Metas 7 (Unidades Moviles)'!W$22</f>
        <v>0</v>
      </c>
      <c r="O46" s="404">
        <f>+'Metas 7 (Unidades Moviles)'!X$22</f>
        <v>72500000</v>
      </c>
      <c r="P46" s="404">
        <f>+'Metas 7 (Unidades Moviles)'!Y$22</f>
        <v>0</v>
      </c>
      <c r="Q46" s="404">
        <f>+'Metas 7 (Unidades Moviles)'!Z$22</f>
        <v>0</v>
      </c>
      <c r="R46" s="404">
        <f>+'Metas 7 (Unidades Moviles)'!AA$22</f>
        <v>0</v>
      </c>
      <c r="S46" s="404">
        <f>+'Metas 7 (Unidades Moviles)'!AB$22</f>
        <v>0</v>
      </c>
      <c r="T46" s="404">
        <f>+'Metas 7 (Unidades Moviles)'!AC$22</f>
        <v>3482036529</v>
      </c>
      <c r="U46" s="404">
        <f>+'Metas 7 (Unidades Moviles)'!AD$22</f>
        <v>0</v>
      </c>
      <c r="W46" s="405"/>
      <c r="X46" s="404">
        <f>+'Metas 7 (Unidades Moviles)'!C$22</f>
        <v>0</v>
      </c>
      <c r="Y46" s="404">
        <f>+'Metas 7 (Unidades Moviles)'!D$22</f>
        <v>0</v>
      </c>
      <c r="Z46" s="404">
        <f>+'Metas 7 (Unidades Moviles)'!E$22</f>
        <v>0</v>
      </c>
      <c r="AA46" s="404">
        <f>+'Metas 7 (Unidades Moviles)'!F$22</f>
        <v>0</v>
      </c>
      <c r="AB46" s="404">
        <f>+'Metas 7 (Unidades Moviles)'!G$22</f>
        <v>0</v>
      </c>
      <c r="AC46" s="404">
        <f>+'Metas 7 (Unidades Moviles)'!H$22</f>
        <v>0</v>
      </c>
      <c r="AD46" s="404">
        <f>+'Metas 7 (Unidades Moviles)'!I$22</f>
        <v>0</v>
      </c>
      <c r="AE46" s="404">
        <f>+'Metas 7 (Unidades Moviles)'!J$22</f>
        <v>0</v>
      </c>
      <c r="AF46" s="404">
        <f>+'Metas 7 (Unidades Moviles)'!K$22</f>
        <v>0</v>
      </c>
      <c r="AG46" s="404">
        <f>+'Metas 7 (Unidades Moviles)'!L$22</f>
        <v>0</v>
      </c>
      <c r="AH46" s="404">
        <f>+'Metas 7 (Unidades Moviles)'!M$22</f>
        <v>0</v>
      </c>
      <c r="AI46" s="404">
        <f>+'Metas 7 (Unidades Moviles)'!N$22</f>
        <v>0</v>
      </c>
      <c r="AJ46" s="404">
        <f>+'Metas 7 (Unidades Moviles)'!O$22</f>
        <v>0</v>
      </c>
      <c r="AK46" s="404">
        <f>+'Metas 7 (Unidades Moviles)'!P$22</f>
        <v>0</v>
      </c>
    </row>
    <row r="47" spans="1:37">
      <c r="A47" s="425"/>
      <c r="B47" s="422"/>
      <c r="C47" s="422"/>
      <c r="D47" s="403" t="s">
        <v>43</v>
      </c>
      <c r="E47" s="404"/>
      <c r="F47" s="404"/>
      <c r="G47" s="404">
        <f t="shared" si="0"/>
        <v>0</v>
      </c>
      <c r="H47" s="404">
        <f>+'Metas 7 (Unidades Moviles)'!Q$23</f>
        <v>1087452840</v>
      </c>
      <c r="I47" s="404">
        <f>+'Metas 7 (Unidades Moviles)'!R$23</f>
        <v>0</v>
      </c>
      <c r="J47" s="404">
        <f>+'Metas 7 (Unidades Moviles)'!S$23</f>
        <v>0</v>
      </c>
      <c r="K47" s="404">
        <f>+'Metas 7 (Unidades Moviles)'!T$23</f>
        <v>0</v>
      </c>
      <c r="L47" s="404">
        <f>+'Metas 7 (Unidades Moviles)'!U$23</f>
        <v>0</v>
      </c>
      <c r="M47" s="404">
        <f>+'Metas 7 (Unidades Moviles)'!V$23</f>
        <v>0</v>
      </c>
      <c r="N47" s="404">
        <f>+'Metas 7 (Unidades Moviles)'!W$23</f>
        <v>0</v>
      </c>
      <c r="O47" s="404">
        <f>+'Metas 7 (Unidades Moviles)'!X$23</f>
        <v>0</v>
      </c>
      <c r="P47" s="404">
        <f>+'Metas 7 (Unidades Moviles)'!Y$23</f>
        <v>0</v>
      </c>
      <c r="Q47" s="404">
        <f>+'Metas 7 (Unidades Moviles)'!Z$23</f>
        <v>0</v>
      </c>
      <c r="R47" s="404">
        <f>+'Metas 7 (Unidades Moviles)'!AA$23</f>
        <v>0</v>
      </c>
      <c r="S47" s="404">
        <f>+'Metas 7 (Unidades Moviles)'!AB$23</f>
        <v>0</v>
      </c>
      <c r="T47" s="404">
        <f>+'Metas 7 (Unidades Moviles)'!AC$23</f>
        <v>1087452840</v>
      </c>
      <c r="U47" s="404">
        <f>+'Metas 7 (Unidades Moviles)'!AD$23</f>
        <v>0.99999999816083984</v>
      </c>
      <c r="W47" s="405"/>
      <c r="X47" s="404">
        <f>+'Metas 7 (Unidades Moviles)'!C$23</f>
        <v>0</v>
      </c>
      <c r="Y47" s="404">
        <f>+'Metas 7 (Unidades Moviles)'!D$23</f>
        <v>0</v>
      </c>
      <c r="Z47" s="404">
        <f>+'Metas 7 (Unidades Moviles)'!E$23</f>
        <v>0</v>
      </c>
      <c r="AA47" s="404">
        <f>+'Metas 7 (Unidades Moviles)'!F$23</f>
        <v>0</v>
      </c>
      <c r="AB47" s="404">
        <f>+'Metas 7 (Unidades Moviles)'!G$23</f>
        <v>0</v>
      </c>
      <c r="AC47" s="404">
        <f>+'Metas 7 (Unidades Moviles)'!H$23</f>
        <v>0</v>
      </c>
      <c r="AD47" s="404">
        <f>+'Metas 7 (Unidades Moviles)'!I$23</f>
        <v>0</v>
      </c>
      <c r="AE47" s="404">
        <f>+'Metas 7 (Unidades Moviles)'!J$23</f>
        <v>0</v>
      </c>
      <c r="AF47" s="404">
        <f>+'Metas 7 (Unidades Moviles)'!K$23</f>
        <v>0</v>
      </c>
      <c r="AG47" s="404">
        <f>+'Metas 7 (Unidades Moviles)'!L$23</f>
        <v>0</v>
      </c>
      <c r="AH47" s="404">
        <f>+'Metas 7 (Unidades Moviles)'!M$23</f>
        <v>0</v>
      </c>
      <c r="AI47" s="404">
        <f>+'Metas 7 (Unidades Moviles)'!N$23</f>
        <v>0</v>
      </c>
      <c r="AJ47" s="404">
        <f>+'Metas 7 (Unidades Moviles)'!O$23</f>
        <v>0</v>
      </c>
      <c r="AK47" s="404" t="str">
        <f>+'Metas 7 (Unidades Moviles)'!P$23</f>
        <v xml:space="preserve"> </v>
      </c>
    </row>
    <row r="48" spans="1:37">
      <c r="A48" s="425"/>
      <c r="B48" s="422"/>
      <c r="C48" s="422"/>
      <c r="D48" s="403" t="s">
        <v>44</v>
      </c>
      <c r="E48" s="404">
        <v>3482036529</v>
      </c>
      <c r="F48" s="404">
        <f>+T48</f>
        <v>3482036529</v>
      </c>
      <c r="G48" s="404">
        <f t="shared" si="0"/>
        <v>0</v>
      </c>
      <c r="H48" s="404">
        <f>+'Metas 7 (Unidades Moviles)'!Q$24</f>
        <v>0</v>
      </c>
      <c r="I48" s="404">
        <f>+'Metas 7 (Unidades Moviles)'!R$24</f>
        <v>37420042</v>
      </c>
      <c r="J48" s="404">
        <f>+'Metas 7 (Unidades Moviles)'!S$24</f>
        <v>95526800</v>
      </c>
      <c r="K48" s="404">
        <f>+'Metas 7 (Unidades Moviles)'!T$24</f>
        <v>98901800</v>
      </c>
      <c r="L48" s="404">
        <f>+'Metas 7 (Unidades Moviles)'!U$24</f>
        <v>609658160</v>
      </c>
      <c r="M48" s="404">
        <f>+'Metas 7 (Unidades Moviles)'!V$24</f>
        <v>576489980</v>
      </c>
      <c r="N48" s="404">
        <f>+'Metas 7 (Unidades Moviles)'!W$24</f>
        <v>271584201</v>
      </c>
      <c r="O48" s="404">
        <f>+'Metas 7 (Unidades Moviles)'!X$24</f>
        <v>258250867</v>
      </c>
      <c r="P48" s="404">
        <f>+'Metas 7 (Unidades Moviles)'!Y$24</f>
        <v>258584201</v>
      </c>
      <c r="Q48" s="404">
        <f>+'Metas 7 (Unidades Moviles)'!Z$24</f>
        <v>258250867</v>
      </c>
      <c r="R48" s="404">
        <f>+'Metas 7 (Unidades Moviles)'!AA$24</f>
        <v>289459201</v>
      </c>
      <c r="S48" s="404">
        <f>+'Metas 7 (Unidades Moviles)'!AB$24</f>
        <v>727910410</v>
      </c>
      <c r="T48" s="404">
        <f>+'Metas 7 (Unidades Moviles)'!AC$24</f>
        <v>3482036529</v>
      </c>
      <c r="U48" s="404">
        <f>+'Metas 7 (Unidades Moviles)'!AD$24</f>
        <v>0</v>
      </c>
      <c r="W48" s="405"/>
      <c r="X48" s="404">
        <f>+'Metas 7 (Unidades Moviles)'!C$24</f>
        <v>0</v>
      </c>
      <c r="Y48" s="404">
        <f>+'Metas 7 (Unidades Moviles)'!D$24</f>
        <v>4211667</v>
      </c>
      <c r="Z48" s="404">
        <f>+'Metas 7 (Unidades Moviles)'!E$24</f>
        <v>1354378</v>
      </c>
      <c r="AA48" s="404">
        <f>+'Metas 7 (Unidades Moviles)'!F$24</f>
        <v>1175000</v>
      </c>
      <c r="AB48" s="404">
        <f>+'Metas 7 (Unidades Moviles)'!G$24</f>
        <v>0</v>
      </c>
      <c r="AC48" s="404">
        <f>+'Metas 7 (Unidades Moviles)'!H$24</f>
        <v>0</v>
      </c>
      <c r="AD48" s="404">
        <f>+'Metas 7 (Unidades Moviles)'!I$24</f>
        <v>0</v>
      </c>
      <c r="AE48" s="404">
        <f>+'Metas 7 (Unidades Moviles)'!J$24</f>
        <v>0</v>
      </c>
      <c r="AF48" s="404">
        <f>+'Metas 7 (Unidades Moviles)'!K$24</f>
        <v>0</v>
      </c>
      <c r="AG48" s="404">
        <f>+'Metas 7 (Unidades Moviles)'!L$24</f>
        <v>0</v>
      </c>
      <c r="AH48" s="404">
        <f>+'Metas 7 (Unidades Moviles)'!M$24</f>
        <v>0</v>
      </c>
      <c r="AI48" s="404">
        <f>+'Metas 7 (Unidades Moviles)'!N$24</f>
        <v>0</v>
      </c>
      <c r="AJ48" s="404">
        <f>+'Metas 7 (Unidades Moviles)'!O$24</f>
        <v>6741045</v>
      </c>
      <c r="AK48" s="404">
        <f>+'Metas 7 (Unidades Moviles)'!P$24</f>
        <v>0</v>
      </c>
    </row>
    <row r="49" spans="1:37">
      <c r="A49" s="425"/>
      <c r="B49" s="422"/>
      <c r="C49" s="422"/>
      <c r="D49" s="403" t="s">
        <v>45</v>
      </c>
      <c r="E49" s="404"/>
      <c r="F49" s="404"/>
      <c r="G49" s="404">
        <f t="shared" si="0"/>
        <v>0</v>
      </c>
      <c r="H49" s="404">
        <f>+'Metas 7 (Unidades Moviles)'!Q$25</f>
        <v>0</v>
      </c>
      <c r="I49" s="404">
        <f>+'Metas 7 (Unidades Moviles)'!R$25</f>
        <v>0</v>
      </c>
      <c r="J49" s="404">
        <f>+'Metas 7 (Unidades Moviles)'!S$25</f>
        <v>0</v>
      </c>
      <c r="K49" s="404">
        <f>+'Metas 7 (Unidades Moviles)'!T$25</f>
        <v>0</v>
      </c>
      <c r="L49" s="404">
        <f>+'Metas 7 (Unidades Moviles)'!U$25</f>
        <v>0</v>
      </c>
      <c r="M49" s="404">
        <f>+'Metas 7 (Unidades Moviles)'!V$25</f>
        <v>0</v>
      </c>
      <c r="N49" s="404">
        <f>+'Metas 7 (Unidades Moviles)'!W$25</f>
        <v>0</v>
      </c>
      <c r="O49" s="404">
        <f>+'Metas 7 (Unidades Moviles)'!X$25</f>
        <v>0</v>
      </c>
      <c r="P49" s="404">
        <f>+'Metas 7 (Unidades Moviles)'!Y$25</f>
        <v>0</v>
      </c>
      <c r="Q49" s="404">
        <f>+'Metas 7 (Unidades Moviles)'!Z$25</f>
        <v>0</v>
      </c>
      <c r="R49" s="404">
        <f>+'Metas 7 (Unidades Moviles)'!AA$25</f>
        <v>0</v>
      </c>
      <c r="S49" s="404">
        <f>+'Metas 7 (Unidades Moviles)'!AB$25</f>
        <v>0</v>
      </c>
      <c r="T49" s="404">
        <f>+'Metas 7 (Unidades Moviles)'!AC$25</f>
        <v>0</v>
      </c>
      <c r="U49" s="404" t="str">
        <f ca="1">+'Metas 7 (Unidades Moviles)'!AD$25</f>
        <v xml:space="preserve"> </v>
      </c>
      <c r="W49" s="405"/>
      <c r="X49" s="404">
        <f>+'Metas 7 (Unidades Moviles)'!C$25</f>
        <v>0</v>
      </c>
      <c r="Y49" s="404">
        <f>+'Metas 7 (Unidades Moviles)'!D$25</f>
        <v>0</v>
      </c>
      <c r="Z49" s="404">
        <f>+'Metas 7 (Unidades Moviles)'!E$25</f>
        <v>0</v>
      </c>
      <c r="AA49" s="404">
        <f>+'Metas 7 (Unidades Moviles)'!F$25</f>
        <v>0</v>
      </c>
      <c r="AB49" s="404">
        <f>+'Metas 7 (Unidades Moviles)'!G$25</f>
        <v>0</v>
      </c>
      <c r="AC49" s="404">
        <f>+'Metas 7 (Unidades Moviles)'!H$25</f>
        <v>0</v>
      </c>
      <c r="AD49" s="404">
        <f>+'Metas 7 (Unidades Moviles)'!I$25</f>
        <v>0</v>
      </c>
      <c r="AE49" s="404">
        <f>+'Metas 7 (Unidades Moviles)'!J$25</f>
        <v>0</v>
      </c>
      <c r="AF49" s="404">
        <f>+'Metas 7 (Unidades Moviles)'!K$25</f>
        <v>0</v>
      </c>
      <c r="AG49" s="404">
        <f>+'Metas 7 (Unidades Moviles)'!L$25</f>
        <v>0</v>
      </c>
      <c r="AH49" s="404">
        <f>+'Metas 7 (Unidades Moviles)'!M$25</f>
        <v>0</v>
      </c>
      <c r="AI49" s="404">
        <f>+'Metas 7 (Unidades Moviles)'!N$25</f>
        <v>0</v>
      </c>
      <c r="AJ49" s="404">
        <f>+'Metas 7 (Unidades Moviles)'!O$25</f>
        <v>0</v>
      </c>
      <c r="AK49" s="404" t="str">
        <f>+'Metas 7 (Unidades Moviles)'!P$25</f>
        <v xml:space="preserve"> </v>
      </c>
    </row>
    <row r="50" spans="1:37">
      <c r="A50" s="425"/>
      <c r="B50" s="422"/>
      <c r="C50" s="422"/>
      <c r="D50" s="403" t="s">
        <v>620</v>
      </c>
      <c r="E50" s="406">
        <f>+[2]Hoja1!$AS$39</f>
        <v>1</v>
      </c>
      <c r="F50" s="407">
        <f>+'Metas 7 (Unidades Moviles)'!$W$17</f>
        <v>0.25</v>
      </c>
      <c r="G50" s="407">
        <f t="shared" si="0"/>
        <v>0.75</v>
      </c>
      <c r="H50" s="408">
        <f>+'Metas 7 (Unidades Moviles)'!D$34</f>
        <v>2.0825E-2</v>
      </c>
      <c r="I50" s="408">
        <f>+'Metas 7 (Unidades Moviles)'!E$34</f>
        <v>2.0825E-2</v>
      </c>
      <c r="J50" s="408">
        <f>+'Metas 7 (Unidades Moviles)'!F$34</f>
        <v>2.0825E-2</v>
      </c>
      <c r="K50" s="408">
        <f>+'Metas 7 (Unidades Moviles)'!G$34</f>
        <v>2.0825E-2</v>
      </c>
      <c r="L50" s="408">
        <f>+'Metas 7 (Unidades Moviles)'!H$34</f>
        <v>2.0825E-2</v>
      </c>
      <c r="M50" s="408">
        <f>+'Metas 7 (Unidades Moviles)'!I$34</f>
        <v>2.0825E-2</v>
      </c>
      <c r="N50" s="408">
        <f>+'Metas 7 (Unidades Moviles)'!J$34</f>
        <v>2.0825E-2</v>
      </c>
      <c r="O50" s="408">
        <f>+'Metas 7 (Unidades Moviles)'!K$34</f>
        <v>2.0825E-2</v>
      </c>
      <c r="P50" s="408">
        <f>+'Metas 7 (Unidades Moviles)'!L$34</f>
        <v>2.0825E-2</v>
      </c>
      <c r="Q50" s="408">
        <f>+'Metas 7 (Unidades Moviles)'!M$34</f>
        <v>2.0825E-2</v>
      </c>
      <c r="R50" s="408">
        <f>+'Metas 7 (Unidades Moviles)'!N$34</f>
        <v>2.0825E-2</v>
      </c>
      <c r="S50" s="408">
        <f>+'Metas 7 (Unidades Moviles)'!O$34</f>
        <v>2.0825E-2</v>
      </c>
      <c r="T50" s="408">
        <f>+'Metas 7 (Unidades Moviles)'!P$34</f>
        <v>0.24990000000000004</v>
      </c>
      <c r="U50" s="408" t="str">
        <f>+'Metas 7 (Unidades Moviles)'!Q$34</f>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
      <c r="W50" s="409"/>
    </row>
    <row r="51" spans="1:37">
      <c r="A51" s="426"/>
      <c r="B51" s="422"/>
      <c r="C51" s="422"/>
      <c r="D51" s="403" t="s">
        <v>621</v>
      </c>
      <c r="E51" s="408"/>
      <c r="F51" s="408"/>
      <c r="G51" s="408">
        <f t="shared" si="0"/>
        <v>0</v>
      </c>
      <c r="H51" s="408">
        <f>+'Metas 7 (Unidades Moviles)'!D$35</f>
        <v>3.3333333333333335E-3</v>
      </c>
      <c r="I51" s="408" t="e">
        <f>+'Metas 7 (Unidades Moviles)'!E$35</f>
        <v>#DIV/0!</v>
      </c>
      <c r="J51" s="408" t="e">
        <f>+'Metas 7 (Unidades Moviles)'!F$35</f>
        <v>#DIV/0!</v>
      </c>
      <c r="K51" s="408" t="e">
        <f>+'Metas 7 (Unidades Moviles)'!G$35</f>
        <v>#DIV/0!</v>
      </c>
      <c r="L51" s="408" t="e">
        <f>+'Metas 7 (Unidades Moviles)'!H$35</f>
        <v>#DIV/0!</v>
      </c>
      <c r="M51" s="408" t="e">
        <f>+'Metas 7 (Unidades Moviles)'!I$35</f>
        <v>#DIV/0!</v>
      </c>
      <c r="N51" s="408" t="e">
        <f>+'Metas 7 (Unidades Moviles)'!J$35</f>
        <v>#DIV/0!</v>
      </c>
      <c r="O51" s="408" t="e">
        <f>+'Metas 7 (Unidades Moviles)'!K$35</f>
        <v>#DIV/0!</v>
      </c>
      <c r="P51" s="408" t="e">
        <f>+'Metas 7 (Unidades Moviles)'!L$35</f>
        <v>#DIV/0!</v>
      </c>
      <c r="Q51" s="408" t="e">
        <f>+'Metas 7 (Unidades Moviles)'!M$35</f>
        <v>#DIV/0!</v>
      </c>
      <c r="R51" s="408" t="e">
        <f>+'Metas 7 (Unidades Moviles)'!N$35</f>
        <v>#DIV/0!</v>
      </c>
      <c r="S51" s="408" t="e">
        <f>+'Metas 7 (Unidades Moviles)'!O$35</f>
        <v>#DIV/0!</v>
      </c>
      <c r="T51" s="408" t="e">
        <f>+'Metas 7 (Unidades Moviles)'!P$35</f>
        <v>#DIV/0!</v>
      </c>
      <c r="U51" s="408">
        <f>+'Metas 7 (Unidades Moviles)'!Q$35</f>
        <v>0</v>
      </c>
      <c r="W51" s="409"/>
    </row>
    <row r="53" spans="1:37">
      <c r="E53" s="404">
        <f>+E3-E10-E16-E22-E28-E34-E40-E46</f>
        <v>0</v>
      </c>
      <c r="F53" s="404"/>
      <c r="G53" s="404"/>
      <c r="H53" s="404">
        <f t="shared" ref="H53:U56" si="1">+H3-H10-H16-H22-H28-H34-H40-H46</f>
        <v>0</v>
      </c>
      <c r="I53" s="404">
        <f t="shared" si="1"/>
        <v>0</v>
      </c>
      <c r="J53" s="404">
        <f t="shared" si="1"/>
        <v>0</v>
      </c>
      <c r="K53" s="404">
        <f t="shared" si="1"/>
        <v>0</v>
      </c>
      <c r="L53" s="404">
        <f t="shared" si="1"/>
        <v>0</v>
      </c>
      <c r="M53" s="404">
        <f t="shared" si="1"/>
        <v>0</v>
      </c>
      <c r="N53" s="404">
        <f t="shared" si="1"/>
        <v>0</v>
      </c>
      <c r="O53" s="404">
        <f t="shared" si="1"/>
        <v>0</v>
      </c>
      <c r="P53" s="404">
        <f t="shared" si="1"/>
        <v>0</v>
      </c>
      <c r="Q53" s="404">
        <f t="shared" si="1"/>
        <v>0</v>
      </c>
      <c r="R53" s="404">
        <f t="shared" si="1"/>
        <v>0</v>
      </c>
      <c r="S53" s="404">
        <f t="shared" si="1"/>
        <v>0</v>
      </c>
      <c r="T53" s="404">
        <f t="shared" si="1"/>
        <v>0</v>
      </c>
      <c r="U53" s="404">
        <f t="shared" si="1"/>
        <v>0</v>
      </c>
      <c r="W53" s="404"/>
      <c r="X53" s="404" t="e">
        <f>+X3-X10-X16-X22-X28-X34-X40-#REF!-X46</f>
        <v>#REF!</v>
      </c>
      <c r="Y53" s="404" t="e">
        <f>+Y3-Y10-Y16-Y22-Y28-Y34-Y40-#REF!-Y46</f>
        <v>#REF!</v>
      </c>
      <c r="Z53" s="404" t="e">
        <f>+Z3-Z10-Z16-Z22-Z28-Z34-Z40-#REF!-Z46</f>
        <v>#REF!</v>
      </c>
      <c r="AA53" s="404" t="e">
        <f>+AA3-AA10-AA16-AA22-AA28-AA34-AA40-#REF!-AA46</f>
        <v>#REF!</v>
      </c>
      <c r="AB53" s="404" t="e">
        <f>+AB3-AB10-AB16-AB22-AB28-AB34-AB40-#REF!-AB46</f>
        <v>#REF!</v>
      </c>
      <c r="AC53" s="404" t="e">
        <f>+AC3-AC10-AC16-AC22-AC28-AC34-AC40-#REF!-AC46</f>
        <v>#REF!</v>
      </c>
      <c r="AD53" s="404" t="e">
        <f>+AD3-AD10-AD16-AD22-AD28-AD34-AD40-#REF!-AD46</f>
        <v>#REF!</v>
      </c>
      <c r="AE53" s="404" t="e">
        <f>+AE3-AE10-AE16-AE22-AE28-AE34-AE40-#REF!-AE46</f>
        <v>#REF!</v>
      </c>
      <c r="AF53" s="404" t="e">
        <f>+AF3-AF10-AF16-AF22-AF28-AF34-AF40-#REF!-AF46</f>
        <v>#REF!</v>
      </c>
      <c r="AG53" s="404" t="e">
        <f>+AG3-AG10-AG16-AG22-AG28-AG34-AG40-#REF!-AG46</f>
        <v>#REF!</v>
      </c>
      <c r="AH53" s="404" t="e">
        <f>+AH3-AH10-AH16-AH22-AH28-AH34-AH40-#REF!-AH46</f>
        <v>#REF!</v>
      </c>
      <c r="AI53" s="404" t="e">
        <f>+AI3-AI10-AI16-AI22-AI28-AI34-AI40-#REF!-AI46</f>
        <v>#REF!</v>
      </c>
      <c r="AJ53" s="404" t="e">
        <f>+AJ3-AJ10-AJ16-AJ22-AJ28-AJ34-AJ40-#REF!-AJ46</f>
        <v>#REF!</v>
      </c>
      <c r="AK53" s="404" t="e">
        <f>+AK3-AK10-AK16-AK22-AK28-AK34-AK40-#REF!-AK46</f>
        <v>#REF!</v>
      </c>
    </row>
    <row r="54" spans="1:37">
      <c r="E54" s="404">
        <f t="shared" ref="E54:E56" si="2">+E4-E11-E17-E23-E29-E35-E41-E47</f>
        <v>0</v>
      </c>
      <c r="F54" s="404"/>
      <c r="G54" s="404"/>
      <c r="H54" s="404">
        <f t="shared" si="1"/>
        <v>0</v>
      </c>
      <c r="I54" s="404">
        <f t="shared" si="1"/>
        <v>0</v>
      </c>
      <c r="J54" s="404">
        <f t="shared" si="1"/>
        <v>0</v>
      </c>
      <c r="K54" s="404">
        <f t="shared" si="1"/>
        <v>0</v>
      </c>
      <c r="L54" s="404">
        <f t="shared" si="1"/>
        <v>0</v>
      </c>
      <c r="M54" s="404">
        <f t="shared" si="1"/>
        <v>0</v>
      </c>
      <c r="N54" s="404">
        <f t="shared" si="1"/>
        <v>0</v>
      </c>
      <c r="O54" s="404">
        <f t="shared" si="1"/>
        <v>0</v>
      </c>
      <c r="P54" s="404">
        <f t="shared" si="1"/>
        <v>0</v>
      </c>
      <c r="Q54" s="404">
        <f t="shared" si="1"/>
        <v>0</v>
      </c>
      <c r="R54" s="404">
        <f t="shared" si="1"/>
        <v>0</v>
      </c>
      <c r="S54" s="404">
        <f t="shared" si="1"/>
        <v>0</v>
      </c>
      <c r="T54" s="404">
        <f t="shared" si="1"/>
        <v>0</v>
      </c>
      <c r="U54" s="404">
        <f t="shared" si="1"/>
        <v>-5.9886115048822539</v>
      </c>
      <c r="W54" s="404"/>
      <c r="X54" s="404" t="e">
        <f>+X4-X11-X17-X23-X29-X35-X41-#REF!-X47</f>
        <v>#REF!</v>
      </c>
      <c r="Y54" s="404" t="e">
        <f>+Y4-Y11-Y17-Y23-Y29-Y35-Y41-#REF!-Y47</f>
        <v>#REF!</v>
      </c>
      <c r="Z54" s="404" t="e">
        <f>+Z4-Z11-Z17-Z23-Z29-Z35-Z41-#REF!-Z47</f>
        <v>#REF!</v>
      </c>
      <c r="AA54" s="404" t="e">
        <f>+AA4-AA11-AA17-AA23-AA29-AA35-AA41-#REF!-AA47</f>
        <v>#REF!</v>
      </c>
      <c r="AB54" s="404" t="e">
        <f>+AB4-AB11-AB17-AB23-AB29-AB35-AB41-#REF!-AB47</f>
        <v>#REF!</v>
      </c>
      <c r="AC54" s="404" t="e">
        <f>+AC4-AC11-AC17-AC23-AC29-AC35-AC41-#REF!-AC47</f>
        <v>#REF!</v>
      </c>
      <c r="AD54" s="404" t="e">
        <f>+AD4-AD11-AD17-AD23-AD29-AD35-AD41-#REF!-AD47</f>
        <v>#REF!</v>
      </c>
      <c r="AE54" s="404" t="e">
        <f>+AE4-AE11-AE17-AE23-AE29-AE35-AE41-#REF!-AE47</f>
        <v>#REF!</v>
      </c>
      <c r="AF54" s="404" t="e">
        <f>+AF4-AF11-AF17-AF23-AF29-AF35-AF41-#REF!-AF47</f>
        <v>#REF!</v>
      </c>
      <c r="AG54" s="404" t="e">
        <f>+AG4-AG11-AG17-AG23-AG29-AG35-AG41-#REF!-AG47</f>
        <v>#REF!</v>
      </c>
      <c r="AH54" s="404" t="e">
        <f>+AH4-AH11-AH17-AH23-AH29-AH35-AH41-#REF!-AH47</f>
        <v>#REF!</v>
      </c>
      <c r="AI54" s="404" t="e">
        <f>+AI4-AI11-AI17-AI23-AI29-AI35-AI41-#REF!-AI47</f>
        <v>#REF!</v>
      </c>
      <c r="AJ54" s="404" t="e">
        <f>+AJ4-AJ11-AJ17-AJ23-AJ29-AJ35-AJ41-#REF!-AJ47</f>
        <v>#VALUE!</v>
      </c>
      <c r="AK54" s="404" t="e">
        <f>+AK4-AK11-AK17-AK23-AK29-AK35-AK41-#REF!-AK47</f>
        <v>#VALUE!</v>
      </c>
    </row>
    <row r="55" spans="1:37">
      <c r="E55" s="404">
        <f t="shared" si="2"/>
        <v>0</v>
      </c>
      <c r="F55" s="404"/>
      <c r="G55" s="404"/>
      <c r="H55" s="404">
        <f t="shared" si="1"/>
        <v>0</v>
      </c>
      <c r="I55" s="404">
        <f t="shared" si="1"/>
        <v>0</v>
      </c>
      <c r="J55" s="404">
        <f t="shared" si="1"/>
        <v>0</v>
      </c>
      <c r="K55" s="404">
        <f t="shared" si="1"/>
        <v>0</v>
      </c>
      <c r="L55" s="404">
        <f t="shared" si="1"/>
        <v>0</v>
      </c>
      <c r="M55" s="404">
        <f t="shared" si="1"/>
        <v>0</v>
      </c>
      <c r="N55" s="404">
        <f t="shared" si="1"/>
        <v>0</v>
      </c>
      <c r="O55" s="404">
        <f t="shared" si="1"/>
        <v>0</v>
      </c>
      <c r="P55" s="404">
        <f t="shared" si="1"/>
        <v>0</v>
      </c>
      <c r="Q55" s="404">
        <f t="shared" si="1"/>
        <v>0</v>
      </c>
      <c r="R55" s="404">
        <f t="shared" si="1"/>
        <v>0</v>
      </c>
      <c r="S55" s="404">
        <f t="shared" si="1"/>
        <v>0</v>
      </c>
      <c r="T55" s="404">
        <f t="shared" si="1"/>
        <v>0</v>
      </c>
      <c r="U55" s="404">
        <f t="shared" si="1"/>
        <v>0</v>
      </c>
      <c r="W55" s="404"/>
      <c r="X55" s="404" t="e">
        <f>+X5-X12-X18-X24-X30-X36-X42-#REF!-X48</f>
        <v>#REF!</v>
      </c>
      <c r="Y55" s="404" t="e">
        <f>+Y5-Y12-Y18-Y24-Y30-Y36-Y42-#REF!-Y48</f>
        <v>#REF!</v>
      </c>
      <c r="Z55" s="404" t="e">
        <f>+Z5-Z12-Z18-Z24-Z30-Z36-Z42-#REF!-Z48</f>
        <v>#REF!</v>
      </c>
      <c r="AA55" s="404" t="e">
        <f>+AA5-AA12-AA18-AA24-AA30-AA36-AA42-#REF!-AA48</f>
        <v>#REF!</v>
      </c>
      <c r="AB55" s="404" t="e">
        <f>+AB5-AB12-AB18-AB24-AB30-AB36-AB42-#REF!-AB48</f>
        <v>#REF!</v>
      </c>
      <c r="AC55" s="404" t="e">
        <f>+AC5-AC12-AC18-AC24-AC30-AC36-AC42-#REF!-AC48</f>
        <v>#REF!</v>
      </c>
      <c r="AD55" s="404" t="e">
        <f>+AD5-AD12-AD18-AD24-AD30-AD36-AD42-#REF!-AD48</f>
        <v>#REF!</v>
      </c>
      <c r="AE55" s="404" t="e">
        <f>+AE5-AE12-AE18-AE24-AE30-AE36-AE42-#REF!-AE48</f>
        <v>#REF!</v>
      </c>
      <c r="AF55" s="404" t="e">
        <f>+AF5-AF12-AF18-AF24-AF30-AF36-AF42-#REF!-AF48</f>
        <v>#REF!</v>
      </c>
      <c r="AG55" s="404" t="e">
        <f>+AG5-AG12-AG18-AG24-AG30-AG36-AG42-#REF!-AG48</f>
        <v>#REF!</v>
      </c>
      <c r="AH55" s="404" t="e">
        <f>+AH5-AH12-AH18-AH24-AH30-AH36-AH42-#REF!-AH48</f>
        <v>#REF!</v>
      </c>
      <c r="AI55" s="404" t="e">
        <f>+AI5-AI12-AI18-AI24-AI30-AI36-AI42-#REF!-AI48</f>
        <v>#REF!</v>
      </c>
      <c r="AJ55" s="404" t="e">
        <f>+AJ5-AJ12-AJ18-AJ24-AJ30-AJ36-AJ42-#REF!-AJ48</f>
        <v>#REF!</v>
      </c>
      <c r="AK55" s="404" t="e">
        <f>+AK5-AK12-AK18-AK24-AK30-AK36-AK42-#REF!-AK48</f>
        <v>#REF!</v>
      </c>
    </row>
    <row r="56" spans="1:37">
      <c r="E56" s="404">
        <f t="shared" si="2"/>
        <v>0</v>
      </c>
      <c r="F56" s="404"/>
      <c r="G56" s="404"/>
      <c r="H56" s="404">
        <f t="shared" si="1"/>
        <v>0</v>
      </c>
      <c r="I56" s="404">
        <f t="shared" si="1"/>
        <v>0</v>
      </c>
      <c r="J56" s="404">
        <f t="shared" si="1"/>
        <v>0</v>
      </c>
      <c r="K56" s="404">
        <f t="shared" si="1"/>
        <v>0</v>
      </c>
      <c r="L56" s="404">
        <f t="shared" si="1"/>
        <v>0</v>
      </c>
      <c r="M56" s="404">
        <f t="shared" si="1"/>
        <v>0</v>
      </c>
      <c r="N56" s="404">
        <f t="shared" si="1"/>
        <v>0</v>
      </c>
      <c r="O56" s="404">
        <f t="shared" si="1"/>
        <v>0</v>
      </c>
      <c r="P56" s="404">
        <f t="shared" si="1"/>
        <v>0</v>
      </c>
      <c r="Q56" s="404">
        <f t="shared" si="1"/>
        <v>0</v>
      </c>
      <c r="R56" s="404">
        <f t="shared" si="1"/>
        <v>0</v>
      </c>
      <c r="S56" s="404">
        <f t="shared" si="1"/>
        <v>0</v>
      </c>
      <c r="T56" s="404">
        <f t="shared" si="1"/>
        <v>0</v>
      </c>
      <c r="U56" s="404" t="e">
        <f t="shared" ca="1" si="1"/>
        <v>#VALUE!</v>
      </c>
      <c r="W56" s="404"/>
      <c r="X56" s="404" t="e">
        <f>+X6-X13-X19-X25-X31-X37-X43-#REF!-X49</f>
        <v>#REF!</v>
      </c>
      <c r="Y56" s="404" t="e">
        <f>+Y6-Y13-Y19-Y25-Y31-Y37-Y43-#REF!-Y49</f>
        <v>#REF!</v>
      </c>
      <c r="Z56" s="404" t="e">
        <f>+Z6-Z13-Z19-Z25-Z31-Z37-Z43-#REF!-Z49</f>
        <v>#REF!</v>
      </c>
      <c r="AA56" s="404" t="e">
        <f>+AA6-AA13-AA19-AA25-AA31-AA37-AA43-#REF!-AA49</f>
        <v>#REF!</v>
      </c>
      <c r="AB56" s="404" t="e">
        <f>+AB6-AB13-AB19-AB25-AB31-AB37-AB43-#REF!-AB49</f>
        <v>#REF!</v>
      </c>
      <c r="AC56" s="404" t="e">
        <f>+AC6-AC13-AC19-AC25-AC31-AC37-AC43-#REF!-AC49</f>
        <v>#REF!</v>
      </c>
      <c r="AD56" s="404" t="e">
        <f>+AD6-AD13-AD19-AD25-AD31-AD37-AD43-#REF!-AD49</f>
        <v>#REF!</v>
      </c>
      <c r="AE56" s="404" t="e">
        <f>+AE6-AE13-AE19-AE25-AE31-AE37-AE43-#REF!-AE49</f>
        <v>#REF!</v>
      </c>
      <c r="AF56" s="404" t="e">
        <f>+AF6-AF13-AF19-AF25-AF31-AF37-AF43-#REF!-AF49</f>
        <v>#REF!</v>
      </c>
      <c r="AG56" s="404" t="e">
        <f>+AG6-AG13-AG19-AG25-AG31-AG37-AG43-#REF!-AG49</f>
        <v>#REF!</v>
      </c>
      <c r="AH56" s="404" t="e">
        <f>+AH6-AH13-AH19-AH25-AH31-AH37-AH43-#REF!-AH49</f>
        <v>#REF!</v>
      </c>
      <c r="AI56" s="404" t="e">
        <f>+AI6-AI13-AI19-AI25-AI31-AI37-AI43-#REF!-AI49</f>
        <v>#REF!</v>
      </c>
      <c r="AJ56" s="404" t="e">
        <f>+AJ6-AJ13-AJ19-AJ25-AJ31-AJ37-AJ43-#REF!-AJ49</f>
        <v>#REF!</v>
      </c>
      <c r="AK56" s="404" t="e">
        <f>+AK6-AK13-AK19-AK25-AK31-AK37-AK43-#REF!-AK49</f>
        <v>#VALUE!</v>
      </c>
    </row>
    <row r="59" spans="1:37">
      <c r="B59" s="419" t="s">
        <v>67</v>
      </c>
      <c r="C59" s="392"/>
      <c r="D59" s="419" t="s">
        <v>68</v>
      </c>
      <c r="E59" s="419" t="s">
        <v>69</v>
      </c>
      <c r="F59" s="419"/>
      <c r="G59" s="419"/>
      <c r="H59" s="419"/>
      <c r="I59" s="419"/>
      <c r="J59" s="419"/>
      <c r="K59" s="419"/>
      <c r="L59" s="419"/>
      <c r="M59" s="419"/>
      <c r="N59" s="419"/>
      <c r="O59" s="419"/>
      <c r="P59" s="419"/>
      <c r="Q59" s="419"/>
      <c r="R59" s="419"/>
    </row>
    <row r="60" spans="1:37" ht="28.5">
      <c r="B60" s="419"/>
      <c r="C60" s="392"/>
      <c r="D60" s="419"/>
      <c r="E60" s="392" t="s">
        <v>71</v>
      </c>
      <c r="F60" s="392" t="s">
        <v>72</v>
      </c>
      <c r="G60" s="392" t="s">
        <v>73</v>
      </c>
      <c r="H60" s="392" t="s">
        <v>74</v>
      </c>
      <c r="I60" s="392" t="s">
        <v>75</v>
      </c>
      <c r="J60" s="392" t="s">
        <v>76</v>
      </c>
      <c r="K60" s="392" t="s">
        <v>77</v>
      </c>
      <c r="L60" s="392" t="s">
        <v>78</v>
      </c>
      <c r="M60" s="392" t="s">
        <v>79</v>
      </c>
      <c r="N60" s="392" t="s">
        <v>80</v>
      </c>
      <c r="O60" s="392" t="s">
        <v>81</v>
      </c>
      <c r="P60" s="392" t="s">
        <v>82</v>
      </c>
      <c r="Q60" s="392" t="s">
        <v>83</v>
      </c>
      <c r="R60" s="392" t="s">
        <v>84</v>
      </c>
    </row>
    <row r="61" spans="1:37">
      <c r="B61" s="427" t="str">
        <f>+'Metas 1'!A38</f>
        <v>1. Diseñar el modelo de seguimiento y monitoreo del Sistema Distrital de Cuidado</v>
      </c>
      <c r="C61" s="428">
        <f>+C10-D61-D63</f>
        <v>0</v>
      </c>
      <c r="D61" s="430">
        <f>+'Metas 1'!B38</f>
        <v>0.05</v>
      </c>
      <c r="E61" s="414" t="s">
        <v>62</v>
      </c>
      <c r="F61" s="415">
        <f>+'Metas 1'!D38</f>
        <v>8.3299999999999999E-2</v>
      </c>
      <c r="G61" s="415">
        <f>+'Metas 1'!E38</f>
        <v>8.3299999999999999E-2</v>
      </c>
      <c r="H61" s="415">
        <f>+'Metas 1'!F38</f>
        <v>8.3299999999999999E-2</v>
      </c>
      <c r="I61" s="415">
        <f>+'Metas 1'!G38</f>
        <v>8.3299999999999999E-2</v>
      </c>
      <c r="J61" s="415">
        <f>+'Metas 1'!H38</f>
        <v>8.3299999999999999E-2</v>
      </c>
      <c r="K61" s="415">
        <f>+'Metas 1'!I38</f>
        <v>8.3299999999999999E-2</v>
      </c>
      <c r="L61" s="415">
        <f>+'Metas 1'!J38</f>
        <v>8.3299999999999999E-2</v>
      </c>
      <c r="M61" s="415">
        <f>+'Metas 1'!K38</f>
        <v>8.3299999999999999E-2</v>
      </c>
      <c r="N61" s="415">
        <f>+'Metas 1'!L38</f>
        <v>8.3299999999999999E-2</v>
      </c>
      <c r="O61" s="415">
        <f>+'Metas 1'!M38</f>
        <v>8.3299999999999999E-2</v>
      </c>
      <c r="P61" s="415">
        <f>+'Metas 1'!N38</f>
        <v>8.3299999999999999E-2</v>
      </c>
      <c r="Q61" s="415">
        <f>+'Metas 1'!O38</f>
        <v>8.3299999999999999E-2</v>
      </c>
      <c r="R61" s="415">
        <f t="shared" ref="R61:R68" si="3">SUM(F61:Q61)</f>
        <v>0.99960000000000016</v>
      </c>
    </row>
    <row r="62" spans="1:37">
      <c r="B62" s="427"/>
      <c r="C62" s="431"/>
      <c r="D62" s="430"/>
      <c r="E62" s="416" t="s">
        <v>66</v>
      </c>
      <c r="F62" s="417">
        <f>+'Metas 1'!D39</f>
        <v>0.08</v>
      </c>
      <c r="G62" s="417">
        <f>+'Metas 1'!E39</f>
        <v>0</v>
      </c>
      <c r="H62" s="417">
        <f>+'Metas 1'!F39</f>
        <v>0</v>
      </c>
      <c r="I62" s="417">
        <f>+'Metas 1'!G39</f>
        <v>0</v>
      </c>
      <c r="J62" s="417">
        <f>+'Metas 1'!H39</f>
        <v>0</v>
      </c>
      <c r="K62" s="417">
        <f>+'Metas 1'!I39</f>
        <v>0</v>
      </c>
      <c r="L62" s="417">
        <f>+'Metas 1'!J39</f>
        <v>0</v>
      </c>
      <c r="M62" s="417">
        <f>+'Metas 1'!K39</f>
        <v>0</v>
      </c>
      <c r="N62" s="417">
        <f>+'Metas 1'!L39</f>
        <v>0</v>
      </c>
      <c r="O62" s="417">
        <f>+'Metas 1'!M39</f>
        <v>0</v>
      </c>
      <c r="P62" s="417">
        <f>+'Metas 1'!N39</f>
        <v>0</v>
      </c>
      <c r="Q62" s="417">
        <f>+'Metas 1'!O39</f>
        <v>0</v>
      </c>
      <c r="R62" s="415">
        <f t="shared" si="3"/>
        <v>0.08</v>
      </c>
    </row>
    <row r="63" spans="1:37" ht="15" customHeight="1">
      <c r="B63" s="427" t="str">
        <f>+'Metas 1'!A40</f>
        <v>2. Consolidar el documento de desarrollo técnico del Sistema Distrital de Cuidado</v>
      </c>
      <c r="C63" s="431"/>
      <c r="D63" s="430">
        <f>+'Metas 1'!B40</f>
        <v>0.05</v>
      </c>
      <c r="E63" s="414" t="s">
        <v>62</v>
      </c>
      <c r="F63" s="415">
        <f>+'Metas 1'!D40</f>
        <v>0.1</v>
      </c>
      <c r="G63" s="415">
        <f>+'Metas 1'!E40</f>
        <v>0.1</v>
      </c>
      <c r="H63" s="415">
        <f>+'Metas 1'!F40</f>
        <v>0.1</v>
      </c>
      <c r="I63" s="415">
        <f>+'Metas 1'!G40</f>
        <v>0.1</v>
      </c>
      <c r="J63" s="415">
        <f>+'Metas 1'!H40</f>
        <v>0.1</v>
      </c>
      <c r="K63" s="415">
        <f>+'Metas 1'!I40</f>
        <v>0.1</v>
      </c>
      <c r="L63" s="415">
        <f>+'Metas 1'!J40</f>
        <v>6.6600000000000006E-2</v>
      </c>
      <c r="M63" s="415">
        <f>+'Metas 1'!K40</f>
        <v>6.6600000000000006E-2</v>
      </c>
      <c r="N63" s="415">
        <f>+'Metas 1'!L40</f>
        <v>6.6600000000000006E-2</v>
      </c>
      <c r="O63" s="415">
        <f>+'Metas 1'!M40</f>
        <v>6.6600000000000006E-2</v>
      </c>
      <c r="P63" s="415">
        <f>+'Metas 1'!N40</f>
        <v>6.6600000000000006E-2</v>
      </c>
      <c r="Q63" s="415">
        <f>+'Metas 1'!O40</f>
        <v>6.6600000000000006E-2</v>
      </c>
      <c r="R63" s="415">
        <f t="shared" si="3"/>
        <v>0.99959999999999993</v>
      </c>
    </row>
    <row r="64" spans="1:37">
      <c r="B64" s="427"/>
      <c r="C64" s="429"/>
      <c r="D64" s="430"/>
      <c r="E64" s="416" t="s">
        <v>66</v>
      </c>
      <c r="F64" s="417">
        <f>+'Metas 1'!D41</f>
        <v>0.1</v>
      </c>
      <c r="G64" s="417">
        <f>+'Metas 1'!E41</f>
        <v>0</v>
      </c>
      <c r="H64" s="417">
        <f>+'Metas 1'!F41</f>
        <v>0</v>
      </c>
      <c r="I64" s="417">
        <f>+'Metas 1'!G41</f>
        <v>0</v>
      </c>
      <c r="J64" s="417">
        <f>+'Metas 1'!H41</f>
        <v>0</v>
      </c>
      <c r="K64" s="417">
        <f>+'Metas 1'!I41</f>
        <v>0</v>
      </c>
      <c r="L64" s="417">
        <f>+'Metas 1'!J41</f>
        <v>0</v>
      </c>
      <c r="M64" s="417">
        <f>+'Metas 1'!K41</f>
        <v>0</v>
      </c>
      <c r="N64" s="417">
        <f>+'Metas 1'!L41</f>
        <v>0</v>
      </c>
      <c r="O64" s="417">
        <f>+'Metas 1'!M41</f>
        <v>0</v>
      </c>
      <c r="P64" s="417">
        <f>+'Metas 1'!N41</f>
        <v>0</v>
      </c>
      <c r="Q64" s="417">
        <f>+'Metas 1'!O41</f>
        <v>0</v>
      </c>
      <c r="R64" s="415">
        <f t="shared" si="3"/>
        <v>0.1</v>
      </c>
    </row>
    <row r="65" spans="2:18">
      <c r="B65" s="427" t="str">
        <f>+'Metas 2'!A38</f>
        <v>3. Convocar y gestionar las sesiones de la Comisión Intersectorial del Sistema de Cuidado según lo establecido en el Decreto 237 de 2020</v>
      </c>
      <c r="C65" s="428">
        <f>+C16-D65</f>
        <v>0.10000000000000002</v>
      </c>
      <c r="D65" s="430">
        <f>+'Metas 2'!B38</f>
        <v>0.05</v>
      </c>
      <c r="E65" s="414" t="s">
        <v>62</v>
      </c>
      <c r="F65" s="415">
        <f>+'Metas 2'!D42</f>
        <v>0</v>
      </c>
      <c r="G65" s="415">
        <f>+'Metas 2'!E42</f>
        <v>0</v>
      </c>
      <c r="H65" s="415">
        <f>+'Metas 2'!F42</f>
        <v>0</v>
      </c>
      <c r="I65" s="415">
        <f>+'Metas 2'!G42</f>
        <v>0</v>
      </c>
      <c r="J65" s="415">
        <f>+'Metas 2'!H42</f>
        <v>0</v>
      </c>
      <c r="K65" s="415">
        <f>+'Metas 2'!I42</f>
        <v>0.5</v>
      </c>
      <c r="L65" s="415">
        <f>+'Metas 2'!J42</f>
        <v>0</v>
      </c>
      <c r="M65" s="415">
        <f>+'Metas 2'!K42</f>
        <v>0</v>
      </c>
      <c r="N65" s="415">
        <f>+'Metas 2'!L42</f>
        <v>0</v>
      </c>
      <c r="O65" s="415">
        <f>+'Metas 2'!M42</f>
        <v>0</v>
      </c>
      <c r="P65" s="415">
        <f>+'Metas 2'!N42</f>
        <v>0.5</v>
      </c>
      <c r="Q65" s="415">
        <f>+'Metas 2'!O42</f>
        <v>0</v>
      </c>
      <c r="R65" s="415">
        <f t="shared" si="3"/>
        <v>1</v>
      </c>
    </row>
    <row r="66" spans="2:18">
      <c r="B66" s="427"/>
      <c r="C66" s="429"/>
      <c r="D66" s="430"/>
      <c r="E66" s="416" t="s">
        <v>66</v>
      </c>
      <c r="F66" s="417">
        <f>+'Metas 2'!D43</f>
        <v>0</v>
      </c>
      <c r="G66" s="417">
        <f>+'Metas 2'!E43</f>
        <v>0</v>
      </c>
      <c r="H66" s="417">
        <f>+'Metas 2'!F43</f>
        <v>0</v>
      </c>
      <c r="I66" s="417">
        <f>+'Metas 2'!G43</f>
        <v>0</v>
      </c>
      <c r="J66" s="417">
        <f>+'Metas 2'!H43</f>
        <v>0</v>
      </c>
      <c r="K66" s="417">
        <f>+'Metas 2'!I43</f>
        <v>0</v>
      </c>
      <c r="L66" s="417">
        <f>+'Metas 2'!J43</f>
        <v>0</v>
      </c>
      <c r="M66" s="417">
        <f>+'Metas 2'!K43</f>
        <v>0</v>
      </c>
      <c r="N66" s="417">
        <f>+'Metas 2'!L43</f>
        <v>0</v>
      </c>
      <c r="O66" s="417">
        <f>+'Metas 2'!M43</f>
        <v>0</v>
      </c>
      <c r="P66" s="417">
        <f>+'Metas 2'!N43</f>
        <v>0</v>
      </c>
      <c r="Q66" s="417">
        <f>+'Metas 2'!O43</f>
        <v>0</v>
      </c>
      <c r="R66" s="415">
        <f t="shared" si="3"/>
        <v>0</v>
      </c>
    </row>
    <row r="67" spans="2:18">
      <c r="B67" s="427" t="str">
        <f>+'Metas 3'!A38</f>
        <v xml:space="preserve">6. Implementar atividades de difusión del programa de Sistema de Cuidado con ciudadanos y actores territoriales </v>
      </c>
      <c r="C67" s="428">
        <f>+C22-D67</f>
        <v>0.10000000000000002</v>
      </c>
      <c r="D67" s="430">
        <f>+'Metas 3'!B38</f>
        <v>0.05</v>
      </c>
      <c r="E67" s="414" t="s">
        <v>62</v>
      </c>
      <c r="F67" s="415">
        <f>+'Metas 3'!D38</f>
        <v>8.3333333333333343E-2</v>
      </c>
      <c r="G67" s="415">
        <f>+'Metas 3'!E38</f>
        <v>8.3333333333333343E-2</v>
      </c>
      <c r="H67" s="415">
        <f>+'Metas 3'!F38</f>
        <v>8.3333333333333343E-2</v>
      </c>
      <c r="I67" s="415">
        <f>+'Metas 3'!G38</f>
        <v>8.3333333333333343E-2</v>
      </c>
      <c r="J67" s="415">
        <f>+'Metas 3'!H38</f>
        <v>8.3333333333333343E-2</v>
      </c>
      <c r="K67" s="415">
        <f>+'Metas 3'!I38</f>
        <v>8.3333333333333343E-2</v>
      </c>
      <c r="L67" s="415">
        <f>+'Metas 3'!J38</f>
        <v>8.3333333333333343E-2</v>
      </c>
      <c r="M67" s="415">
        <f>+'Metas 3'!K38</f>
        <v>8.3333333333333343E-2</v>
      </c>
      <c r="N67" s="415">
        <f>+'Metas 3'!L38</f>
        <v>8.3333333333333343E-2</v>
      </c>
      <c r="O67" s="415">
        <f>+'Metas 3'!M38</f>
        <v>8.3333333333333343E-2</v>
      </c>
      <c r="P67" s="415">
        <f>+'Metas 3'!N38</f>
        <v>8.3333333333333343E-2</v>
      </c>
      <c r="Q67" s="415">
        <f>+'Metas 3'!O38</f>
        <v>8.3333333333333343E-2</v>
      </c>
      <c r="R67" s="415">
        <f t="shared" si="3"/>
        <v>1.0000000000000002</v>
      </c>
    </row>
    <row r="68" spans="2:18">
      <c r="B68" s="427"/>
      <c r="C68" s="429"/>
      <c r="D68" s="430"/>
      <c r="E68" s="416" t="s">
        <v>66</v>
      </c>
      <c r="F68" s="417">
        <f>+'Metas 3'!D39</f>
        <v>0.08</v>
      </c>
      <c r="G68" s="417">
        <f>+'Metas 3'!E39</f>
        <v>0</v>
      </c>
      <c r="H68" s="417">
        <f>+'Metas 3'!F39</f>
        <v>0</v>
      </c>
      <c r="I68" s="417">
        <f>+'Metas 3'!G39</f>
        <v>0</v>
      </c>
      <c r="J68" s="417">
        <f>+'Metas 3'!H39</f>
        <v>0</v>
      </c>
      <c r="K68" s="417">
        <f>+'Metas 3'!I39</f>
        <v>0</v>
      </c>
      <c r="L68" s="417">
        <f>+'Metas 3'!J39</f>
        <v>0</v>
      </c>
      <c r="M68" s="417">
        <f>+'Metas 3'!K39</f>
        <v>0</v>
      </c>
      <c r="N68" s="417">
        <f>+'Metas 3'!L39</f>
        <v>0</v>
      </c>
      <c r="O68" s="417">
        <f>+'Metas 3'!M39</f>
        <v>0</v>
      </c>
      <c r="P68" s="417">
        <f>+'Metas 3'!N39</f>
        <v>0</v>
      </c>
      <c r="Q68" s="417">
        <f>+'Metas 3'!O39</f>
        <v>0</v>
      </c>
      <c r="R68" s="415">
        <f t="shared" si="3"/>
        <v>0.08</v>
      </c>
    </row>
    <row r="69" spans="2:18">
      <c r="B69" s="427" t="str">
        <f>+'Metas 4 (Contrato relevos)'!A38</f>
        <v>9. Implementar el componente de formación para cuidadoras</v>
      </c>
      <c r="C69" s="428">
        <f>+C28-D69-D71-D73-D75</f>
        <v>1.3877787807814457E-17</v>
      </c>
      <c r="D69" s="430">
        <f>+'Metas 4 (Contrato relevos)'!B38</f>
        <v>0.05</v>
      </c>
      <c r="E69" s="414"/>
      <c r="F69" s="415"/>
      <c r="G69" s="415"/>
      <c r="H69" s="415"/>
      <c r="I69" s="415"/>
      <c r="J69" s="415"/>
      <c r="K69" s="415"/>
      <c r="L69" s="415"/>
      <c r="M69" s="415"/>
      <c r="N69" s="415"/>
      <c r="O69" s="415"/>
      <c r="P69" s="415"/>
      <c r="Q69" s="415"/>
      <c r="R69" s="415"/>
    </row>
    <row r="70" spans="2:18">
      <c r="B70" s="427"/>
      <c r="C70" s="431"/>
      <c r="D70" s="430"/>
      <c r="E70" s="416"/>
      <c r="F70" s="417"/>
      <c r="G70" s="417"/>
      <c r="H70" s="417"/>
      <c r="I70" s="417"/>
      <c r="J70" s="417"/>
      <c r="K70" s="417"/>
      <c r="L70" s="417"/>
      <c r="M70" s="417"/>
      <c r="N70" s="417"/>
      <c r="O70" s="417"/>
      <c r="P70" s="417"/>
      <c r="Q70" s="417"/>
      <c r="R70" s="415"/>
    </row>
    <row r="71" spans="2:18">
      <c r="B71" s="427" t="str">
        <f>+'Metas 4 (Contrato relevos)'!A40</f>
        <v>10. Monitorear y hacer seguimiento a la implementación del componente de respiro para cuidadoras</v>
      </c>
      <c r="C71" s="431"/>
      <c r="D71" s="430">
        <f>+'Metas 4 (Contrato relevos)'!B40</f>
        <v>0.05</v>
      </c>
      <c r="E71" s="414"/>
      <c r="F71" s="415"/>
      <c r="G71" s="415"/>
      <c r="H71" s="415"/>
      <c r="I71" s="415"/>
      <c r="J71" s="415"/>
      <c r="K71" s="415"/>
      <c r="L71" s="415"/>
      <c r="M71" s="415"/>
      <c r="N71" s="415"/>
      <c r="O71" s="415"/>
      <c r="P71" s="415"/>
      <c r="Q71" s="415"/>
      <c r="R71" s="415"/>
    </row>
    <row r="72" spans="2:18">
      <c r="B72" s="427"/>
      <c r="C72" s="431"/>
      <c r="D72" s="430"/>
      <c r="E72" s="416"/>
      <c r="F72" s="417"/>
      <c r="G72" s="417"/>
      <c r="H72" s="417"/>
      <c r="I72" s="417"/>
      <c r="J72" s="417"/>
      <c r="K72" s="417"/>
      <c r="L72" s="417"/>
      <c r="M72" s="417"/>
      <c r="N72" s="417"/>
      <c r="O72" s="417"/>
      <c r="P72" s="417"/>
      <c r="Q72" s="417"/>
      <c r="R72" s="415"/>
    </row>
    <row r="73" spans="2:18">
      <c r="B73" s="427" t="str">
        <f>+'Metas 4 (Contrato relevos)'!A42</f>
        <v>11. Poner en marcha el programa de relevos de cuidado</v>
      </c>
      <c r="C73" s="431"/>
      <c r="D73" s="430">
        <f>+'Metas 4 (Contrato relevos)'!B42</f>
        <v>0.05</v>
      </c>
      <c r="E73" s="414"/>
      <c r="F73" s="415"/>
      <c r="G73" s="415"/>
      <c r="H73" s="415"/>
      <c r="I73" s="415"/>
      <c r="J73" s="415"/>
      <c r="K73" s="415"/>
      <c r="L73" s="415"/>
      <c r="M73" s="415"/>
      <c r="N73" s="415"/>
      <c r="O73" s="415"/>
      <c r="P73" s="415"/>
      <c r="Q73" s="415"/>
      <c r="R73" s="415"/>
    </row>
    <row r="74" spans="2:18">
      <c r="B74" s="427"/>
      <c r="C74" s="431"/>
      <c r="D74" s="430"/>
      <c r="E74" s="416"/>
      <c r="F74" s="417"/>
      <c r="G74" s="417"/>
      <c r="H74" s="417"/>
      <c r="I74" s="417"/>
      <c r="J74" s="417"/>
      <c r="K74" s="417"/>
      <c r="L74" s="417"/>
      <c r="M74" s="417"/>
      <c r="N74" s="417"/>
      <c r="O74" s="417"/>
      <c r="P74" s="417"/>
      <c r="Q74" s="417"/>
      <c r="R74" s="415"/>
    </row>
    <row r="75" spans="2:18">
      <c r="B75" s="427" t="str">
        <f>+'Metas 4 (Contrato relevos)'!A44</f>
        <v>*Incluir tantas filas sean necesarias</v>
      </c>
      <c r="C75" s="431"/>
      <c r="D75" s="430">
        <f>+'Metas 4 (Contrato relevos)'!B44</f>
        <v>0</v>
      </c>
      <c r="E75" s="414"/>
      <c r="F75" s="415"/>
      <c r="G75" s="415"/>
      <c r="H75" s="415"/>
      <c r="I75" s="415"/>
      <c r="J75" s="415"/>
      <c r="K75" s="415"/>
      <c r="L75" s="415"/>
      <c r="M75" s="415"/>
      <c r="N75" s="415"/>
      <c r="O75" s="415"/>
      <c r="P75" s="415"/>
      <c r="Q75" s="415"/>
      <c r="R75" s="415"/>
    </row>
    <row r="76" spans="2:18">
      <c r="B76" s="427"/>
      <c r="C76" s="429"/>
      <c r="D76" s="430"/>
      <c r="E76" s="416"/>
      <c r="F76" s="417"/>
      <c r="G76" s="417"/>
      <c r="H76" s="417"/>
      <c r="I76" s="417"/>
      <c r="J76" s="417"/>
      <c r="K76" s="417"/>
      <c r="L76" s="417"/>
      <c r="M76" s="417"/>
      <c r="N76" s="417"/>
      <c r="O76" s="417"/>
      <c r="P76" s="417"/>
      <c r="Q76" s="417"/>
      <c r="R76" s="415"/>
    </row>
    <row r="77" spans="2:18">
      <c r="B77" s="427" t="str">
        <f>+'Metas 5'!A38</f>
        <v>12. Diseñar e implementar la virtualización de la estrategia pedagógica para la valoración, la resignificación, el reconocimiento y la redistribución del trabajo de cuidado no remunerado que realizan las mujeres en Bogotá</v>
      </c>
      <c r="C77" s="428">
        <f>+C34-D77-D79</f>
        <v>0</v>
      </c>
      <c r="D77" s="430">
        <f>+'Metas 5'!B38</f>
        <v>0.05</v>
      </c>
      <c r="E77" s="414"/>
      <c r="F77" s="415"/>
      <c r="G77" s="415"/>
      <c r="H77" s="415"/>
      <c r="I77" s="415"/>
      <c r="J77" s="415"/>
      <c r="K77" s="415"/>
      <c r="L77" s="415"/>
      <c r="M77" s="415"/>
      <c r="N77" s="415"/>
      <c r="O77" s="415"/>
      <c r="P77" s="415"/>
      <c r="Q77" s="415"/>
      <c r="R77" s="415"/>
    </row>
    <row r="78" spans="2:18">
      <c r="B78" s="427"/>
      <c r="C78" s="431"/>
      <c r="D78" s="430"/>
      <c r="E78" s="416"/>
      <c r="F78" s="417"/>
      <c r="G78" s="417"/>
      <c r="H78" s="417"/>
      <c r="I78" s="417"/>
      <c r="J78" s="417"/>
      <c r="K78" s="417"/>
      <c r="L78" s="417"/>
      <c r="M78" s="417"/>
      <c r="N78" s="417"/>
      <c r="O78" s="417"/>
      <c r="P78" s="417"/>
      <c r="Q78" s="417"/>
      <c r="R78" s="415"/>
    </row>
    <row r="79" spans="2:18">
      <c r="B79" s="427" t="str">
        <f>+'Metas 5'!A40</f>
        <v xml:space="preserve">13. Diseñar la estrategia de comunicación, de la estrategia pedagogica y de cambio cultural del Sistema Distrital de Cuidado </v>
      </c>
      <c r="C79" s="431"/>
      <c r="D79" s="430">
        <f>+'Metas 5'!B40</f>
        <v>0.05</v>
      </c>
      <c r="E79" s="414"/>
      <c r="F79" s="415"/>
      <c r="G79" s="415"/>
      <c r="H79" s="415"/>
      <c r="I79" s="415"/>
      <c r="J79" s="415"/>
      <c r="K79" s="415"/>
      <c r="L79" s="415"/>
      <c r="M79" s="415"/>
      <c r="N79" s="415"/>
      <c r="O79" s="415"/>
      <c r="P79" s="415"/>
      <c r="Q79" s="415"/>
      <c r="R79" s="415"/>
    </row>
    <row r="80" spans="2:18">
      <c r="B80" s="427"/>
      <c r="C80" s="429"/>
      <c r="D80" s="430"/>
      <c r="E80" s="416"/>
      <c r="F80" s="417"/>
      <c r="G80" s="417"/>
      <c r="H80" s="417"/>
      <c r="I80" s="417"/>
      <c r="J80" s="417"/>
      <c r="K80" s="417"/>
      <c r="L80" s="417"/>
      <c r="M80" s="417"/>
      <c r="N80" s="417"/>
      <c r="O80" s="417"/>
      <c r="P80" s="417"/>
      <c r="Q80" s="417"/>
      <c r="R80" s="415"/>
    </row>
    <row r="81" spans="2:18">
      <c r="B81" s="427" t="str">
        <f>+'Metas 6 (ONU Mujeres)'!A38</f>
        <v xml:space="preserve">14. Implementar los talleres de cambio cultural </v>
      </c>
      <c r="C81" s="428">
        <f>C40-D81-D83-D85-D87</f>
        <v>0</v>
      </c>
      <c r="D81" s="432">
        <f>+'Metas 6 (ONU Mujeres)'!B38</f>
        <v>0.05</v>
      </c>
      <c r="E81" s="414"/>
      <c r="F81" s="415"/>
      <c r="G81" s="415"/>
      <c r="H81" s="415"/>
      <c r="I81" s="415"/>
      <c r="J81" s="415"/>
      <c r="K81" s="415"/>
      <c r="L81" s="415"/>
      <c r="M81" s="415"/>
      <c r="N81" s="415"/>
      <c r="O81" s="415"/>
      <c r="P81" s="415"/>
      <c r="Q81" s="415"/>
      <c r="R81" s="415"/>
    </row>
    <row r="82" spans="2:18">
      <c r="B82" s="427"/>
      <c r="C82" s="431"/>
      <c r="D82" s="432"/>
      <c r="E82" s="416"/>
      <c r="F82" s="417"/>
      <c r="G82" s="417"/>
      <c r="H82" s="417"/>
      <c r="I82" s="417"/>
      <c r="J82" s="417"/>
      <c r="K82" s="417"/>
      <c r="L82" s="417"/>
      <c r="M82" s="417"/>
      <c r="N82" s="417"/>
      <c r="O82" s="417"/>
      <c r="P82" s="417"/>
      <c r="Q82" s="417"/>
      <c r="R82" s="415"/>
    </row>
    <row r="83" spans="2:18">
      <c r="B83" s="427" t="str">
        <f>+'Metas 6 (ONU Mujeres)'!A40</f>
        <v xml:space="preserve">15. Producir e implementar la estrategia de comunicaciones </v>
      </c>
      <c r="C83" s="431"/>
      <c r="D83" s="432">
        <f>+'Metas 6 (ONU Mujeres)'!B40</f>
        <v>0.05</v>
      </c>
      <c r="E83" s="414"/>
      <c r="F83" s="415"/>
      <c r="G83" s="415"/>
      <c r="H83" s="415"/>
      <c r="I83" s="415"/>
      <c r="J83" s="415"/>
      <c r="K83" s="415"/>
      <c r="L83" s="415"/>
      <c r="M83" s="415"/>
      <c r="N83" s="415"/>
      <c r="O83" s="415"/>
      <c r="P83" s="415"/>
      <c r="Q83" s="415"/>
      <c r="R83" s="415"/>
    </row>
    <row r="84" spans="2:18">
      <c r="B84" s="427"/>
      <c r="C84" s="431"/>
      <c r="D84" s="432"/>
      <c r="E84" s="416"/>
      <c r="F84" s="417"/>
      <c r="G84" s="417"/>
      <c r="H84" s="417"/>
      <c r="I84" s="417"/>
      <c r="J84" s="417"/>
      <c r="K84" s="417"/>
      <c r="L84" s="417"/>
      <c r="M84" s="417"/>
      <c r="N84" s="417"/>
      <c r="O84" s="417"/>
      <c r="P84" s="417"/>
      <c r="Q84" s="417"/>
      <c r="R84" s="415"/>
    </row>
    <row r="85" spans="2:18">
      <c r="B85" s="427" t="str">
        <f>+'Metas 6 (ONU Mujeres)'!A42</f>
        <v>16. Implementar el componente de amplificación [Red de Alianzas del Cuidado]</v>
      </c>
      <c r="C85" s="431"/>
      <c r="D85" s="432">
        <f>+'Metas 6 (ONU Mujeres)'!B42</f>
        <v>0.05</v>
      </c>
      <c r="E85" s="414"/>
      <c r="F85" s="415"/>
      <c r="G85" s="415"/>
      <c r="H85" s="415"/>
      <c r="I85" s="415"/>
      <c r="J85" s="415"/>
      <c r="K85" s="415"/>
      <c r="L85" s="415"/>
      <c r="M85" s="415"/>
      <c r="N85" s="415"/>
      <c r="O85" s="415"/>
      <c r="P85" s="415"/>
      <c r="Q85" s="415"/>
      <c r="R85" s="415"/>
    </row>
    <row r="86" spans="2:18">
      <c r="B86" s="427"/>
      <c r="C86" s="431"/>
      <c r="D86" s="432"/>
      <c r="E86" s="416"/>
      <c r="F86" s="417"/>
      <c r="G86" s="417"/>
      <c r="H86" s="417"/>
      <c r="I86" s="417"/>
      <c r="J86" s="417"/>
      <c r="K86" s="417"/>
      <c r="L86" s="417"/>
      <c r="M86" s="417"/>
      <c r="N86" s="417"/>
      <c r="O86" s="417"/>
      <c r="P86" s="417"/>
      <c r="Q86" s="417"/>
      <c r="R86" s="415"/>
    </row>
    <row r="87" spans="2:18">
      <c r="B87" s="427" t="str">
        <f>+'Metas 6 (ONU Mujeres)'!A44</f>
        <v>17. Monitorear y hacer seguimiento a las acciones intersectoriales</v>
      </c>
      <c r="C87" s="431"/>
      <c r="D87" s="432">
        <f>+'Metas 6 (ONU Mujeres)'!B44</f>
        <v>0.05</v>
      </c>
      <c r="E87" s="414"/>
      <c r="F87" s="415"/>
      <c r="G87" s="415"/>
      <c r="H87" s="415"/>
      <c r="I87" s="415"/>
      <c r="J87" s="415"/>
      <c r="K87" s="415"/>
      <c r="L87" s="415"/>
      <c r="M87" s="415"/>
      <c r="N87" s="415"/>
      <c r="O87" s="415"/>
      <c r="P87" s="415"/>
      <c r="Q87" s="415"/>
      <c r="R87" s="415"/>
    </row>
    <row r="88" spans="2:18">
      <c r="B88" s="427"/>
      <c r="C88" s="429"/>
      <c r="D88" s="432"/>
      <c r="E88" s="416"/>
      <c r="F88" s="417"/>
      <c r="G88" s="417"/>
      <c r="H88" s="417"/>
      <c r="I88" s="417"/>
      <c r="J88" s="417"/>
      <c r="K88" s="417"/>
      <c r="L88" s="417"/>
      <c r="M88" s="417"/>
      <c r="N88" s="417"/>
      <c r="O88" s="417"/>
      <c r="P88" s="417"/>
      <c r="Q88" s="417"/>
      <c r="R88" s="415"/>
    </row>
    <row r="89" spans="2:18">
      <c r="B89" s="427" t="str">
        <f>+'Metas 7 (Unidades Moviles)'!A38</f>
        <v>18. Definir y poner en marcha dos unidades móviles de servicios de cuidado (Urbana y Rural)</v>
      </c>
      <c r="C89" s="428">
        <f>C46-D89</f>
        <v>0.10000000000000002</v>
      </c>
      <c r="D89" s="430">
        <f>+'Metas 7 (Unidades Moviles)'!B38</f>
        <v>0.05</v>
      </c>
      <c r="E89" s="414"/>
      <c r="F89" s="415"/>
      <c r="G89" s="415"/>
      <c r="H89" s="415"/>
      <c r="I89" s="415"/>
      <c r="J89" s="415"/>
      <c r="K89" s="415"/>
      <c r="L89" s="415"/>
      <c r="M89" s="415"/>
      <c r="N89" s="415"/>
      <c r="O89" s="415"/>
      <c r="P89" s="415"/>
      <c r="Q89" s="415"/>
      <c r="R89" s="415"/>
    </row>
    <row r="90" spans="2:18">
      <c r="B90" s="427"/>
      <c r="C90" s="429"/>
      <c r="D90" s="430"/>
      <c r="E90" s="416"/>
      <c r="F90" s="417"/>
      <c r="G90" s="417"/>
      <c r="H90" s="417"/>
      <c r="I90" s="417"/>
      <c r="J90" s="417"/>
      <c r="K90" s="417"/>
      <c r="L90" s="417"/>
      <c r="M90" s="417"/>
      <c r="N90" s="417"/>
      <c r="O90" s="417"/>
      <c r="P90" s="417"/>
      <c r="Q90" s="417"/>
      <c r="R90" s="415"/>
    </row>
    <row r="92" spans="2:18">
      <c r="C92" s="418">
        <f>SUM(C61:C90)</f>
        <v>0.3000000000000001</v>
      </c>
      <c r="D92" s="418">
        <f>SUM(D61:D90)</f>
        <v>0.70000000000000007</v>
      </c>
    </row>
  </sheetData>
  <mergeCells count="67">
    <mergeCell ref="B89:B90"/>
    <mergeCell ref="C89:C90"/>
    <mergeCell ref="D89:D90"/>
    <mergeCell ref="B81:B82"/>
    <mergeCell ref="C81:C88"/>
    <mergeCell ref="D81:D82"/>
    <mergeCell ref="B83:B84"/>
    <mergeCell ref="D83:D84"/>
    <mergeCell ref="B85:B86"/>
    <mergeCell ref="D85:D86"/>
    <mergeCell ref="B87:B88"/>
    <mergeCell ref="D87:D88"/>
    <mergeCell ref="B77:B78"/>
    <mergeCell ref="C77:C80"/>
    <mergeCell ref="D77:D78"/>
    <mergeCell ref="B79:B80"/>
    <mergeCell ref="D79:D80"/>
    <mergeCell ref="B67:B68"/>
    <mergeCell ref="C67:C68"/>
    <mergeCell ref="D67:D68"/>
    <mergeCell ref="B69:B70"/>
    <mergeCell ref="C69:C76"/>
    <mergeCell ref="D69:D70"/>
    <mergeCell ref="B71:B72"/>
    <mergeCell ref="D71:D72"/>
    <mergeCell ref="B73:B74"/>
    <mergeCell ref="D73:D74"/>
    <mergeCell ref="B75:B76"/>
    <mergeCell ref="D75:D76"/>
    <mergeCell ref="B65:B66"/>
    <mergeCell ref="C65:C66"/>
    <mergeCell ref="D65:D66"/>
    <mergeCell ref="A46:A51"/>
    <mergeCell ref="B46:B51"/>
    <mergeCell ref="C46:C51"/>
    <mergeCell ref="B59:B60"/>
    <mergeCell ref="D59:D60"/>
    <mergeCell ref="B61:B62"/>
    <mergeCell ref="C61:C64"/>
    <mergeCell ref="D61:D62"/>
    <mergeCell ref="B63:B64"/>
    <mergeCell ref="D63:D64"/>
    <mergeCell ref="E59:R59"/>
    <mergeCell ref="A34:A39"/>
    <mergeCell ref="B34:B39"/>
    <mergeCell ref="C34:C39"/>
    <mergeCell ref="A40:A45"/>
    <mergeCell ref="B40:B45"/>
    <mergeCell ref="C40:C45"/>
    <mergeCell ref="A22:A27"/>
    <mergeCell ref="B22:B27"/>
    <mergeCell ref="C22:C27"/>
    <mergeCell ref="A28:A33"/>
    <mergeCell ref="B28:B33"/>
    <mergeCell ref="C28:C33"/>
    <mergeCell ref="A10:A15"/>
    <mergeCell ref="B10:B15"/>
    <mergeCell ref="C10:C15"/>
    <mergeCell ref="A16:A21"/>
    <mergeCell ref="B16:B21"/>
    <mergeCell ref="C16:C21"/>
    <mergeCell ref="A6:D6"/>
    <mergeCell ref="H1:U1"/>
    <mergeCell ref="X1:AK1"/>
    <mergeCell ref="A3:D3"/>
    <mergeCell ref="A4:D4"/>
    <mergeCell ref="A5:D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K14"/>
  <sheetViews>
    <sheetView topLeftCell="A4" zoomScale="85" zoomScaleNormal="85" workbookViewId="0">
      <selection activeCell="C9" sqref="C9"/>
    </sheetView>
  </sheetViews>
  <sheetFormatPr baseColWidth="10" defaultColWidth="10.85546875" defaultRowHeight="14.25"/>
  <cols>
    <col min="1" max="1" width="65.85546875" style="338" customWidth="1"/>
    <col min="2" max="2" width="17.85546875" style="355" customWidth="1"/>
    <col min="3" max="3" width="21.42578125" style="356" customWidth="1"/>
    <col min="4" max="4" width="6.28515625" style="356" customWidth="1"/>
    <col min="5" max="5" width="15.85546875" style="345" customWidth="1"/>
    <col min="6" max="6" width="6.28515625" style="356" customWidth="1"/>
    <col min="7" max="7" width="16.140625" style="339" bestFit="1" customWidth="1"/>
    <col min="8" max="8" width="16.5703125" style="339" customWidth="1"/>
    <col min="9" max="9" width="8.5703125" style="339" customWidth="1"/>
    <col min="10" max="10" width="13" style="339" customWidth="1"/>
    <col min="11" max="11" width="8.5703125" style="339" bestFit="1" customWidth="1"/>
    <col min="12" max="12" width="10.42578125" style="339" bestFit="1" customWidth="1"/>
    <col min="13" max="16384" width="10.85546875" style="339"/>
  </cols>
  <sheetData>
    <row r="2" spans="1:11">
      <c r="A2" s="338" t="s">
        <v>536</v>
      </c>
    </row>
    <row r="4" spans="1:11" ht="16.5" customHeight="1">
      <c r="B4" s="634" t="s">
        <v>533</v>
      </c>
      <c r="C4" s="634"/>
      <c r="D4" s="634"/>
      <c r="E4" s="634"/>
      <c r="F4" s="634"/>
      <c r="G4" s="635" t="s">
        <v>534</v>
      </c>
      <c r="H4" s="635"/>
      <c r="I4" s="635"/>
      <c r="J4" s="635"/>
      <c r="K4" s="635"/>
    </row>
    <row r="5" spans="1:11" s="345" customFormat="1" ht="45">
      <c r="A5" s="340" t="s">
        <v>527</v>
      </c>
      <c r="B5" s="341" t="s">
        <v>528</v>
      </c>
      <c r="C5" s="359" t="s">
        <v>529</v>
      </c>
      <c r="D5" s="342" t="s">
        <v>532</v>
      </c>
      <c r="E5" s="342" t="s">
        <v>530</v>
      </c>
      <c r="F5" s="342" t="s">
        <v>532</v>
      </c>
      <c r="G5" s="343" t="s">
        <v>534</v>
      </c>
      <c r="H5" s="343" t="s">
        <v>535</v>
      </c>
      <c r="I5" s="344" t="s">
        <v>532</v>
      </c>
      <c r="J5" s="344" t="s">
        <v>530</v>
      </c>
      <c r="K5" s="344" t="s">
        <v>532</v>
      </c>
    </row>
    <row r="6" spans="1:11" ht="28.5">
      <c r="A6" s="346" t="str">
        <f>+'Metas 1'!A30</f>
        <v xml:space="preserve">1. Diseñar 1 documento de lineamientos técnicos para la formulación de las bases del sistema distrital de cuidado. </v>
      </c>
      <c r="B6" s="347">
        <f>+'Metas 1'!AC22</f>
        <v>340713963</v>
      </c>
      <c r="C6" s="347">
        <f>+'Metas 1'!AC23</f>
        <v>291713963</v>
      </c>
      <c r="D6" s="348">
        <f>+C6/B6</f>
        <v>0.85618435015532368</v>
      </c>
      <c r="E6" s="347">
        <f>+'Metas 1'!AC25</f>
        <v>0</v>
      </c>
      <c r="F6" s="348">
        <f>+E6/C6</f>
        <v>0</v>
      </c>
      <c r="G6" s="349">
        <f>+'Metas 1'!O24</f>
        <v>706330045</v>
      </c>
      <c r="H6" s="349">
        <v>706330045</v>
      </c>
      <c r="I6" s="350">
        <f>+H6/G6</f>
        <v>1</v>
      </c>
      <c r="J6" s="349">
        <v>3150000</v>
      </c>
      <c r="K6" s="350">
        <f>+J6/H6</f>
        <v>4.4596715406605703E-3</v>
      </c>
    </row>
    <row r="7" spans="1:11" ht="28.5">
      <c r="A7" s="346" t="str">
        <f>+'Metas 2'!A30</f>
        <v>2. Coordinar y articular 13 secretarías del nivel distrital para la implementación del sistema distrital de cuidado</v>
      </c>
      <c r="B7" s="347">
        <f>+'Metas 2'!AC22</f>
        <v>254977520</v>
      </c>
      <c r="C7" s="347">
        <f>+'Metas 2'!AC23</f>
        <v>205977520</v>
      </c>
      <c r="D7" s="348">
        <f t="shared" ref="D7:F13" si="0">+C7/B7</f>
        <v>0.80782619581522319</v>
      </c>
      <c r="E7" s="347">
        <f>+'Metas 2'!AC25</f>
        <v>0</v>
      </c>
      <c r="F7" s="348">
        <f t="shared" ref="F7:F12" si="1">+E7/C7</f>
        <v>0</v>
      </c>
      <c r="G7" s="349">
        <f>+'Metas 2'!O24</f>
        <v>3608711</v>
      </c>
      <c r="H7" s="349">
        <v>3608711</v>
      </c>
      <c r="I7" s="350">
        <f t="shared" ref="I7:I12" si="2">+H7/G7</f>
        <v>1</v>
      </c>
      <c r="J7" s="349">
        <v>0</v>
      </c>
      <c r="K7" s="350">
        <f t="shared" ref="K7:K12" si="3">+J7/H7</f>
        <v>0</v>
      </c>
    </row>
    <row r="8" spans="1:11" ht="28.5">
      <c r="A8" s="346" t="str">
        <f>+'Metas 3'!A30</f>
        <v>3. Gestionar 1 estrategia para la adecuación de infraestructura de manzanas de cuidado</v>
      </c>
      <c r="B8" s="347">
        <f>+'Metas 3'!AC22</f>
        <v>2501008965</v>
      </c>
      <c r="C8" s="347">
        <f>+'Metas 3'!AC23</f>
        <v>2170219796</v>
      </c>
      <c r="D8" s="348">
        <f t="shared" si="0"/>
        <v>0.86773771160792301</v>
      </c>
      <c r="E8" s="347">
        <f>+'Metas 3'!AC25</f>
        <v>0</v>
      </c>
      <c r="F8" s="348">
        <f t="shared" si="1"/>
        <v>0</v>
      </c>
      <c r="G8" s="349">
        <f>+'Metas 3'!O24</f>
        <v>82795794</v>
      </c>
      <c r="H8" s="349">
        <v>82795794</v>
      </c>
      <c r="I8" s="350">
        <f t="shared" si="2"/>
        <v>1</v>
      </c>
      <c r="J8" s="349">
        <v>7349999.9999999991</v>
      </c>
      <c r="K8" s="350">
        <f t="shared" si="3"/>
        <v>8.877262533408399E-2</v>
      </c>
    </row>
    <row r="9" spans="1:11" ht="29.1" customHeight="1">
      <c r="A9" s="346" t="str">
        <f>+'Metas 4 (Contrato relevos)'!A30</f>
        <v>4. Diseñar e implementar 1 estrategia de cuidado a cuidadoras.</v>
      </c>
      <c r="B9" s="347">
        <f>+'Metas 4 (Contrato relevos)'!AC22</f>
        <v>6333424930</v>
      </c>
      <c r="C9" s="347">
        <f>+'Metas 4 (Contrato relevos)'!AC23</f>
        <v>2217335062</v>
      </c>
      <c r="D9" s="348">
        <f t="shared" si="0"/>
        <v>0.35010047273111045</v>
      </c>
      <c r="E9" s="347">
        <f>+'Metas 4 (Contrato relevos)'!AC25</f>
        <v>0</v>
      </c>
      <c r="F9" s="348">
        <f t="shared" si="1"/>
        <v>0</v>
      </c>
      <c r="G9" s="349">
        <f>+'Metas 4 (Contrato relevos)'!O24</f>
        <v>4725735192</v>
      </c>
      <c r="H9" s="349">
        <v>4725735192</v>
      </c>
      <c r="I9" s="350">
        <f t="shared" si="2"/>
        <v>1</v>
      </c>
      <c r="J9" s="349">
        <v>67254654</v>
      </c>
      <c r="K9" s="350">
        <f t="shared" si="3"/>
        <v>1.4231574827521567E-2</v>
      </c>
    </row>
    <row r="10" spans="1:11" ht="24.6" customHeight="1">
      <c r="A10" s="346" t="str">
        <f>+'Metas 5'!A30</f>
        <v>5. Diseñar 1 documento para la implementación de la estrategia pedagógica para la valoración, la resignificación, el reconocimiento y la redistribución del trabajo de cuidado no remunerado que realizan las mujeres en Bogotá</v>
      </c>
      <c r="B10" s="347">
        <f>+'Metas 5'!AC22</f>
        <v>394554764</v>
      </c>
      <c r="C10" s="347">
        <f>+'Metas 5'!AC23</f>
        <v>345554764</v>
      </c>
      <c r="D10" s="348">
        <f t="shared" si="0"/>
        <v>0.87580938193918245</v>
      </c>
      <c r="E10" s="347">
        <f>+'Metas 5'!AC25</f>
        <v>0</v>
      </c>
      <c r="F10" s="348">
        <f t="shared" si="1"/>
        <v>0</v>
      </c>
      <c r="G10" s="349">
        <f>+'Metas 5'!O24</f>
        <v>3180045</v>
      </c>
      <c r="H10" s="349">
        <v>3180045</v>
      </c>
      <c r="I10" s="350">
        <f t="shared" si="2"/>
        <v>1</v>
      </c>
      <c r="J10" s="349">
        <f>+'Metas 5'!AH25</f>
        <v>0</v>
      </c>
      <c r="K10" s="350">
        <f t="shared" si="3"/>
        <v>0</v>
      </c>
    </row>
    <row r="11" spans="1:11" ht="42.75">
      <c r="A11" s="346" t="str">
        <f>+'Metas 6 (ONU Mujeres)'!A30</f>
        <v>6. Implementar 1 estrategia para el reconocimiento y la redistribución del trabajo de cuidado no remunerado entre hombres y mujeres.</v>
      </c>
      <c r="B11" s="347">
        <f>+'Metas 6 (ONU Mujeres)'!AC22</f>
        <v>547234329</v>
      </c>
      <c r="C11" s="347">
        <f>+'Metas 6 (ONU Mujeres)'!AC23</f>
        <v>371243829</v>
      </c>
      <c r="D11" s="348">
        <f t="shared" si="0"/>
        <v>0.67840011001941369</v>
      </c>
      <c r="E11" s="347">
        <f>+'Metas 6 (ONU Mujeres)'!AC25</f>
        <v>0</v>
      </c>
      <c r="F11" s="348">
        <f t="shared" si="1"/>
        <v>0</v>
      </c>
      <c r="G11" s="349">
        <f>+'Metas 6 (ONU Mujeres)'!O24</f>
        <v>224665526</v>
      </c>
      <c r="H11" s="349">
        <v>224665526</v>
      </c>
      <c r="I11" s="350">
        <f t="shared" si="2"/>
        <v>1</v>
      </c>
      <c r="J11" s="349">
        <f>+'Metas 6 (ONU Mujeres)'!AH25</f>
        <v>0</v>
      </c>
      <c r="K11" s="350">
        <f t="shared" si="3"/>
        <v>0</v>
      </c>
    </row>
    <row r="12" spans="1:11" ht="35.1" customHeight="1">
      <c r="A12" s="346" t="str">
        <f>+'Metas 7 (Unidades Moviles)'!A30</f>
        <v>7. Gestionar la implementación de 1 estrategia de unidades móviles de cuidado.</v>
      </c>
      <c r="B12" s="347">
        <f>+'Metas 7 (Unidades Moviles)'!AC22</f>
        <v>3482036529</v>
      </c>
      <c r="C12" s="347">
        <f>+'Metas 7 (Unidades Moviles)'!AC23</f>
        <v>1087452840</v>
      </c>
      <c r="D12" s="348">
        <f t="shared" si="0"/>
        <v>0.31230368519778384</v>
      </c>
      <c r="E12" s="347">
        <f>+'Metas 7 (Unidades Moviles)'!AC25</f>
        <v>0</v>
      </c>
      <c r="F12" s="348">
        <f t="shared" si="1"/>
        <v>0</v>
      </c>
      <c r="G12" s="349">
        <f>+'Metas 7 (Unidades Moviles)'!O24</f>
        <v>6741045</v>
      </c>
      <c r="H12" s="349">
        <v>6741045</v>
      </c>
      <c r="I12" s="350">
        <f t="shared" si="2"/>
        <v>1</v>
      </c>
      <c r="J12" s="349">
        <f>+'Metas 7 (Unidades Moviles)'!AH25</f>
        <v>0</v>
      </c>
      <c r="K12" s="350">
        <f t="shared" si="3"/>
        <v>0</v>
      </c>
    </row>
    <row r="13" spans="1:11" s="345" customFormat="1" ht="28.5" customHeight="1">
      <c r="A13" s="351" t="s">
        <v>531</v>
      </c>
      <c r="B13" s="352">
        <f>SUM(B6:B12)</f>
        <v>13853951000</v>
      </c>
      <c r="C13" s="357">
        <f>SUM(C6:C12)</f>
        <v>6689497774</v>
      </c>
      <c r="D13" s="353">
        <f t="shared" si="0"/>
        <v>0.48285848376394574</v>
      </c>
      <c r="E13" s="354"/>
      <c r="F13" s="353">
        <f t="shared" si="0"/>
        <v>0</v>
      </c>
      <c r="G13" s="358">
        <f>SUM(G6:G12)</f>
        <v>5753056358</v>
      </c>
      <c r="H13" s="358">
        <f>SUM(H6:H12)</f>
        <v>5753056358</v>
      </c>
      <c r="I13" s="388">
        <f>+H13/G13</f>
        <v>1</v>
      </c>
      <c r="J13" s="358">
        <f>SUM(J6:J12)</f>
        <v>77754654</v>
      </c>
      <c r="K13" s="389">
        <f>+J13/H13</f>
        <v>1.3515364557810577E-2</v>
      </c>
    </row>
    <row r="14" spans="1:11">
      <c r="G14" s="339">
        <v>5753056358</v>
      </c>
      <c r="J14" s="339">
        <v>77754654</v>
      </c>
    </row>
  </sheetData>
  <mergeCells count="2">
    <mergeCell ref="B4:F4"/>
    <mergeCell ref="G4:K4"/>
  </mergeCells>
  <phoneticPr fontId="3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X99"/>
  <sheetViews>
    <sheetView topLeftCell="H9" zoomScale="70" zoomScaleNormal="70" workbookViewId="0">
      <pane ySplit="4" topLeftCell="A14" activePane="bottomLeft" state="frozen"/>
      <selection activeCell="A9" sqref="A9"/>
      <selection pane="bottomLeft" activeCell="J15" sqref="J15"/>
    </sheetView>
  </sheetViews>
  <sheetFormatPr baseColWidth="10" defaultColWidth="14.42578125" defaultRowHeight="15" customHeight="1"/>
  <cols>
    <col min="1" max="1" width="10.140625" customWidth="1"/>
    <col min="2" max="2" width="10" customWidth="1"/>
    <col min="3" max="3" width="17.42578125" customWidth="1"/>
    <col min="4" max="6" width="8.42578125" customWidth="1"/>
    <col min="7" max="8" width="14.42578125" customWidth="1"/>
    <col min="9" max="10" width="29.42578125" customWidth="1"/>
    <col min="11" max="11" width="16.85546875" customWidth="1"/>
    <col min="12" max="13" width="15.42578125" customWidth="1"/>
    <col min="14" max="14" width="21.140625" customWidth="1"/>
    <col min="15" max="15" width="9.140625" customWidth="1"/>
    <col min="16" max="16" width="7.85546875" customWidth="1"/>
    <col min="17" max="18" width="12.7109375" customWidth="1"/>
    <col min="19" max="19" width="9" customWidth="1"/>
    <col min="20" max="20" width="17.42578125" customWidth="1"/>
    <col min="21" max="21" width="17" customWidth="1"/>
    <col min="22" max="32" width="9.5703125" customWidth="1"/>
    <col min="33" max="33" width="6.28515625" style="296" customWidth="1"/>
    <col min="34" max="34" width="6.140625" customWidth="1"/>
    <col min="35" max="45" width="5.85546875" customWidth="1"/>
    <col min="46" max="47" width="10.85546875" customWidth="1"/>
    <col min="48" max="48" width="81.7109375" customWidth="1"/>
    <col min="49" max="50" width="24.42578125" customWidth="1"/>
  </cols>
  <sheetData>
    <row r="1" spans="1:50" ht="15.75" customHeight="1">
      <c r="A1" s="655" t="s">
        <v>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9"/>
      <c r="AW1" s="559" t="s">
        <v>1</v>
      </c>
      <c r="AX1" s="541"/>
    </row>
    <row r="2" spans="1:50" ht="15.75" customHeight="1">
      <c r="A2" s="656" t="s">
        <v>2</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73"/>
      <c r="AW2" s="653" t="s">
        <v>3</v>
      </c>
      <c r="AX2" s="473"/>
    </row>
    <row r="3" spans="1:50" ht="15" customHeight="1">
      <c r="A3" s="657" t="s">
        <v>133</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18"/>
      <c r="AW3" s="653" t="s">
        <v>5</v>
      </c>
      <c r="AX3" s="473"/>
    </row>
    <row r="4" spans="1:50" ht="15.75" customHeight="1">
      <c r="A4" s="511"/>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9"/>
      <c r="AW4" s="654" t="s">
        <v>134</v>
      </c>
      <c r="AX4" s="473"/>
    </row>
    <row r="5" spans="1:50" ht="15" customHeight="1">
      <c r="A5" s="648" t="s">
        <v>135</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73"/>
      <c r="AH5" s="636" t="s">
        <v>13</v>
      </c>
      <c r="AI5" s="509"/>
      <c r="AJ5" s="509"/>
      <c r="AK5" s="509"/>
      <c r="AL5" s="509"/>
      <c r="AM5" s="509"/>
      <c r="AN5" s="509"/>
      <c r="AO5" s="509"/>
      <c r="AP5" s="509"/>
      <c r="AQ5" s="509"/>
      <c r="AR5" s="509"/>
      <c r="AS5" s="509"/>
      <c r="AT5" s="509"/>
      <c r="AU5" s="518"/>
      <c r="AV5" s="647" t="s">
        <v>136</v>
      </c>
      <c r="AW5" s="647" t="s">
        <v>137</v>
      </c>
      <c r="AX5" s="647" t="s">
        <v>138</v>
      </c>
    </row>
    <row r="6" spans="1:50" ht="15" customHeight="1">
      <c r="A6" s="636" t="s">
        <v>8</v>
      </c>
      <c r="B6" s="509"/>
      <c r="C6" s="518"/>
      <c r="D6" s="638">
        <v>44575</v>
      </c>
      <c r="E6" s="518"/>
      <c r="F6" s="636" t="s">
        <v>10</v>
      </c>
      <c r="G6" s="518"/>
      <c r="H6" s="641" t="s">
        <v>11</v>
      </c>
      <c r="I6" s="473"/>
      <c r="J6" s="254" t="s">
        <v>478</v>
      </c>
      <c r="K6" s="636"/>
      <c r="L6" s="509"/>
      <c r="M6" s="509"/>
      <c r="N6" s="509"/>
      <c r="O6" s="509"/>
      <c r="P6" s="509"/>
      <c r="Q6" s="509"/>
      <c r="R6" s="509"/>
      <c r="S6" s="509"/>
      <c r="T6" s="509"/>
      <c r="U6" s="542"/>
      <c r="V6" s="140"/>
      <c r="W6" s="140"/>
      <c r="X6" s="140"/>
      <c r="Y6" s="140"/>
      <c r="Z6" s="140"/>
      <c r="AA6" s="140"/>
      <c r="AB6" s="140"/>
      <c r="AC6" s="140"/>
      <c r="AD6" s="140"/>
      <c r="AE6" s="140"/>
      <c r="AF6" s="140"/>
      <c r="AG6" s="291"/>
      <c r="AH6" s="543"/>
      <c r="AI6" s="440"/>
      <c r="AJ6" s="440"/>
      <c r="AK6" s="440"/>
      <c r="AL6" s="440"/>
      <c r="AM6" s="440"/>
      <c r="AN6" s="440"/>
      <c r="AO6" s="440"/>
      <c r="AP6" s="440"/>
      <c r="AQ6" s="440"/>
      <c r="AR6" s="440"/>
      <c r="AS6" s="440"/>
      <c r="AT6" s="440"/>
      <c r="AU6" s="637"/>
      <c r="AV6" s="652"/>
      <c r="AW6" s="652"/>
      <c r="AX6" s="652"/>
    </row>
    <row r="7" spans="1:50" ht="15" customHeight="1">
      <c r="A7" s="543"/>
      <c r="B7" s="440"/>
      <c r="C7" s="637"/>
      <c r="D7" s="543"/>
      <c r="E7" s="637"/>
      <c r="F7" s="543"/>
      <c r="G7" s="637"/>
      <c r="H7" s="641" t="s">
        <v>12</v>
      </c>
      <c r="I7" s="473"/>
      <c r="J7" s="139"/>
      <c r="K7" s="543"/>
      <c r="L7" s="440"/>
      <c r="M7" s="440"/>
      <c r="N7" s="440"/>
      <c r="O7" s="440"/>
      <c r="P7" s="440"/>
      <c r="Q7" s="440"/>
      <c r="R7" s="440"/>
      <c r="S7" s="440"/>
      <c r="T7" s="440"/>
      <c r="U7" s="642"/>
      <c r="V7" s="141"/>
      <c r="W7" s="141"/>
      <c r="X7" s="141"/>
      <c r="Y7" s="141"/>
      <c r="Z7" s="141"/>
      <c r="AA7" s="141"/>
      <c r="AB7" s="141"/>
      <c r="AC7" s="141"/>
      <c r="AD7" s="141"/>
      <c r="AE7" s="141"/>
      <c r="AF7" s="141"/>
      <c r="AG7" s="292"/>
      <c r="AH7" s="543"/>
      <c r="AI7" s="440"/>
      <c r="AJ7" s="440"/>
      <c r="AK7" s="440"/>
      <c r="AL7" s="440"/>
      <c r="AM7" s="440"/>
      <c r="AN7" s="440"/>
      <c r="AO7" s="440"/>
      <c r="AP7" s="440"/>
      <c r="AQ7" s="440"/>
      <c r="AR7" s="440"/>
      <c r="AS7" s="440"/>
      <c r="AT7" s="440"/>
      <c r="AU7" s="637"/>
      <c r="AV7" s="652"/>
      <c r="AW7" s="652"/>
      <c r="AX7" s="652"/>
    </row>
    <row r="8" spans="1:50" ht="15" customHeight="1">
      <c r="A8" s="511"/>
      <c r="B8" s="512"/>
      <c r="C8" s="519"/>
      <c r="D8" s="511"/>
      <c r="E8" s="519"/>
      <c r="F8" s="511"/>
      <c r="G8" s="519"/>
      <c r="H8" s="641" t="s">
        <v>13</v>
      </c>
      <c r="I8" s="473"/>
      <c r="J8" s="139"/>
      <c r="K8" s="511"/>
      <c r="L8" s="512"/>
      <c r="M8" s="512"/>
      <c r="N8" s="512"/>
      <c r="O8" s="512"/>
      <c r="P8" s="512"/>
      <c r="Q8" s="512"/>
      <c r="R8" s="512"/>
      <c r="S8" s="512"/>
      <c r="T8" s="512"/>
      <c r="U8" s="643"/>
      <c r="V8" s="142"/>
      <c r="W8" s="142"/>
      <c r="X8" s="142"/>
      <c r="Y8" s="142"/>
      <c r="Z8" s="142"/>
      <c r="AA8" s="142"/>
      <c r="AB8" s="142"/>
      <c r="AC8" s="142"/>
      <c r="AD8" s="142"/>
      <c r="AE8" s="142"/>
      <c r="AF8" s="142"/>
      <c r="AG8" s="293"/>
      <c r="AH8" s="543"/>
      <c r="AI8" s="440"/>
      <c r="AJ8" s="440"/>
      <c r="AK8" s="440"/>
      <c r="AL8" s="440"/>
      <c r="AM8" s="440"/>
      <c r="AN8" s="440"/>
      <c r="AO8" s="440"/>
      <c r="AP8" s="440"/>
      <c r="AQ8" s="440"/>
      <c r="AR8" s="440"/>
      <c r="AS8" s="440"/>
      <c r="AT8" s="440"/>
      <c r="AU8" s="637"/>
      <c r="AV8" s="652"/>
      <c r="AW8" s="652"/>
      <c r="AX8" s="652"/>
    </row>
    <row r="9" spans="1:50" ht="15" customHeight="1">
      <c r="A9" s="645" t="s">
        <v>139</v>
      </c>
      <c r="B9" s="485"/>
      <c r="C9" s="486"/>
      <c r="D9" s="640" t="s">
        <v>343</v>
      </c>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9"/>
      <c r="AH9" s="543"/>
      <c r="AI9" s="440"/>
      <c r="AJ9" s="440"/>
      <c r="AK9" s="440"/>
      <c r="AL9" s="440"/>
      <c r="AM9" s="440"/>
      <c r="AN9" s="440"/>
      <c r="AO9" s="440"/>
      <c r="AP9" s="440"/>
      <c r="AQ9" s="440"/>
      <c r="AR9" s="440"/>
      <c r="AS9" s="440"/>
      <c r="AT9" s="440"/>
      <c r="AU9" s="637"/>
      <c r="AV9" s="652"/>
      <c r="AW9" s="652"/>
      <c r="AX9" s="652"/>
    </row>
    <row r="10" spans="1:50" ht="15" customHeight="1">
      <c r="A10" s="639" t="s">
        <v>140</v>
      </c>
      <c r="B10" s="464"/>
      <c r="C10" s="473"/>
      <c r="D10" s="649" t="s">
        <v>141</v>
      </c>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73"/>
      <c r="AH10" s="511"/>
      <c r="AI10" s="512"/>
      <c r="AJ10" s="512"/>
      <c r="AK10" s="512"/>
      <c r="AL10" s="512"/>
      <c r="AM10" s="512"/>
      <c r="AN10" s="512"/>
      <c r="AO10" s="512"/>
      <c r="AP10" s="512"/>
      <c r="AQ10" s="512"/>
      <c r="AR10" s="512"/>
      <c r="AS10" s="512"/>
      <c r="AT10" s="512"/>
      <c r="AU10" s="519"/>
      <c r="AV10" s="652"/>
      <c r="AW10" s="652"/>
      <c r="AX10" s="652"/>
    </row>
    <row r="11" spans="1:50" ht="39.75" customHeight="1">
      <c r="A11" s="646" t="s">
        <v>142</v>
      </c>
      <c r="B11" s="464"/>
      <c r="C11" s="464"/>
      <c r="D11" s="464"/>
      <c r="E11" s="464"/>
      <c r="F11" s="473"/>
      <c r="G11" s="646" t="s">
        <v>143</v>
      </c>
      <c r="H11" s="473"/>
      <c r="I11" s="647" t="s">
        <v>144</v>
      </c>
      <c r="J11" s="647" t="s">
        <v>145</v>
      </c>
      <c r="K11" s="647" t="s">
        <v>146</v>
      </c>
      <c r="L11" s="647" t="s">
        <v>147</v>
      </c>
      <c r="M11" s="647" t="s">
        <v>148</v>
      </c>
      <c r="N11" s="647" t="s">
        <v>149</v>
      </c>
      <c r="O11" s="646" t="s">
        <v>150</v>
      </c>
      <c r="P11" s="464"/>
      <c r="Q11" s="464"/>
      <c r="R11" s="464"/>
      <c r="S11" s="473"/>
      <c r="T11" s="647" t="s">
        <v>151</v>
      </c>
      <c r="U11" s="647" t="s">
        <v>152</v>
      </c>
      <c r="V11" s="648" t="s">
        <v>153</v>
      </c>
      <c r="W11" s="464"/>
      <c r="X11" s="464"/>
      <c r="Y11" s="464"/>
      <c r="Z11" s="464"/>
      <c r="AA11" s="464"/>
      <c r="AB11" s="464"/>
      <c r="AC11" s="464"/>
      <c r="AD11" s="464"/>
      <c r="AE11" s="464"/>
      <c r="AF11" s="464"/>
      <c r="AG11" s="473"/>
      <c r="AH11" s="648" t="s">
        <v>154</v>
      </c>
      <c r="AI11" s="464"/>
      <c r="AJ11" s="464"/>
      <c r="AK11" s="464"/>
      <c r="AL11" s="464"/>
      <c r="AM11" s="464"/>
      <c r="AN11" s="464"/>
      <c r="AO11" s="464"/>
      <c r="AP11" s="464"/>
      <c r="AQ11" s="464"/>
      <c r="AR11" s="464"/>
      <c r="AS11" s="473"/>
      <c r="AT11" s="646" t="s">
        <v>40</v>
      </c>
      <c r="AU11" s="473"/>
      <c r="AV11" s="652"/>
      <c r="AW11" s="652"/>
      <c r="AX11" s="652"/>
    </row>
    <row r="12" spans="1:50" ht="42" customHeight="1">
      <c r="A12" s="144" t="s">
        <v>155</v>
      </c>
      <c r="B12" s="144" t="s">
        <v>156</v>
      </c>
      <c r="C12" s="144" t="s">
        <v>157</v>
      </c>
      <c r="D12" s="144" t="s">
        <v>158</v>
      </c>
      <c r="E12" s="144" t="s">
        <v>159</v>
      </c>
      <c r="F12" s="144" t="s">
        <v>160</v>
      </c>
      <c r="G12" s="144" t="s">
        <v>161</v>
      </c>
      <c r="H12" s="144" t="s">
        <v>162</v>
      </c>
      <c r="I12" s="507"/>
      <c r="J12" s="507"/>
      <c r="K12" s="507"/>
      <c r="L12" s="507"/>
      <c r="M12" s="507"/>
      <c r="N12" s="507"/>
      <c r="O12" s="144">
        <v>2020</v>
      </c>
      <c r="P12" s="144">
        <v>2021</v>
      </c>
      <c r="Q12" s="144">
        <v>2022</v>
      </c>
      <c r="R12" s="144">
        <v>2023</v>
      </c>
      <c r="S12" s="144">
        <v>2024</v>
      </c>
      <c r="T12" s="507"/>
      <c r="U12" s="507"/>
      <c r="V12" s="145" t="s">
        <v>28</v>
      </c>
      <c r="W12" s="145" t="s">
        <v>29</v>
      </c>
      <c r="X12" s="145" t="s">
        <v>30</v>
      </c>
      <c r="Y12" s="145" t="s">
        <v>31</v>
      </c>
      <c r="Z12" s="145" t="s">
        <v>32</v>
      </c>
      <c r="AA12" s="145" t="s">
        <v>33</v>
      </c>
      <c r="AB12" s="145" t="s">
        <v>34</v>
      </c>
      <c r="AC12" s="145" t="s">
        <v>35</v>
      </c>
      <c r="AD12" s="145" t="s">
        <v>36</v>
      </c>
      <c r="AE12" s="145" t="s">
        <v>37</v>
      </c>
      <c r="AF12" s="145" t="s">
        <v>38</v>
      </c>
      <c r="AG12" s="294" t="s">
        <v>39</v>
      </c>
      <c r="AH12" s="145" t="s">
        <v>28</v>
      </c>
      <c r="AI12" s="145" t="s">
        <v>29</v>
      </c>
      <c r="AJ12" s="145" t="s">
        <v>30</v>
      </c>
      <c r="AK12" s="145" t="s">
        <v>31</v>
      </c>
      <c r="AL12" s="145" t="s">
        <v>32</v>
      </c>
      <c r="AM12" s="145" t="s">
        <v>33</v>
      </c>
      <c r="AN12" s="145" t="s">
        <v>34</v>
      </c>
      <c r="AO12" s="145" t="s">
        <v>35</v>
      </c>
      <c r="AP12" s="145" t="s">
        <v>36</v>
      </c>
      <c r="AQ12" s="145" t="s">
        <v>37</v>
      </c>
      <c r="AR12" s="145" t="s">
        <v>38</v>
      </c>
      <c r="AS12" s="145" t="s">
        <v>39</v>
      </c>
      <c r="AT12" s="144" t="s">
        <v>163</v>
      </c>
      <c r="AU12" s="144" t="s">
        <v>164</v>
      </c>
      <c r="AV12" s="507"/>
      <c r="AW12" s="507"/>
      <c r="AX12" s="507"/>
    </row>
    <row r="13" spans="1:50" ht="121.5" customHeight="1">
      <c r="A13" s="146">
        <v>52</v>
      </c>
      <c r="B13" s="147"/>
      <c r="C13" s="148"/>
      <c r="D13" s="147"/>
      <c r="E13" s="147"/>
      <c r="F13" s="148"/>
      <c r="G13" s="149"/>
      <c r="H13" s="149" t="s">
        <v>166</v>
      </c>
      <c r="I13" s="150" t="s">
        <v>167</v>
      </c>
      <c r="J13" s="150" t="s">
        <v>168</v>
      </c>
      <c r="K13" s="148" t="s">
        <v>169</v>
      </c>
      <c r="L13" s="148">
        <v>1</v>
      </c>
      <c r="M13" s="148" t="s">
        <v>170</v>
      </c>
      <c r="N13" s="270" t="s">
        <v>171</v>
      </c>
      <c r="O13" s="151">
        <v>0.3</v>
      </c>
      <c r="P13" s="151">
        <v>0.7</v>
      </c>
      <c r="Q13" s="151">
        <v>1</v>
      </c>
      <c r="R13" s="151">
        <v>1</v>
      </c>
      <c r="S13" s="151">
        <v>1</v>
      </c>
      <c r="T13" s="152" t="s">
        <v>172</v>
      </c>
      <c r="U13" s="152" t="s">
        <v>173</v>
      </c>
      <c r="V13" s="153">
        <v>0.75249999999999995</v>
      </c>
      <c r="W13" s="153">
        <v>0.80500000000000005</v>
      </c>
      <c r="X13" s="153">
        <v>0.85749999999999993</v>
      </c>
      <c r="Y13" s="153">
        <v>0.8866666666666666</v>
      </c>
      <c r="Z13" s="153">
        <v>0.91583333333333328</v>
      </c>
      <c r="AA13" s="153">
        <v>0.94499999999999995</v>
      </c>
      <c r="AB13" s="153">
        <v>0.96666666666666656</v>
      </c>
      <c r="AC13" s="153">
        <v>0.97333333333333327</v>
      </c>
      <c r="AD13" s="153">
        <v>0.98</v>
      </c>
      <c r="AE13" s="153">
        <v>0.98666666666666669</v>
      </c>
      <c r="AF13" s="153">
        <v>0.9933333333333334</v>
      </c>
      <c r="AG13" s="162">
        <v>1</v>
      </c>
      <c r="AH13" s="374">
        <f>+'Metas 5'!D35</f>
        <v>0.75372499999999998</v>
      </c>
      <c r="AI13" s="147"/>
      <c r="AJ13" s="147"/>
      <c r="AK13" s="147"/>
      <c r="AL13" s="147"/>
      <c r="AM13" s="147"/>
      <c r="AN13" s="147"/>
      <c r="AO13" s="147"/>
      <c r="AP13" s="147"/>
      <c r="AQ13" s="147"/>
      <c r="AR13" s="147"/>
      <c r="AS13" s="147"/>
      <c r="AT13" s="154">
        <f>SUM(AH13:AS13)</f>
        <v>0.75372499999999998</v>
      </c>
      <c r="AU13" s="155">
        <f>AT13/Q13</f>
        <v>0.75372499999999998</v>
      </c>
      <c r="AV13" s="163" t="str">
        <f>+'Metas 5'!Q34</f>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
      <c r="AW13" s="147"/>
      <c r="AX13" s="156"/>
    </row>
    <row r="14" spans="1:50" ht="142.5" customHeight="1">
      <c r="A14" s="146">
        <v>53</v>
      </c>
      <c r="B14" s="147"/>
      <c r="C14" s="148"/>
      <c r="D14" s="147"/>
      <c r="E14" s="147"/>
      <c r="F14" s="148"/>
      <c r="G14" s="149"/>
      <c r="H14" s="149" t="s">
        <v>166</v>
      </c>
      <c r="I14" s="150" t="s">
        <v>174</v>
      </c>
      <c r="J14" s="150" t="s">
        <v>175</v>
      </c>
      <c r="K14" s="148" t="s">
        <v>176</v>
      </c>
      <c r="L14" s="148">
        <v>100</v>
      </c>
      <c r="M14" s="148" t="s">
        <v>177</v>
      </c>
      <c r="N14" s="270" t="s">
        <v>489</v>
      </c>
      <c r="O14" s="157">
        <v>7</v>
      </c>
      <c r="P14" s="158">
        <v>17.91</v>
      </c>
      <c r="Q14" s="158">
        <v>25.09</v>
      </c>
      <c r="R14" s="157">
        <v>25</v>
      </c>
      <c r="S14" s="157">
        <v>25</v>
      </c>
      <c r="T14" s="152" t="s">
        <v>172</v>
      </c>
      <c r="U14" s="152" t="s">
        <v>173</v>
      </c>
      <c r="V14" s="159">
        <f t="shared" ref="V14:AG14" si="0">25.09/12</f>
        <v>2.0908333333333333</v>
      </c>
      <c r="W14" s="159">
        <f t="shared" si="0"/>
        <v>2.0908333333333333</v>
      </c>
      <c r="X14" s="159">
        <f t="shared" si="0"/>
        <v>2.0908333333333333</v>
      </c>
      <c r="Y14" s="159">
        <f t="shared" si="0"/>
        <v>2.0908333333333333</v>
      </c>
      <c r="Z14" s="159">
        <f t="shared" si="0"/>
        <v>2.0908333333333333</v>
      </c>
      <c r="AA14" s="159">
        <f t="shared" si="0"/>
        <v>2.0908333333333333</v>
      </c>
      <c r="AB14" s="159">
        <f t="shared" si="0"/>
        <v>2.0908333333333333</v>
      </c>
      <c r="AC14" s="159">
        <f t="shared" si="0"/>
        <v>2.0908333333333333</v>
      </c>
      <c r="AD14" s="159">
        <f t="shared" si="0"/>
        <v>2.0908333333333333</v>
      </c>
      <c r="AE14" s="159">
        <f t="shared" si="0"/>
        <v>2.0908333333333333</v>
      </c>
      <c r="AF14" s="159">
        <f t="shared" si="0"/>
        <v>2.0908333333333333</v>
      </c>
      <c r="AG14" s="162">
        <f t="shared" si="0"/>
        <v>2.0908333333333333</v>
      </c>
      <c r="AH14" s="147">
        <f>+'Metas 1'!D35</f>
        <v>0.72062999999999999</v>
      </c>
      <c r="AI14" s="147"/>
      <c r="AJ14" s="147"/>
      <c r="AK14" s="147"/>
      <c r="AL14" s="147"/>
      <c r="AM14" s="147"/>
      <c r="AN14" s="147"/>
      <c r="AO14" s="147"/>
      <c r="AP14" s="147"/>
      <c r="AQ14" s="147"/>
      <c r="AR14" s="147"/>
      <c r="AS14" s="147"/>
      <c r="AT14" s="154">
        <f t="shared" ref="AT14:AT21" si="1">SUM(AH14:AS14)</f>
        <v>0.72062999999999999</v>
      </c>
      <c r="AU14" s="155">
        <f t="shared" ref="AU14:AU21" si="2">AT14/Q14</f>
        <v>2.8721801514547628E-2</v>
      </c>
      <c r="AV14" s="147" t="str">
        <f>+'Metas 1'!Q34</f>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
      <c r="AW14" s="147"/>
      <c r="AX14" s="156"/>
    </row>
    <row r="15" spans="1:50" ht="111.75" customHeight="1">
      <c r="A15" s="146">
        <v>56</v>
      </c>
      <c r="B15" s="147"/>
      <c r="C15" s="148"/>
      <c r="D15" s="147"/>
      <c r="E15" s="147"/>
      <c r="F15" s="148"/>
      <c r="G15" s="149"/>
      <c r="H15" s="149" t="s">
        <v>166</v>
      </c>
      <c r="I15" s="150" t="s">
        <v>178</v>
      </c>
      <c r="J15" s="150" t="s">
        <v>179</v>
      </c>
      <c r="K15" s="148" t="s">
        <v>176</v>
      </c>
      <c r="L15" s="148">
        <v>2</v>
      </c>
      <c r="M15" s="148" t="s">
        <v>170</v>
      </c>
      <c r="N15" s="270" t="s">
        <v>490</v>
      </c>
      <c r="O15" s="158">
        <v>0.1</v>
      </c>
      <c r="P15" s="158">
        <v>0.49</v>
      </c>
      <c r="Q15" s="268">
        <v>0.50900000000000001</v>
      </c>
      <c r="R15" s="158">
        <v>0.5</v>
      </c>
      <c r="S15" s="158">
        <v>0.4</v>
      </c>
      <c r="T15" s="152" t="s">
        <v>172</v>
      </c>
      <c r="U15" s="267" t="s">
        <v>479</v>
      </c>
      <c r="V15" s="159">
        <f t="shared" ref="V15:AG15" si="3">$Q$15/12</f>
        <v>4.2416666666666665E-2</v>
      </c>
      <c r="W15" s="159">
        <f t="shared" si="3"/>
        <v>4.2416666666666665E-2</v>
      </c>
      <c r="X15" s="159">
        <f t="shared" si="3"/>
        <v>4.2416666666666665E-2</v>
      </c>
      <c r="Y15" s="159">
        <f t="shared" si="3"/>
        <v>4.2416666666666665E-2</v>
      </c>
      <c r="Z15" s="159">
        <f t="shared" si="3"/>
        <v>4.2416666666666665E-2</v>
      </c>
      <c r="AA15" s="159">
        <f t="shared" si="3"/>
        <v>4.2416666666666665E-2</v>
      </c>
      <c r="AB15" s="159">
        <f t="shared" si="3"/>
        <v>4.2416666666666665E-2</v>
      </c>
      <c r="AC15" s="159">
        <f t="shared" si="3"/>
        <v>4.2416666666666665E-2</v>
      </c>
      <c r="AD15" s="159">
        <f t="shared" si="3"/>
        <v>4.2416666666666665E-2</v>
      </c>
      <c r="AE15" s="159">
        <f t="shared" si="3"/>
        <v>4.2416666666666665E-2</v>
      </c>
      <c r="AF15" s="159">
        <f t="shared" si="3"/>
        <v>4.2416666666666665E-2</v>
      </c>
      <c r="AG15" s="153">
        <f t="shared" si="3"/>
        <v>4.2416666666666665E-2</v>
      </c>
      <c r="AH15" s="376">
        <f>+'Metas 7 (Unidades Moviles)'!D35+'Metas 3'!D35</f>
        <v>1.8916666666666668E-2</v>
      </c>
      <c r="AI15" s="147"/>
      <c r="AJ15" s="147"/>
      <c r="AK15" s="147"/>
      <c r="AL15" s="147"/>
      <c r="AM15" s="147"/>
      <c r="AN15" s="147"/>
      <c r="AO15" s="147"/>
      <c r="AP15" s="147"/>
      <c r="AQ15" s="147"/>
      <c r="AR15" s="147"/>
      <c r="AS15" s="147"/>
      <c r="AT15" s="375">
        <f t="shared" si="1"/>
        <v>1.8916666666666668E-2</v>
      </c>
      <c r="AU15" s="155">
        <f t="shared" si="2"/>
        <v>3.7164374590700724E-2</v>
      </c>
      <c r="AV15" s="163" t="str">
        <f>+'Metas 7 (Unidades Moviles)'!Q34</f>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
      <c r="AW15" s="147"/>
      <c r="AX15" s="156"/>
    </row>
    <row r="16" spans="1:50" ht="78" customHeight="1">
      <c r="A16" s="146"/>
      <c r="B16" s="148">
        <v>905</v>
      </c>
      <c r="C16" s="148"/>
      <c r="D16" s="147"/>
      <c r="E16" s="147"/>
      <c r="F16" s="148"/>
      <c r="G16" s="149"/>
      <c r="H16" s="149"/>
      <c r="I16" s="150" t="s">
        <v>180</v>
      </c>
      <c r="J16" s="192" t="s">
        <v>481</v>
      </c>
      <c r="K16" s="148"/>
      <c r="L16" s="148">
        <v>47.2</v>
      </c>
      <c r="M16" s="148" t="s">
        <v>177</v>
      </c>
      <c r="N16" s="270" t="s">
        <v>483</v>
      </c>
      <c r="O16" s="158">
        <v>0</v>
      </c>
      <c r="P16" s="158">
        <v>0</v>
      </c>
      <c r="Q16" s="158">
        <v>47.2</v>
      </c>
      <c r="R16" s="158">
        <v>0</v>
      </c>
      <c r="S16" s="158"/>
      <c r="T16" s="267" t="s">
        <v>482</v>
      </c>
      <c r="U16" s="152" t="s">
        <v>183</v>
      </c>
      <c r="V16" s="159"/>
      <c r="W16" s="159"/>
      <c r="X16" s="159"/>
      <c r="Y16" s="159"/>
      <c r="Z16" s="159"/>
      <c r="AA16" s="159"/>
      <c r="AB16" s="159"/>
      <c r="AC16" s="159"/>
      <c r="AD16" s="159"/>
      <c r="AE16" s="159"/>
      <c r="AF16" s="159"/>
      <c r="AG16" s="297">
        <v>47.2</v>
      </c>
      <c r="AH16" s="147"/>
      <c r="AI16" s="147"/>
      <c r="AJ16" s="147"/>
      <c r="AK16" s="147"/>
      <c r="AL16" s="147"/>
      <c r="AM16" s="147"/>
      <c r="AN16" s="147"/>
      <c r="AO16" s="147"/>
      <c r="AP16" s="147"/>
      <c r="AQ16" s="147"/>
      <c r="AR16" s="147"/>
      <c r="AS16" s="147"/>
      <c r="AT16" s="154">
        <f t="shared" si="1"/>
        <v>0</v>
      </c>
      <c r="AU16" s="155" t="e">
        <f>AT16/S16</f>
        <v>#DIV/0!</v>
      </c>
      <c r="AV16" s="147"/>
      <c r="AW16" s="147"/>
      <c r="AX16" s="156"/>
    </row>
    <row r="17" spans="1:50" ht="72" customHeight="1">
      <c r="A17" s="146"/>
      <c r="B17" s="148">
        <v>906</v>
      </c>
      <c r="C17" s="148"/>
      <c r="D17" s="147"/>
      <c r="E17" s="147"/>
      <c r="F17" s="148"/>
      <c r="G17" s="149"/>
      <c r="H17" s="149"/>
      <c r="I17" s="150" t="s">
        <v>180</v>
      </c>
      <c r="J17" s="192" t="s">
        <v>480</v>
      </c>
      <c r="K17" s="148"/>
      <c r="L17" s="148">
        <v>48.8</v>
      </c>
      <c r="M17" s="148" t="s">
        <v>177</v>
      </c>
      <c r="N17" s="148" t="s">
        <v>182</v>
      </c>
      <c r="O17" s="158">
        <v>0</v>
      </c>
      <c r="P17" s="158">
        <v>0</v>
      </c>
      <c r="Q17" s="158">
        <v>48.8</v>
      </c>
      <c r="R17" s="158">
        <v>0</v>
      </c>
      <c r="S17" s="158"/>
      <c r="T17" s="267" t="s">
        <v>482</v>
      </c>
      <c r="U17" s="152" t="s">
        <v>183</v>
      </c>
      <c r="V17" s="159"/>
      <c r="W17" s="159"/>
      <c r="X17" s="159"/>
      <c r="Y17" s="159"/>
      <c r="Z17" s="159"/>
      <c r="AA17" s="159"/>
      <c r="AB17" s="159"/>
      <c r="AC17" s="159"/>
      <c r="AD17" s="159"/>
      <c r="AE17" s="159"/>
      <c r="AF17" s="159"/>
      <c r="AG17" s="297">
        <v>48.8</v>
      </c>
      <c r="AH17" s="147"/>
      <c r="AI17" s="147"/>
      <c r="AJ17" s="147"/>
      <c r="AK17" s="147"/>
      <c r="AL17" s="147"/>
      <c r="AM17" s="147"/>
      <c r="AN17" s="147"/>
      <c r="AO17" s="147"/>
      <c r="AP17" s="147"/>
      <c r="AQ17" s="147"/>
      <c r="AR17" s="147"/>
      <c r="AS17" s="147"/>
      <c r="AT17" s="154">
        <f t="shared" si="1"/>
        <v>0</v>
      </c>
      <c r="AU17" s="155" t="e">
        <f>AT17/S17</f>
        <v>#DIV/0!</v>
      </c>
      <c r="AV17" s="147"/>
      <c r="AW17" s="147"/>
      <c r="AX17" s="156"/>
    </row>
    <row r="18" spans="1:50" ht="57.6" customHeight="1">
      <c r="A18" s="147"/>
      <c r="B18" s="147"/>
      <c r="C18" s="147"/>
      <c r="D18" s="146">
        <v>43</v>
      </c>
      <c r="E18" s="147"/>
      <c r="F18" s="148"/>
      <c r="G18" s="263" t="s">
        <v>165</v>
      </c>
      <c r="H18" s="149" t="s">
        <v>166</v>
      </c>
      <c r="I18" s="147"/>
      <c r="J18" s="150" t="s">
        <v>185</v>
      </c>
      <c r="K18" s="148" t="s">
        <v>176</v>
      </c>
      <c r="L18" s="160">
        <v>12000</v>
      </c>
      <c r="M18" s="148" t="s">
        <v>186</v>
      </c>
      <c r="N18" s="271" t="s">
        <v>484</v>
      </c>
      <c r="O18" s="158">
        <v>0</v>
      </c>
      <c r="P18" s="265">
        <v>3680</v>
      </c>
      <c r="Q18" s="269">
        <v>3600</v>
      </c>
      <c r="R18" s="161">
        <v>3600</v>
      </c>
      <c r="S18" s="265">
        <v>1120</v>
      </c>
      <c r="T18" s="148" t="s">
        <v>187</v>
      </c>
      <c r="U18" s="148" t="s">
        <v>188</v>
      </c>
      <c r="V18" s="147"/>
      <c r="W18" s="162">
        <v>327.27272727272725</v>
      </c>
      <c r="X18" s="162">
        <v>327.27272727272725</v>
      </c>
      <c r="Y18" s="162">
        <v>327.27272727272725</v>
      </c>
      <c r="Z18" s="162">
        <v>327.27272727272725</v>
      </c>
      <c r="AA18" s="162">
        <v>327.27272727272725</v>
      </c>
      <c r="AB18" s="162">
        <v>327.27272727272725</v>
      </c>
      <c r="AC18" s="162">
        <v>327.27272727272725</v>
      </c>
      <c r="AD18" s="162">
        <v>327.27272727272725</v>
      </c>
      <c r="AE18" s="162">
        <v>327.27272727272725</v>
      </c>
      <c r="AF18" s="162">
        <v>327.27272727272725</v>
      </c>
      <c r="AG18" s="162">
        <v>327.27272727272725</v>
      </c>
      <c r="AH18" s="147">
        <v>0</v>
      </c>
      <c r="AI18" s="147"/>
      <c r="AJ18" s="147"/>
      <c r="AK18" s="147"/>
      <c r="AL18" s="147"/>
      <c r="AM18" s="147"/>
      <c r="AN18" s="147"/>
      <c r="AO18" s="147"/>
      <c r="AP18" s="147"/>
      <c r="AQ18" s="147"/>
      <c r="AR18" s="147"/>
      <c r="AS18" s="147"/>
      <c r="AT18" s="154">
        <f t="shared" si="1"/>
        <v>0</v>
      </c>
      <c r="AU18" s="155">
        <f t="shared" si="2"/>
        <v>0</v>
      </c>
      <c r="AV18" s="163" t="str">
        <f>+'Metas 4 (Contrato relevos)'!Q34</f>
        <v>Se definió la distribución de metas por territorio, se elaboraron materiales de contexto de los componentes de formación complementaria, formación y respiro con enfoque diferencial y de la evaluación y certificación de saberes en materia de cuidado y se definieron procedimientos para la actuación del equipo, se cuenta con: Plan de trabajo distrital de formadoras territoriales, Plan de trabajo distrital de evaluadoras-certificadoras, Procedimiento de formación en territorio, Mapa de distribución territorial del equipo, Presentación de inducción al equipo asignado para 19 localidades.
A enero 2022 se acumularon 2.228 visitas efectivamente realizadas para 1.855 beneficiarias y se aprobaron 722 planes de trabajo. Adicional se desarrollaron 4 comités operativos donde se presentaron reportes y avances del cumplimiento contractual del programa, se definieron acciones para dar cumplimiento a la prórroga, como la actualización de planes de trabajo y la adecuación del modelo de formación para sesiones adicionales del curso de la Universidad Nacional: “Herramientas para las cuidadoras en el reconocimiento de su trabajo de cuidado”.
Adicional a ello, se continuó en el avance las acciones necesarias para la implementación del modelo de monitoreo y seguimiento con personal contratado por la Entidad, se logró conformar el equipo de 26 contratistas que realizaron las respectivas acciones que buscan garantizar el cumplimiento del contrato con el Operador actual y el que se espera suscribir en el segundo semestre del año. Dichas acciones desarrolladas en el mes de enero fueron la creación de protocolo de revisión de planes de trabajo y validación de instrumentos de seguimiento del avance del desarrollo del contrato 847 de 2021.</v>
      </c>
      <c r="AW18" s="163"/>
      <c r="AX18" s="147"/>
    </row>
    <row r="19" spans="1:50" ht="65.45" customHeight="1">
      <c r="A19" s="147"/>
      <c r="B19" s="147"/>
      <c r="C19" s="147"/>
      <c r="D19" s="146">
        <v>45</v>
      </c>
      <c r="E19" s="147"/>
      <c r="F19" s="148"/>
      <c r="G19" s="149" t="s">
        <v>165</v>
      </c>
      <c r="H19" s="149" t="s">
        <v>166</v>
      </c>
      <c r="I19" s="147"/>
      <c r="J19" s="150" t="s">
        <v>189</v>
      </c>
      <c r="K19" s="148" t="s">
        <v>176</v>
      </c>
      <c r="L19" s="278">
        <v>41039</v>
      </c>
      <c r="M19" s="148" t="s">
        <v>190</v>
      </c>
      <c r="N19" s="262" t="s">
        <v>486</v>
      </c>
      <c r="O19" s="158">
        <v>0</v>
      </c>
      <c r="P19" s="288">
        <v>1039</v>
      </c>
      <c r="Q19" s="289">
        <f>SUM(V19:AG19)</f>
        <v>16000</v>
      </c>
      <c r="R19" s="289">
        <f>+Q19</f>
        <v>16000</v>
      </c>
      <c r="S19" s="289">
        <v>8000</v>
      </c>
      <c r="T19" s="148" t="s">
        <v>187</v>
      </c>
      <c r="U19" s="148" t="s">
        <v>188</v>
      </c>
      <c r="V19" s="384">
        <v>2000</v>
      </c>
      <c r="W19" s="290">
        <v>2000</v>
      </c>
      <c r="X19" s="290">
        <v>2000</v>
      </c>
      <c r="Y19" s="290">
        <v>2000</v>
      </c>
      <c r="Z19" s="290">
        <v>1000</v>
      </c>
      <c r="AA19" s="290">
        <v>1000</v>
      </c>
      <c r="AB19" s="290">
        <v>1000</v>
      </c>
      <c r="AC19" s="290">
        <v>1000</v>
      </c>
      <c r="AD19" s="290">
        <v>1000</v>
      </c>
      <c r="AE19" s="290">
        <v>1000</v>
      </c>
      <c r="AF19" s="290">
        <v>1000</v>
      </c>
      <c r="AG19" s="283">
        <v>1000</v>
      </c>
      <c r="AH19" s="272">
        <v>0</v>
      </c>
      <c r="AI19" s="147"/>
      <c r="AJ19" s="147"/>
      <c r="AK19" s="147"/>
      <c r="AL19" s="147"/>
      <c r="AM19" s="147"/>
      <c r="AN19" s="147"/>
      <c r="AO19" s="147"/>
      <c r="AP19" s="147"/>
      <c r="AQ19" s="147"/>
      <c r="AR19" s="147"/>
      <c r="AS19" s="147"/>
      <c r="AT19" s="154">
        <f t="shared" si="1"/>
        <v>0</v>
      </c>
      <c r="AU19" s="155">
        <f t="shared" si="2"/>
        <v>0</v>
      </c>
      <c r="AV19" s="377"/>
      <c r="AW19" s="377" t="s">
        <v>567</v>
      </c>
      <c r="AX19" s="147"/>
    </row>
    <row r="20" spans="1:50" s="287" customFormat="1" ht="67.5" customHeight="1">
      <c r="A20" s="272"/>
      <c r="B20" s="272"/>
      <c r="C20" s="272"/>
      <c r="D20" s="273">
        <v>46</v>
      </c>
      <c r="E20" s="274"/>
      <c r="F20" s="275"/>
      <c r="G20" s="276" t="s">
        <v>165</v>
      </c>
      <c r="H20" s="276" t="s">
        <v>166</v>
      </c>
      <c r="I20" s="272"/>
      <c r="J20" s="277" t="s">
        <v>191</v>
      </c>
      <c r="K20" s="275" t="s">
        <v>176</v>
      </c>
      <c r="L20" s="278">
        <v>17123</v>
      </c>
      <c r="M20" s="275" t="s">
        <v>192</v>
      </c>
      <c r="N20" s="279" t="s">
        <v>485</v>
      </c>
      <c r="O20" s="280">
        <v>0</v>
      </c>
      <c r="P20" s="288">
        <v>5123</v>
      </c>
      <c r="Q20" s="281">
        <v>4000</v>
      </c>
      <c r="R20" s="281">
        <v>4000</v>
      </c>
      <c r="S20" s="281">
        <v>4000</v>
      </c>
      <c r="T20" s="275" t="s">
        <v>187</v>
      </c>
      <c r="U20" s="275" t="s">
        <v>188</v>
      </c>
      <c r="V20" s="272"/>
      <c r="W20" s="282">
        <v>196</v>
      </c>
      <c r="X20" s="283">
        <v>196</v>
      </c>
      <c r="Y20" s="283">
        <v>196</v>
      </c>
      <c r="Z20" s="283">
        <v>196</v>
      </c>
      <c r="AA20" s="283">
        <v>196</v>
      </c>
      <c r="AB20" s="283">
        <v>604</v>
      </c>
      <c r="AC20" s="283">
        <v>604</v>
      </c>
      <c r="AD20" s="283">
        <v>604</v>
      </c>
      <c r="AE20" s="283">
        <v>604</v>
      </c>
      <c r="AF20" s="283">
        <v>604</v>
      </c>
      <c r="AG20" s="283"/>
      <c r="AH20" s="272">
        <v>0</v>
      </c>
      <c r="AI20" s="272"/>
      <c r="AJ20" s="272"/>
      <c r="AK20" s="272"/>
      <c r="AL20" s="272"/>
      <c r="AM20" s="272"/>
      <c r="AN20" s="272"/>
      <c r="AO20" s="272"/>
      <c r="AP20" s="272"/>
      <c r="AQ20" s="272"/>
      <c r="AR20" s="272"/>
      <c r="AS20" s="272"/>
      <c r="AT20" s="284">
        <f t="shared" si="1"/>
        <v>0</v>
      </c>
      <c r="AU20" s="285">
        <f t="shared" si="2"/>
        <v>0</v>
      </c>
      <c r="AV20" s="378"/>
      <c r="AW20" s="286"/>
      <c r="AX20" s="272"/>
    </row>
    <row r="21" spans="1:50" ht="60" customHeight="1">
      <c r="A21" s="148">
        <v>56</v>
      </c>
      <c r="B21" s="148"/>
      <c r="C21" s="148"/>
      <c r="D21" s="148"/>
      <c r="E21" s="148"/>
      <c r="F21" s="148"/>
      <c r="G21" s="148"/>
      <c r="H21" s="148"/>
      <c r="I21" s="147"/>
      <c r="J21" s="192" t="s">
        <v>491</v>
      </c>
      <c r="K21" s="164" t="s">
        <v>176</v>
      </c>
      <c r="L21" s="298">
        <v>19</v>
      </c>
      <c r="M21" s="270" t="s">
        <v>487</v>
      </c>
      <c r="N21" s="262" t="s">
        <v>488</v>
      </c>
      <c r="O21" s="147">
        <v>2</v>
      </c>
      <c r="P21" s="147">
        <v>5</v>
      </c>
      <c r="Q21" s="147">
        <v>7</v>
      </c>
      <c r="R21" s="272">
        <v>5</v>
      </c>
      <c r="S21" s="272">
        <v>0</v>
      </c>
      <c r="T21" s="148" t="s">
        <v>187</v>
      </c>
      <c r="U21" s="148" t="s">
        <v>188</v>
      </c>
      <c r="V21" s="147"/>
      <c r="W21" s="147">
        <v>1</v>
      </c>
      <c r="X21" s="147">
        <v>1</v>
      </c>
      <c r="Y21" s="147">
        <v>1</v>
      </c>
      <c r="Z21" s="147"/>
      <c r="AA21" s="147">
        <v>1</v>
      </c>
      <c r="AB21" s="147"/>
      <c r="AC21" s="147">
        <v>1</v>
      </c>
      <c r="AD21" s="147"/>
      <c r="AE21" s="147">
        <v>1</v>
      </c>
      <c r="AF21" s="147"/>
      <c r="AG21" s="162">
        <v>1</v>
      </c>
      <c r="AH21" s="147">
        <v>0</v>
      </c>
      <c r="AI21" s="147"/>
      <c r="AJ21" s="147"/>
      <c r="AK21" s="147"/>
      <c r="AL21" s="147"/>
      <c r="AM21" s="147"/>
      <c r="AN21" s="147"/>
      <c r="AO21" s="147"/>
      <c r="AP21" s="147"/>
      <c r="AQ21" s="147"/>
      <c r="AR21" s="147"/>
      <c r="AS21" s="147"/>
      <c r="AT21" s="154">
        <f t="shared" si="1"/>
        <v>0</v>
      </c>
      <c r="AU21" s="155">
        <f t="shared" si="2"/>
        <v>0</v>
      </c>
      <c r="AV21" s="163" t="str">
        <f>+'Metas 3'!Q34</f>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
      <c r="AW21" s="163"/>
      <c r="AX21" s="147"/>
    </row>
    <row r="22" spans="1:50" ht="13.5" customHeight="1">
      <c r="A22" s="649" t="s">
        <v>87</v>
      </c>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73"/>
    </row>
    <row r="23" spans="1:50" ht="13.5" customHeight="1">
      <c r="A23" s="650" t="s">
        <v>193</v>
      </c>
      <c r="B23" s="509"/>
      <c r="C23" s="518"/>
      <c r="D23" s="644" t="s">
        <v>194</v>
      </c>
      <c r="E23" s="464"/>
      <c r="F23" s="464"/>
      <c r="G23" s="464"/>
      <c r="H23" s="464"/>
      <c r="I23" s="473"/>
      <c r="J23" s="651" t="s">
        <v>195</v>
      </c>
      <c r="K23" s="509"/>
      <c r="L23" s="509"/>
      <c r="M23" s="509"/>
      <c r="N23" s="509"/>
      <c r="O23" s="518"/>
      <c r="P23" s="644" t="s">
        <v>194</v>
      </c>
      <c r="Q23" s="464"/>
      <c r="R23" s="464"/>
      <c r="S23" s="464"/>
      <c r="T23" s="464"/>
      <c r="U23" s="473"/>
      <c r="V23" s="644" t="s">
        <v>194</v>
      </c>
      <c r="W23" s="464"/>
      <c r="X23" s="464"/>
      <c r="Y23" s="464"/>
      <c r="Z23" s="464"/>
      <c r="AA23" s="464"/>
      <c r="AB23" s="464"/>
      <c r="AC23" s="473"/>
      <c r="AD23" s="644" t="s">
        <v>194</v>
      </c>
      <c r="AE23" s="464"/>
      <c r="AF23" s="464"/>
      <c r="AG23" s="464"/>
      <c r="AH23" s="464"/>
      <c r="AI23" s="464"/>
      <c r="AJ23" s="464"/>
      <c r="AK23" s="464"/>
      <c r="AL23" s="464"/>
      <c r="AM23" s="464"/>
      <c r="AN23" s="464"/>
      <c r="AO23" s="473"/>
      <c r="AP23" s="651" t="s">
        <v>196</v>
      </c>
      <c r="AQ23" s="509"/>
      <c r="AR23" s="509"/>
      <c r="AS23" s="518"/>
      <c r="AT23" s="644" t="s">
        <v>197</v>
      </c>
      <c r="AU23" s="464"/>
      <c r="AV23" s="464"/>
      <c r="AW23" s="464"/>
      <c r="AX23" s="473"/>
    </row>
    <row r="24" spans="1:50" ht="13.5" customHeight="1">
      <c r="A24" s="543"/>
      <c r="B24" s="440"/>
      <c r="C24" s="637"/>
      <c r="D24" s="644" t="s">
        <v>492</v>
      </c>
      <c r="E24" s="464"/>
      <c r="F24" s="464"/>
      <c r="G24" s="464"/>
      <c r="H24" s="464"/>
      <c r="I24" s="473"/>
      <c r="J24" s="543"/>
      <c r="K24" s="440"/>
      <c r="L24" s="440"/>
      <c r="M24" s="440"/>
      <c r="N24" s="440"/>
      <c r="O24" s="637"/>
      <c r="P24" s="644" t="s">
        <v>198</v>
      </c>
      <c r="Q24" s="464"/>
      <c r="R24" s="464"/>
      <c r="S24" s="464"/>
      <c r="T24" s="464"/>
      <c r="U24" s="473"/>
      <c r="V24" s="644" t="s">
        <v>198</v>
      </c>
      <c r="W24" s="464"/>
      <c r="X24" s="464"/>
      <c r="Y24" s="464"/>
      <c r="Z24" s="464"/>
      <c r="AA24" s="464"/>
      <c r="AB24" s="464"/>
      <c r="AC24" s="473"/>
      <c r="AD24" s="644" t="s">
        <v>198</v>
      </c>
      <c r="AE24" s="464"/>
      <c r="AF24" s="464"/>
      <c r="AG24" s="464"/>
      <c r="AH24" s="464"/>
      <c r="AI24" s="464"/>
      <c r="AJ24" s="464"/>
      <c r="AK24" s="464"/>
      <c r="AL24" s="464"/>
      <c r="AM24" s="464"/>
      <c r="AN24" s="464"/>
      <c r="AO24" s="473"/>
      <c r="AP24" s="543"/>
      <c r="AQ24" s="440"/>
      <c r="AR24" s="440"/>
      <c r="AS24" s="637"/>
      <c r="AT24" s="644" t="s">
        <v>198</v>
      </c>
      <c r="AU24" s="464"/>
      <c r="AV24" s="464"/>
      <c r="AW24" s="464"/>
      <c r="AX24" s="473"/>
    </row>
    <row r="25" spans="1:50" ht="15.75" customHeight="1">
      <c r="A25" s="511"/>
      <c r="B25" s="512"/>
      <c r="C25" s="519"/>
      <c r="D25" s="644" t="s">
        <v>493</v>
      </c>
      <c r="E25" s="464"/>
      <c r="F25" s="464"/>
      <c r="G25" s="464"/>
      <c r="H25" s="464"/>
      <c r="I25" s="473"/>
      <c r="J25" s="511"/>
      <c r="K25" s="512"/>
      <c r="L25" s="512"/>
      <c r="M25" s="512"/>
      <c r="N25" s="512"/>
      <c r="O25" s="519"/>
      <c r="P25" s="644" t="s">
        <v>199</v>
      </c>
      <c r="Q25" s="464"/>
      <c r="R25" s="464"/>
      <c r="S25" s="464"/>
      <c r="T25" s="464"/>
      <c r="U25" s="473"/>
      <c r="V25" s="644" t="s">
        <v>199</v>
      </c>
      <c r="W25" s="464"/>
      <c r="X25" s="464"/>
      <c r="Y25" s="464"/>
      <c r="Z25" s="464"/>
      <c r="AA25" s="464"/>
      <c r="AB25" s="464"/>
      <c r="AC25" s="473"/>
      <c r="AD25" s="644" t="s">
        <v>199</v>
      </c>
      <c r="AE25" s="464"/>
      <c r="AF25" s="464"/>
      <c r="AG25" s="464"/>
      <c r="AH25" s="464"/>
      <c r="AI25" s="464"/>
      <c r="AJ25" s="464"/>
      <c r="AK25" s="464"/>
      <c r="AL25" s="464"/>
      <c r="AM25" s="464"/>
      <c r="AN25" s="464"/>
      <c r="AO25" s="473"/>
      <c r="AP25" s="511"/>
      <c r="AQ25" s="512"/>
      <c r="AR25" s="512"/>
      <c r="AS25" s="519"/>
      <c r="AT25" s="644" t="s">
        <v>200</v>
      </c>
      <c r="AU25" s="464"/>
      <c r="AV25" s="464"/>
      <c r="AW25" s="464"/>
      <c r="AX25" s="473"/>
    </row>
    <row r="26" spans="1:50" ht="13.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295"/>
      <c r="AH26" s="165"/>
      <c r="AI26" s="165"/>
      <c r="AJ26" s="165"/>
      <c r="AK26" s="165"/>
      <c r="AL26" s="165"/>
      <c r="AM26" s="165"/>
      <c r="AN26" s="165"/>
      <c r="AO26" s="165"/>
      <c r="AP26" s="165"/>
      <c r="AQ26" s="165"/>
      <c r="AR26" s="165"/>
      <c r="AS26" s="165"/>
      <c r="AT26" s="165"/>
      <c r="AU26" s="165"/>
      <c r="AV26" s="165"/>
      <c r="AW26" s="165"/>
      <c r="AX26" s="165"/>
    </row>
    <row r="27" spans="1:50" ht="13.5" hidden="1" customHeight="1">
      <c r="A27" s="165"/>
      <c r="B27" s="165"/>
      <c r="C27" s="165"/>
      <c r="D27" s="165"/>
      <c r="E27" s="165"/>
      <c r="F27" s="165"/>
      <c r="G27" s="165"/>
      <c r="H27" s="165"/>
      <c r="I27" s="165"/>
      <c r="J27" s="165"/>
      <c r="K27" s="165"/>
      <c r="L27" s="165"/>
      <c r="M27" s="165"/>
      <c r="N27" s="165"/>
      <c r="O27" s="165"/>
      <c r="P27" s="165"/>
      <c r="Q27" s="165"/>
      <c r="R27" s="266"/>
      <c r="S27" s="165"/>
      <c r="T27" s="165"/>
      <c r="U27" s="165">
        <v>5123</v>
      </c>
      <c r="V27" s="165">
        <v>2021</v>
      </c>
      <c r="W27" s="165">
        <v>1039</v>
      </c>
      <c r="X27" s="165"/>
      <c r="Y27" s="165"/>
      <c r="Z27" s="165"/>
      <c r="AA27" s="165"/>
      <c r="AB27" s="165"/>
      <c r="AC27" s="165"/>
      <c r="AD27" s="165"/>
      <c r="AE27" s="165"/>
      <c r="AF27" s="165"/>
      <c r="AG27" s="295"/>
      <c r="AH27" s="165"/>
      <c r="AI27" s="165"/>
      <c r="AJ27" s="165"/>
      <c r="AK27" s="165"/>
      <c r="AL27" s="165"/>
      <c r="AM27" s="165"/>
      <c r="AN27" s="165"/>
      <c r="AO27" s="165"/>
      <c r="AP27" s="165"/>
      <c r="AQ27" s="165"/>
      <c r="AR27" s="165"/>
      <c r="AS27" s="165"/>
      <c r="AT27" s="165"/>
      <c r="AU27" s="165"/>
      <c r="AV27" s="165"/>
      <c r="AW27" s="165"/>
      <c r="AX27" s="165"/>
    </row>
    <row r="28" spans="1:50" ht="13.5" hidden="1" customHeight="1">
      <c r="A28" s="165"/>
      <c r="B28" s="165"/>
      <c r="C28" s="165"/>
      <c r="D28" s="165"/>
      <c r="E28" s="165"/>
      <c r="F28" s="165"/>
      <c r="G28" s="165"/>
      <c r="H28" s="165"/>
      <c r="I28" s="165"/>
      <c r="J28" s="165"/>
      <c r="K28" s="165"/>
      <c r="L28" s="165"/>
      <c r="M28" s="165"/>
      <c r="N28" s="165"/>
      <c r="O28" s="165"/>
      <c r="P28" s="165"/>
      <c r="Q28" s="165"/>
      <c r="R28" s="165"/>
      <c r="S28" s="165"/>
      <c r="T28" s="165"/>
      <c r="U28" s="165">
        <v>4000</v>
      </c>
      <c r="V28" s="165">
        <v>2022</v>
      </c>
      <c r="W28" s="165">
        <v>20000</v>
      </c>
      <c r="X28" s="165"/>
      <c r="Y28" s="165"/>
      <c r="Z28" s="165"/>
      <c r="AA28" s="165"/>
      <c r="AB28" s="165"/>
      <c r="AC28" s="165"/>
      <c r="AD28" s="165"/>
      <c r="AE28" s="165"/>
      <c r="AF28" s="165"/>
      <c r="AG28" s="295"/>
      <c r="AH28" s="165"/>
      <c r="AI28" s="165"/>
      <c r="AJ28" s="165"/>
      <c r="AK28" s="165"/>
      <c r="AL28" s="165"/>
      <c r="AM28" s="165"/>
      <c r="AN28" s="165"/>
      <c r="AO28" s="165"/>
      <c r="AP28" s="165"/>
      <c r="AQ28" s="165"/>
      <c r="AR28" s="165"/>
      <c r="AS28" s="165"/>
      <c r="AT28" s="165"/>
      <c r="AU28" s="165"/>
      <c r="AV28" s="165"/>
      <c r="AW28" s="165"/>
      <c r="AX28" s="165"/>
    </row>
    <row r="29" spans="1:50" ht="13.5" hidden="1" customHeight="1">
      <c r="A29" s="165"/>
      <c r="B29" s="165"/>
      <c r="C29" s="165"/>
      <c r="D29" s="165"/>
      <c r="E29" s="165"/>
      <c r="F29" s="165"/>
      <c r="G29" s="165"/>
      <c r="H29" s="165"/>
      <c r="I29" s="165"/>
      <c r="J29" s="165"/>
      <c r="K29" s="165"/>
      <c r="L29" s="165"/>
      <c r="M29" s="165"/>
      <c r="N29" s="165"/>
      <c r="O29" s="165"/>
      <c r="P29" s="165"/>
      <c r="Q29" s="165"/>
      <c r="R29" s="165"/>
      <c r="S29" s="165"/>
      <c r="T29" s="165"/>
      <c r="U29" s="165">
        <v>4000</v>
      </c>
      <c r="V29" s="165">
        <v>2023</v>
      </c>
      <c r="W29" s="165">
        <v>20000</v>
      </c>
      <c r="X29" s="165"/>
      <c r="Y29" s="165"/>
      <c r="Z29" s="165"/>
      <c r="AA29" s="165"/>
      <c r="AB29" s="165"/>
      <c r="AC29" s="165"/>
      <c r="AD29" s="165"/>
      <c r="AE29" s="165"/>
      <c r="AF29" s="165"/>
      <c r="AG29" s="295"/>
      <c r="AH29" s="165"/>
      <c r="AI29" s="165"/>
      <c r="AJ29" s="165"/>
      <c r="AK29" s="165"/>
      <c r="AL29" s="165"/>
      <c r="AM29" s="165"/>
      <c r="AN29" s="165"/>
      <c r="AO29" s="165"/>
      <c r="AP29" s="165"/>
      <c r="AQ29" s="165"/>
      <c r="AR29" s="165"/>
      <c r="AS29" s="165"/>
      <c r="AT29" s="165"/>
      <c r="AU29" s="165"/>
      <c r="AV29" s="165"/>
      <c r="AW29" s="165"/>
      <c r="AX29" s="165"/>
    </row>
    <row r="30" spans="1:50" ht="13.5" hidden="1" customHeight="1">
      <c r="A30" s="165"/>
      <c r="B30" s="165"/>
      <c r="C30" s="165"/>
      <c r="D30" s="165"/>
      <c r="E30" s="165"/>
      <c r="F30" s="165"/>
      <c r="G30" s="165"/>
      <c r="H30" s="165"/>
      <c r="I30" s="165"/>
      <c r="J30" s="165"/>
      <c r="K30" s="165"/>
      <c r="L30" s="165"/>
      <c r="M30" s="165"/>
      <c r="N30" s="165"/>
      <c r="O30" s="165"/>
      <c r="P30" s="165"/>
      <c r="Q30" s="165"/>
      <c r="R30" s="165"/>
      <c r="S30" s="165"/>
      <c r="T30" s="165"/>
      <c r="U30" s="165">
        <v>4000</v>
      </c>
      <c r="V30" s="165">
        <v>2024</v>
      </c>
      <c r="W30" s="165">
        <v>10000</v>
      </c>
      <c r="X30" s="165"/>
      <c r="Y30" s="165"/>
      <c r="Z30" s="165"/>
      <c r="AA30" s="165"/>
      <c r="AB30" s="165"/>
      <c r="AC30" s="165"/>
      <c r="AD30" s="165"/>
      <c r="AE30" s="165"/>
      <c r="AF30" s="165"/>
      <c r="AG30" s="295"/>
      <c r="AH30" s="165"/>
      <c r="AI30" s="165"/>
      <c r="AJ30" s="165"/>
      <c r="AK30" s="165"/>
      <c r="AL30" s="165"/>
      <c r="AM30" s="165"/>
      <c r="AN30" s="165"/>
      <c r="AO30" s="165"/>
      <c r="AP30" s="165"/>
      <c r="AQ30" s="165"/>
      <c r="AR30" s="165"/>
      <c r="AS30" s="165"/>
      <c r="AT30" s="165"/>
      <c r="AU30" s="165"/>
      <c r="AV30" s="165"/>
      <c r="AW30" s="165"/>
      <c r="AX30" s="165"/>
    </row>
    <row r="31" spans="1:50" ht="13.5" hidden="1" customHeight="1">
      <c r="A31" s="165"/>
      <c r="B31" s="165"/>
      <c r="C31" s="165"/>
      <c r="D31" s="165"/>
      <c r="E31" s="165"/>
      <c r="F31" s="165"/>
      <c r="G31" s="165"/>
      <c r="H31" s="165"/>
      <c r="I31" s="165"/>
      <c r="J31" s="165"/>
      <c r="K31" s="165"/>
      <c r="L31" s="165"/>
      <c r="M31" s="165"/>
      <c r="N31" s="165"/>
      <c r="O31" s="165"/>
      <c r="P31" s="165"/>
      <c r="Q31" s="165"/>
      <c r="R31" s="165"/>
      <c r="S31" s="165"/>
      <c r="T31" s="165"/>
      <c r="U31" s="165">
        <f>SUM(U27:U30)</f>
        <v>17123</v>
      </c>
      <c r="V31" s="165"/>
      <c r="W31" s="165">
        <f>SUM(W27:W30)</f>
        <v>51039</v>
      </c>
      <c r="X31" s="165"/>
      <c r="Y31" s="165"/>
      <c r="Z31" s="165"/>
      <c r="AA31" s="165"/>
      <c r="AB31" s="165"/>
      <c r="AC31" s="165"/>
      <c r="AD31" s="165"/>
      <c r="AE31" s="165"/>
      <c r="AF31" s="165"/>
      <c r="AG31" s="295"/>
      <c r="AH31" s="165"/>
      <c r="AI31" s="165"/>
      <c r="AJ31" s="165"/>
      <c r="AK31" s="165"/>
      <c r="AL31" s="165"/>
      <c r="AM31" s="165"/>
      <c r="AN31" s="165"/>
      <c r="AO31" s="165"/>
      <c r="AP31" s="165"/>
      <c r="AQ31" s="165"/>
      <c r="AR31" s="165"/>
      <c r="AS31" s="165"/>
      <c r="AT31" s="165"/>
      <c r="AU31" s="165"/>
      <c r="AV31" s="165"/>
      <c r="AW31" s="165"/>
      <c r="AX31" s="165"/>
    </row>
    <row r="32" spans="1:50" ht="13.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295"/>
      <c r="AH32" s="165"/>
      <c r="AI32" s="165"/>
      <c r="AJ32" s="165"/>
      <c r="AK32" s="165"/>
      <c r="AL32" s="165"/>
      <c r="AM32" s="165"/>
      <c r="AN32" s="165"/>
      <c r="AO32" s="165"/>
      <c r="AP32" s="165"/>
      <c r="AQ32" s="165"/>
      <c r="AR32" s="165"/>
      <c r="AS32" s="165"/>
      <c r="AT32" s="165"/>
      <c r="AU32" s="165"/>
      <c r="AV32" s="165"/>
      <c r="AW32" s="165"/>
      <c r="AX32" s="165"/>
    </row>
    <row r="33" spans="1:50" ht="13.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295"/>
      <c r="AH33" s="165"/>
      <c r="AI33" s="165"/>
      <c r="AJ33" s="165"/>
      <c r="AK33" s="165"/>
      <c r="AL33" s="165"/>
      <c r="AM33" s="165"/>
      <c r="AN33" s="165"/>
      <c r="AO33" s="165"/>
      <c r="AP33" s="165"/>
      <c r="AQ33" s="165"/>
      <c r="AR33" s="165"/>
      <c r="AS33" s="165"/>
      <c r="AT33" s="165"/>
      <c r="AU33" s="165"/>
      <c r="AV33" s="165"/>
      <c r="AW33" s="165"/>
      <c r="AX33" s="165"/>
    </row>
    <row r="34" spans="1:50" ht="13.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295"/>
      <c r="AH34" s="165"/>
      <c r="AI34" s="165"/>
      <c r="AJ34" s="165"/>
      <c r="AK34" s="165"/>
      <c r="AL34" s="165"/>
      <c r="AM34" s="165"/>
      <c r="AN34" s="165"/>
      <c r="AO34" s="165"/>
      <c r="AP34" s="165"/>
      <c r="AQ34" s="165"/>
      <c r="AR34" s="165"/>
      <c r="AS34" s="165"/>
      <c r="AT34" s="165"/>
      <c r="AU34" s="165"/>
      <c r="AV34" s="165"/>
      <c r="AW34" s="165"/>
      <c r="AX34" s="165"/>
    </row>
    <row r="35" spans="1:50" ht="13.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295"/>
      <c r="AH35" s="165"/>
      <c r="AI35" s="165"/>
      <c r="AJ35" s="165"/>
      <c r="AK35" s="165"/>
      <c r="AL35" s="165"/>
      <c r="AM35" s="165"/>
      <c r="AN35" s="165"/>
      <c r="AO35" s="165"/>
      <c r="AP35" s="165"/>
      <c r="AQ35" s="165"/>
      <c r="AR35" s="165"/>
      <c r="AS35" s="165"/>
      <c r="AT35" s="165"/>
      <c r="AU35" s="165"/>
      <c r="AV35" s="165"/>
      <c r="AW35" s="165"/>
      <c r="AX35" s="165"/>
    </row>
    <row r="36" spans="1:50" ht="13.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295"/>
      <c r="AH36" s="165"/>
      <c r="AI36" s="165"/>
      <c r="AJ36" s="165"/>
      <c r="AK36" s="165"/>
      <c r="AL36" s="165"/>
      <c r="AM36" s="165"/>
      <c r="AN36" s="165"/>
      <c r="AO36" s="165"/>
      <c r="AP36" s="165"/>
      <c r="AQ36" s="165"/>
      <c r="AR36" s="165"/>
      <c r="AS36" s="165"/>
      <c r="AT36" s="165"/>
      <c r="AU36" s="165"/>
      <c r="AV36" s="165"/>
      <c r="AW36" s="165"/>
      <c r="AX36" s="165"/>
    </row>
    <row r="37" spans="1:50" ht="13.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295"/>
      <c r="AH37" s="165"/>
      <c r="AI37" s="165"/>
      <c r="AJ37" s="165"/>
      <c r="AK37" s="165"/>
      <c r="AL37" s="165"/>
      <c r="AM37" s="165"/>
      <c r="AN37" s="165"/>
      <c r="AO37" s="165"/>
      <c r="AP37" s="165"/>
      <c r="AQ37" s="165"/>
      <c r="AR37" s="165"/>
      <c r="AS37" s="165"/>
      <c r="AT37" s="165"/>
      <c r="AU37" s="165"/>
      <c r="AV37" s="165"/>
      <c r="AW37" s="165"/>
      <c r="AX37" s="165"/>
    </row>
    <row r="38" spans="1:50" ht="13.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295"/>
      <c r="AH38" s="165"/>
      <c r="AI38" s="165"/>
      <c r="AJ38" s="165"/>
      <c r="AK38" s="165"/>
      <c r="AL38" s="165"/>
      <c r="AM38" s="165"/>
      <c r="AN38" s="165"/>
      <c r="AO38" s="165"/>
      <c r="AP38" s="165"/>
      <c r="AQ38" s="165"/>
      <c r="AR38" s="165"/>
      <c r="AS38" s="165"/>
      <c r="AT38" s="165"/>
      <c r="AU38" s="165"/>
      <c r="AV38" s="165"/>
      <c r="AW38" s="165"/>
      <c r="AX38" s="165"/>
    </row>
    <row r="39" spans="1:50" ht="13.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295"/>
      <c r="AH39" s="165"/>
      <c r="AI39" s="165"/>
      <c r="AJ39" s="165"/>
      <c r="AK39" s="165"/>
      <c r="AL39" s="165"/>
      <c r="AM39" s="165"/>
      <c r="AN39" s="165"/>
      <c r="AO39" s="165"/>
      <c r="AP39" s="165"/>
      <c r="AQ39" s="165"/>
      <c r="AR39" s="165"/>
      <c r="AS39" s="165"/>
      <c r="AT39" s="165"/>
      <c r="AU39" s="165"/>
      <c r="AV39" s="165"/>
      <c r="AW39" s="165"/>
      <c r="AX39" s="165"/>
    </row>
    <row r="40" spans="1:50" ht="13.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295"/>
      <c r="AH40" s="165"/>
      <c r="AI40" s="165"/>
      <c r="AJ40" s="165"/>
      <c r="AK40" s="165"/>
      <c r="AL40" s="165"/>
      <c r="AM40" s="165"/>
      <c r="AN40" s="165"/>
      <c r="AO40" s="165"/>
      <c r="AP40" s="165"/>
      <c r="AQ40" s="165"/>
      <c r="AR40" s="165"/>
      <c r="AS40" s="165"/>
      <c r="AT40" s="165"/>
      <c r="AU40" s="165"/>
      <c r="AV40" s="165"/>
      <c r="AW40" s="165"/>
      <c r="AX40" s="165"/>
    </row>
    <row r="41" spans="1:50" ht="13.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295"/>
      <c r="AH41" s="165"/>
      <c r="AI41" s="165"/>
      <c r="AJ41" s="165"/>
      <c r="AK41" s="165"/>
      <c r="AL41" s="165"/>
      <c r="AM41" s="165"/>
      <c r="AN41" s="165"/>
      <c r="AO41" s="165"/>
      <c r="AP41" s="165"/>
      <c r="AQ41" s="165"/>
      <c r="AR41" s="165"/>
      <c r="AS41" s="165"/>
      <c r="AT41" s="165"/>
      <c r="AU41" s="165"/>
      <c r="AV41" s="165"/>
      <c r="AW41" s="165"/>
      <c r="AX41" s="165"/>
    </row>
    <row r="42" spans="1:50" ht="13.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295"/>
      <c r="AH42" s="165"/>
      <c r="AI42" s="165"/>
      <c r="AJ42" s="165"/>
      <c r="AK42" s="165"/>
      <c r="AL42" s="165"/>
      <c r="AM42" s="165"/>
      <c r="AN42" s="165"/>
      <c r="AO42" s="165"/>
      <c r="AP42" s="165"/>
      <c r="AQ42" s="165"/>
      <c r="AR42" s="165"/>
      <c r="AS42" s="165"/>
      <c r="AT42" s="165"/>
      <c r="AU42" s="165"/>
      <c r="AV42" s="165"/>
      <c r="AW42" s="165"/>
      <c r="AX42" s="165"/>
    </row>
    <row r="43" spans="1:50" ht="13.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295"/>
      <c r="AH43" s="165"/>
      <c r="AI43" s="165"/>
      <c r="AJ43" s="165"/>
      <c r="AK43" s="165"/>
      <c r="AL43" s="165"/>
      <c r="AM43" s="165"/>
      <c r="AN43" s="165"/>
      <c r="AO43" s="165"/>
      <c r="AP43" s="165"/>
      <c r="AQ43" s="165"/>
      <c r="AR43" s="165"/>
      <c r="AS43" s="165"/>
      <c r="AT43" s="165"/>
      <c r="AU43" s="165"/>
      <c r="AV43" s="165"/>
      <c r="AW43" s="165"/>
      <c r="AX43" s="165"/>
    </row>
    <row r="44" spans="1:50" ht="13.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295"/>
      <c r="AH44" s="165"/>
      <c r="AI44" s="165"/>
      <c r="AJ44" s="165"/>
      <c r="AK44" s="165"/>
      <c r="AL44" s="165"/>
      <c r="AM44" s="165"/>
      <c r="AN44" s="165"/>
      <c r="AO44" s="165"/>
      <c r="AP44" s="165"/>
      <c r="AQ44" s="165"/>
      <c r="AR44" s="165"/>
      <c r="AS44" s="165"/>
      <c r="AT44" s="165"/>
      <c r="AU44" s="165"/>
      <c r="AV44" s="165"/>
      <c r="AW44" s="165"/>
      <c r="AX44" s="165"/>
    </row>
    <row r="45" spans="1:50" ht="13.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295"/>
      <c r="AH45" s="165"/>
      <c r="AI45" s="165"/>
      <c r="AJ45" s="165"/>
      <c r="AK45" s="165"/>
      <c r="AL45" s="165"/>
      <c r="AM45" s="165"/>
      <c r="AN45" s="165"/>
      <c r="AO45" s="165"/>
      <c r="AP45" s="165"/>
      <c r="AQ45" s="165"/>
      <c r="AR45" s="165"/>
      <c r="AS45" s="165"/>
      <c r="AT45" s="165"/>
      <c r="AU45" s="165"/>
      <c r="AV45" s="165"/>
      <c r="AW45" s="165"/>
      <c r="AX45" s="165"/>
    </row>
    <row r="46" spans="1:50" ht="13.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295"/>
      <c r="AH46" s="165"/>
      <c r="AI46" s="165"/>
      <c r="AJ46" s="165"/>
      <c r="AK46" s="165"/>
      <c r="AL46" s="165"/>
      <c r="AM46" s="165"/>
      <c r="AN46" s="165"/>
      <c r="AO46" s="165"/>
      <c r="AP46" s="165"/>
      <c r="AQ46" s="165"/>
      <c r="AR46" s="165"/>
      <c r="AS46" s="165"/>
      <c r="AT46" s="165"/>
      <c r="AU46" s="165"/>
      <c r="AV46" s="165"/>
      <c r="AW46" s="165"/>
      <c r="AX46" s="165"/>
    </row>
    <row r="47" spans="1:50" ht="13.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295"/>
      <c r="AH47" s="165"/>
      <c r="AI47" s="165"/>
      <c r="AJ47" s="165"/>
      <c r="AK47" s="165"/>
      <c r="AL47" s="165"/>
      <c r="AM47" s="165"/>
      <c r="AN47" s="165"/>
      <c r="AO47" s="165"/>
      <c r="AP47" s="165"/>
      <c r="AQ47" s="165"/>
      <c r="AR47" s="165"/>
      <c r="AS47" s="165"/>
      <c r="AT47" s="165"/>
      <c r="AU47" s="165"/>
      <c r="AV47" s="165"/>
      <c r="AW47" s="165"/>
      <c r="AX47" s="165"/>
    </row>
    <row r="48" spans="1:50" ht="13.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295"/>
      <c r="AH48" s="165"/>
      <c r="AI48" s="165"/>
      <c r="AJ48" s="165"/>
      <c r="AK48" s="165"/>
      <c r="AL48" s="165"/>
      <c r="AM48" s="165"/>
      <c r="AN48" s="165"/>
      <c r="AO48" s="165"/>
      <c r="AP48" s="165"/>
      <c r="AQ48" s="165"/>
      <c r="AR48" s="165"/>
      <c r="AS48" s="165"/>
      <c r="AT48" s="165"/>
      <c r="AU48" s="165"/>
      <c r="AV48" s="165"/>
      <c r="AW48" s="165"/>
      <c r="AX48" s="165"/>
    </row>
    <row r="49" spans="1:50" ht="13.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295"/>
      <c r="AH49" s="165"/>
      <c r="AI49" s="165"/>
      <c r="AJ49" s="165"/>
      <c r="AK49" s="165"/>
      <c r="AL49" s="165"/>
      <c r="AM49" s="165"/>
      <c r="AN49" s="165"/>
      <c r="AO49" s="165"/>
      <c r="AP49" s="165"/>
      <c r="AQ49" s="165"/>
      <c r="AR49" s="165"/>
      <c r="AS49" s="165"/>
      <c r="AT49" s="165"/>
      <c r="AU49" s="165"/>
      <c r="AV49" s="165"/>
      <c r="AW49" s="165"/>
      <c r="AX49" s="165"/>
    </row>
    <row r="50" spans="1:50" ht="13.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295"/>
      <c r="AH50" s="165"/>
      <c r="AI50" s="165"/>
      <c r="AJ50" s="165"/>
      <c r="AK50" s="165"/>
      <c r="AL50" s="165"/>
      <c r="AM50" s="165"/>
      <c r="AN50" s="165"/>
      <c r="AO50" s="165"/>
      <c r="AP50" s="165"/>
      <c r="AQ50" s="165"/>
      <c r="AR50" s="165"/>
      <c r="AS50" s="165"/>
      <c r="AT50" s="165"/>
      <c r="AU50" s="165"/>
      <c r="AV50" s="165"/>
      <c r="AW50" s="165"/>
      <c r="AX50" s="165"/>
    </row>
    <row r="51" spans="1:50" ht="13.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295"/>
      <c r="AH51" s="165"/>
      <c r="AI51" s="165"/>
      <c r="AJ51" s="165"/>
      <c r="AK51" s="165"/>
      <c r="AL51" s="165"/>
      <c r="AM51" s="165"/>
      <c r="AN51" s="165"/>
      <c r="AO51" s="165"/>
      <c r="AP51" s="165"/>
      <c r="AQ51" s="165"/>
      <c r="AR51" s="165"/>
      <c r="AS51" s="165"/>
      <c r="AT51" s="165"/>
      <c r="AU51" s="165"/>
      <c r="AV51" s="165"/>
      <c r="AW51" s="165"/>
      <c r="AX51" s="165"/>
    </row>
    <row r="52" spans="1:50" ht="13.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295"/>
      <c r="AH52" s="165"/>
      <c r="AI52" s="165"/>
      <c r="AJ52" s="165"/>
      <c r="AK52" s="165"/>
      <c r="AL52" s="165"/>
      <c r="AM52" s="165"/>
      <c r="AN52" s="165"/>
      <c r="AO52" s="165"/>
      <c r="AP52" s="165"/>
      <c r="AQ52" s="165"/>
      <c r="AR52" s="165"/>
      <c r="AS52" s="165"/>
      <c r="AT52" s="165"/>
      <c r="AU52" s="165"/>
      <c r="AV52" s="165"/>
      <c r="AW52" s="165"/>
      <c r="AX52" s="165"/>
    </row>
    <row r="53" spans="1:50" ht="13.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295"/>
      <c r="AH53" s="165"/>
      <c r="AI53" s="165"/>
      <c r="AJ53" s="165"/>
      <c r="AK53" s="165"/>
      <c r="AL53" s="165"/>
      <c r="AM53" s="165"/>
      <c r="AN53" s="165"/>
      <c r="AO53" s="165"/>
      <c r="AP53" s="165"/>
      <c r="AQ53" s="165"/>
      <c r="AR53" s="165"/>
      <c r="AS53" s="165"/>
      <c r="AT53" s="165"/>
      <c r="AU53" s="165"/>
      <c r="AV53" s="165"/>
      <c r="AW53" s="165"/>
      <c r="AX53" s="165"/>
    </row>
    <row r="54" spans="1:50" ht="13.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295"/>
      <c r="AH54" s="165"/>
      <c r="AI54" s="165"/>
      <c r="AJ54" s="165"/>
      <c r="AK54" s="165"/>
      <c r="AL54" s="165"/>
      <c r="AM54" s="165"/>
      <c r="AN54" s="165"/>
      <c r="AO54" s="165"/>
      <c r="AP54" s="165"/>
      <c r="AQ54" s="165"/>
      <c r="AR54" s="165"/>
      <c r="AS54" s="165"/>
      <c r="AT54" s="165"/>
      <c r="AU54" s="165"/>
      <c r="AV54" s="165"/>
      <c r="AW54" s="165"/>
      <c r="AX54" s="165"/>
    </row>
    <row r="55" spans="1:50" ht="13.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295"/>
      <c r="AH55" s="165"/>
      <c r="AI55" s="165"/>
      <c r="AJ55" s="165"/>
      <c r="AK55" s="165"/>
      <c r="AL55" s="165"/>
      <c r="AM55" s="165"/>
      <c r="AN55" s="165"/>
      <c r="AO55" s="165"/>
      <c r="AP55" s="165"/>
      <c r="AQ55" s="165"/>
      <c r="AR55" s="165"/>
      <c r="AS55" s="165"/>
      <c r="AT55" s="165"/>
      <c r="AU55" s="165"/>
      <c r="AV55" s="165"/>
      <c r="AW55" s="165"/>
      <c r="AX55" s="165"/>
    </row>
    <row r="56" spans="1:50" ht="13.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295"/>
      <c r="AH56" s="165"/>
      <c r="AI56" s="165"/>
      <c r="AJ56" s="165"/>
      <c r="AK56" s="165"/>
      <c r="AL56" s="165"/>
      <c r="AM56" s="165"/>
      <c r="AN56" s="165"/>
      <c r="AO56" s="165"/>
      <c r="AP56" s="165"/>
      <c r="AQ56" s="165"/>
      <c r="AR56" s="165"/>
      <c r="AS56" s="165"/>
      <c r="AT56" s="165"/>
      <c r="AU56" s="165"/>
      <c r="AV56" s="165"/>
      <c r="AW56" s="165"/>
      <c r="AX56" s="165"/>
    </row>
    <row r="57" spans="1:50" ht="13.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295"/>
      <c r="AH57" s="165"/>
      <c r="AI57" s="165"/>
      <c r="AJ57" s="165"/>
      <c r="AK57" s="165"/>
      <c r="AL57" s="165"/>
      <c r="AM57" s="165"/>
      <c r="AN57" s="165"/>
      <c r="AO57" s="165"/>
      <c r="AP57" s="165"/>
      <c r="AQ57" s="165"/>
      <c r="AR57" s="165"/>
      <c r="AS57" s="165"/>
      <c r="AT57" s="165"/>
      <c r="AU57" s="165"/>
      <c r="AV57" s="165"/>
      <c r="AW57" s="165"/>
      <c r="AX57" s="165"/>
    </row>
    <row r="58" spans="1:50" ht="13.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295"/>
      <c r="AH58" s="165"/>
      <c r="AI58" s="165"/>
      <c r="AJ58" s="165"/>
      <c r="AK58" s="165"/>
      <c r="AL58" s="165"/>
      <c r="AM58" s="165"/>
      <c r="AN58" s="165"/>
      <c r="AO58" s="165"/>
      <c r="AP58" s="165"/>
      <c r="AQ58" s="165"/>
      <c r="AR58" s="165"/>
      <c r="AS58" s="165"/>
      <c r="AT58" s="165"/>
      <c r="AU58" s="165"/>
      <c r="AV58" s="165"/>
      <c r="AW58" s="165"/>
      <c r="AX58" s="165"/>
    </row>
    <row r="59" spans="1:50" ht="13.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295"/>
      <c r="AH59" s="165"/>
      <c r="AI59" s="165"/>
      <c r="AJ59" s="165"/>
      <c r="AK59" s="165"/>
      <c r="AL59" s="165"/>
      <c r="AM59" s="165"/>
      <c r="AN59" s="165"/>
      <c r="AO59" s="165"/>
      <c r="AP59" s="165"/>
      <c r="AQ59" s="165"/>
      <c r="AR59" s="165"/>
      <c r="AS59" s="165"/>
      <c r="AT59" s="165"/>
      <c r="AU59" s="165"/>
      <c r="AV59" s="165"/>
      <c r="AW59" s="165"/>
      <c r="AX59" s="165"/>
    </row>
    <row r="60" spans="1:50" ht="13.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295"/>
      <c r="AH60" s="165"/>
      <c r="AI60" s="165"/>
      <c r="AJ60" s="165"/>
      <c r="AK60" s="165"/>
      <c r="AL60" s="165"/>
      <c r="AM60" s="165"/>
      <c r="AN60" s="165"/>
      <c r="AO60" s="165"/>
      <c r="AP60" s="165"/>
      <c r="AQ60" s="165"/>
      <c r="AR60" s="165"/>
      <c r="AS60" s="165"/>
      <c r="AT60" s="165"/>
      <c r="AU60" s="165"/>
      <c r="AV60" s="165"/>
      <c r="AW60" s="165"/>
      <c r="AX60" s="165"/>
    </row>
    <row r="61" spans="1:50" ht="13.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295"/>
      <c r="AH61" s="165"/>
      <c r="AI61" s="165"/>
      <c r="AJ61" s="165"/>
      <c r="AK61" s="165"/>
      <c r="AL61" s="165"/>
      <c r="AM61" s="165"/>
      <c r="AN61" s="165"/>
      <c r="AO61" s="165"/>
      <c r="AP61" s="165"/>
      <c r="AQ61" s="165"/>
      <c r="AR61" s="165"/>
      <c r="AS61" s="165"/>
      <c r="AT61" s="165"/>
      <c r="AU61" s="165"/>
      <c r="AV61" s="165"/>
      <c r="AW61" s="165"/>
      <c r="AX61" s="165"/>
    </row>
    <row r="62" spans="1:50" ht="13.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295"/>
      <c r="AH62" s="165"/>
      <c r="AI62" s="165"/>
      <c r="AJ62" s="165"/>
      <c r="AK62" s="165"/>
      <c r="AL62" s="165"/>
      <c r="AM62" s="165"/>
      <c r="AN62" s="165"/>
      <c r="AO62" s="165"/>
      <c r="AP62" s="165"/>
      <c r="AQ62" s="165"/>
      <c r="AR62" s="165"/>
      <c r="AS62" s="165"/>
      <c r="AT62" s="165"/>
      <c r="AU62" s="165"/>
      <c r="AV62" s="165"/>
      <c r="AW62" s="165"/>
      <c r="AX62" s="165"/>
    </row>
    <row r="63" spans="1:50" ht="13.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295"/>
      <c r="AH63" s="165"/>
      <c r="AI63" s="165"/>
      <c r="AJ63" s="165"/>
      <c r="AK63" s="165"/>
      <c r="AL63" s="165"/>
      <c r="AM63" s="165"/>
      <c r="AN63" s="165"/>
      <c r="AO63" s="165"/>
      <c r="AP63" s="165"/>
      <c r="AQ63" s="165"/>
      <c r="AR63" s="165"/>
      <c r="AS63" s="165"/>
      <c r="AT63" s="165"/>
      <c r="AU63" s="165"/>
      <c r="AV63" s="165"/>
      <c r="AW63" s="165"/>
      <c r="AX63" s="165"/>
    </row>
    <row r="64" spans="1:50" ht="13.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295"/>
      <c r="AH64" s="165"/>
      <c r="AI64" s="165"/>
      <c r="AJ64" s="165"/>
      <c r="AK64" s="165"/>
      <c r="AL64" s="165"/>
      <c r="AM64" s="165"/>
      <c r="AN64" s="165"/>
      <c r="AO64" s="165"/>
      <c r="AP64" s="165"/>
      <c r="AQ64" s="165"/>
      <c r="AR64" s="165"/>
      <c r="AS64" s="165"/>
      <c r="AT64" s="165"/>
      <c r="AU64" s="165"/>
      <c r="AV64" s="165"/>
      <c r="AW64" s="165"/>
      <c r="AX64" s="165"/>
    </row>
    <row r="65" spans="1:50"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295"/>
      <c r="AH65" s="165"/>
      <c r="AI65" s="165"/>
      <c r="AJ65" s="165"/>
      <c r="AK65" s="165"/>
      <c r="AL65" s="165"/>
      <c r="AM65" s="165"/>
      <c r="AN65" s="165"/>
      <c r="AO65" s="165"/>
      <c r="AP65" s="165"/>
      <c r="AQ65" s="165"/>
      <c r="AR65" s="165"/>
      <c r="AS65" s="165"/>
      <c r="AT65" s="165"/>
      <c r="AU65" s="165"/>
      <c r="AV65" s="165"/>
      <c r="AW65" s="165"/>
      <c r="AX65" s="165"/>
    </row>
    <row r="66" spans="1:50" ht="13.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295"/>
      <c r="AH66" s="165"/>
      <c r="AI66" s="165"/>
      <c r="AJ66" s="165"/>
      <c r="AK66" s="165"/>
      <c r="AL66" s="165"/>
      <c r="AM66" s="165"/>
      <c r="AN66" s="165"/>
      <c r="AO66" s="165"/>
      <c r="AP66" s="165"/>
      <c r="AQ66" s="165"/>
      <c r="AR66" s="165"/>
      <c r="AS66" s="165"/>
      <c r="AT66" s="165"/>
      <c r="AU66" s="165"/>
      <c r="AV66" s="165"/>
      <c r="AW66" s="165"/>
      <c r="AX66" s="165"/>
    </row>
    <row r="67" spans="1:50"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295"/>
      <c r="AH67" s="165"/>
      <c r="AI67" s="165"/>
      <c r="AJ67" s="165"/>
      <c r="AK67" s="165"/>
      <c r="AL67" s="165"/>
      <c r="AM67" s="165"/>
      <c r="AN67" s="165"/>
      <c r="AO67" s="165"/>
      <c r="AP67" s="165"/>
      <c r="AQ67" s="165"/>
      <c r="AR67" s="165"/>
      <c r="AS67" s="165"/>
      <c r="AT67" s="165"/>
      <c r="AU67" s="165"/>
      <c r="AV67" s="165"/>
      <c r="AW67" s="165"/>
      <c r="AX67" s="165"/>
    </row>
    <row r="68" spans="1:50"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295"/>
      <c r="AH68" s="165"/>
      <c r="AI68" s="165"/>
      <c r="AJ68" s="165"/>
      <c r="AK68" s="165"/>
      <c r="AL68" s="165"/>
      <c r="AM68" s="165"/>
      <c r="AN68" s="165"/>
      <c r="AO68" s="165"/>
      <c r="AP68" s="165"/>
      <c r="AQ68" s="165"/>
      <c r="AR68" s="165"/>
      <c r="AS68" s="165"/>
      <c r="AT68" s="165"/>
      <c r="AU68" s="165"/>
      <c r="AV68" s="165"/>
      <c r="AW68" s="165"/>
      <c r="AX68" s="165"/>
    </row>
    <row r="69" spans="1:50" ht="13.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295"/>
      <c r="AH69" s="165"/>
      <c r="AI69" s="165"/>
      <c r="AJ69" s="165"/>
      <c r="AK69" s="165"/>
      <c r="AL69" s="165"/>
      <c r="AM69" s="165"/>
      <c r="AN69" s="165"/>
      <c r="AO69" s="165"/>
      <c r="AP69" s="165"/>
      <c r="AQ69" s="165"/>
      <c r="AR69" s="165"/>
      <c r="AS69" s="165"/>
      <c r="AT69" s="165"/>
      <c r="AU69" s="165"/>
      <c r="AV69" s="165"/>
      <c r="AW69" s="165"/>
      <c r="AX69" s="165"/>
    </row>
    <row r="70" spans="1:50" ht="13.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295"/>
      <c r="AH70" s="165"/>
      <c r="AI70" s="165"/>
      <c r="AJ70" s="165"/>
      <c r="AK70" s="165"/>
      <c r="AL70" s="165"/>
      <c r="AM70" s="165"/>
      <c r="AN70" s="165"/>
      <c r="AO70" s="165"/>
      <c r="AP70" s="165"/>
      <c r="AQ70" s="165"/>
      <c r="AR70" s="165"/>
      <c r="AS70" s="165"/>
      <c r="AT70" s="165"/>
      <c r="AU70" s="165"/>
      <c r="AV70" s="165"/>
      <c r="AW70" s="165"/>
      <c r="AX70" s="165"/>
    </row>
    <row r="71" spans="1:50"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295"/>
      <c r="AH71" s="165"/>
      <c r="AI71" s="165"/>
      <c r="AJ71" s="165"/>
      <c r="AK71" s="165"/>
      <c r="AL71" s="165"/>
      <c r="AM71" s="165"/>
      <c r="AN71" s="165"/>
      <c r="AO71" s="165"/>
      <c r="AP71" s="165"/>
      <c r="AQ71" s="165"/>
      <c r="AR71" s="165"/>
      <c r="AS71" s="165"/>
      <c r="AT71" s="165"/>
      <c r="AU71" s="165"/>
      <c r="AV71" s="165"/>
      <c r="AW71" s="165"/>
      <c r="AX71" s="165"/>
    </row>
    <row r="72" spans="1:50"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295"/>
      <c r="AH72" s="165"/>
      <c r="AI72" s="165"/>
      <c r="AJ72" s="165"/>
      <c r="AK72" s="165"/>
      <c r="AL72" s="165"/>
      <c r="AM72" s="165"/>
      <c r="AN72" s="165"/>
      <c r="AO72" s="165"/>
      <c r="AP72" s="165"/>
      <c r="AQ72" s="165"/>
      <c r="AR72" s="165"/>
      <c r="AS72" s="165"/>
      <c r="AT72" s="165"/>
      <c r="AU72" s="165"/>
      <c r="AV72" s="165"/>
      <c r="AW72" s="165"/>
      <c r="AX72" s="165"/>
    </row>
    <row r="73" spans="1:50" ht="13.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295"/>
      <c r="AH73" s="165"/>
      <c r="AI73" s="165"/>
      <c r="AJ73" s="165"/>
      <c r="AK73" s="165"/>
      <c r="AL73" s="165"/>
      <c r="AM73" s="165"/>
      <c r="AN73" s="165"/>
      <c r="AO73" s="165"/>
      <c r="AP73" s="165"/>
      <c r="AQ73" s="165"/>
      <c r="AR73" s="165"/>
      <c r="AS73" s="165"/>
      <c r="AT73" s="165"/>
      <c r="AU73" s="165"/>
      <c r="AV73" s="165"/>
      <c r="AW73" s="165"/>
      <c r="AX73" s="165"/>
    </row>
    <row r="74" spans="1:50"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295"/>
      <c r="AH74" s="165"/>
      <c r="AI74" s="165"/>
      <c r="AJ74" s="165"/>
      <c r="AK74" s="165"/>
      <c r="AL74" s="165"/>
      <c r="AM74" s="165"/>
      <c r="AN74" s="165"/>
      <c r="AO74" s="165"/>
      <c r="AP74" s="165"/>
      <c r="AQ74" s="165"/>
      <c r="AR74" s="165"/>
      <c r="AS74" s="165"/>
      <c r="AT74" s="165"/>
      <c r="AU74" s="165"/>
      <c r="AV74" s="165"/>
      <c r="AW74" s="165"/>
      <c r="AX74" s="165"/>
    </row>
    <row r="75" spans="1:50" ht="13.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295"/>
      <c r="AH75" s="165"/>
      <c r="AI75" s="165"/>
      <c r="AJ75" s="165"/>
      <c r="AK75" s="165"/>
      <c r="AL75" s="165"/>
      <c r="AM75" s="165"/>
      <c r="AN75" s="165"/>
      <c r="AO75" s="165"/>
      <c r="AP75" s="165"/>
      <c r="AQ75" s="165"/>
      <c r="AR75" s="165"/>
      <c r="AS75" s="165"/>
      <c r="AT75" s="165"/>
      <c r="AU75" s="165"/>
      <c r="AV75" s="165"/>
      <c r="AW75" s="165"/>
      <c r="AX75" s="165"/>
    </row>
    <row r="76" spans="1:50"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295"/>
      <c r="AH76" s="165"/>
      <c r="AI76" s="165"/>
      <c r="AJ76" s="165"/>
      <c r="AK76" s="165"/>
      <c r="AL76" s="165"/>
      <c r="AM76" s="165"/>
      <c r="AN76" s="165"/>
      <c r="AO76" s="165"/>
      <c r="AP76" s="165"/>
      <c r="AQ76" s="165"/>
      <c r="AR76" s="165"/>
      <c r="AS76" s="165"/>
      <c r="AT76" s="165"/>
      <c r="AU76" s="165"/>
      <c r="AV76" s="165"/>
      <c r="AW76" s="165"/>
      <c r="AX76" s="165"/>
    </row>
    <row r="77" spans="1:50" ht="13.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295"/>
      <c r="AH77" s="165"/>
      <c r="AI77" s="165"/>
      <c r="AJ77" s="165"/>
      <c r="AK77" s="165"/>
      <c r="AL77" s="165"/>
      <c r="AM77" s="165"/>
      <c r="AN77" s="165"/>
      <c r="AO77" s="165"/>
      <c r="AP77" s="165"/>
      <c r="AQ77" s="165"/>
      <c r="AR77" s="165"/>
      <c r="AS77" s="165"/>
      <c r="AT77" s="165"/>
      <c r="AU77" s="165"/>
      <c r="AV77" s="165"/>
      <c r="AW77" s="165"/>
      <c r="AX77" s="165"/>
    </row>
    <row r="78" spans="1:50"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295"/>
      <c r="AH78" s="165"/>
      <c r="AI78" s="165"/>
      <c r="AJ78" s="165"/>
      <c r="AK78" s="165"/>
      <c r="AL78" s="165"/>
      <c r="AM78" s="165"/>
      <c r="AN78" s="165"/>
      <c r="AO78" s="165"/>
      <c r="AP78" s="165"/>
      <c r="AQ78" s="165"/>
      <c r="AR78" s="165"/>
      <c r="AS78" s="165"/>
      <c r="AT78" s="165"/>
      <c r="AU78" s="165"/>
      <c r="AV78" s="165"/>
      <c r="AW78" s="165"/>
      <c r="AX78" s="165"/>
    </row>
    <row r="79" spans="1:50" ht="13.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295"/>
      <c r="AH79" s="165"/>
      <c r="AI79" s="165"/>
      <c r="AJ79" s="165"/>
      <c r="AK79" s="165"/>
      <c r="AL79" s="165"/>
      <c r="AM79" s="165"/>
      <c r="AN79" s="165"/>
      <c r="AO79" s="165"/>
      <c r="AP79" s="165"/>
      <c r="AQ79" s="165"/>
      <c r="AR79" s="165"/>
      <c r="AS79" s="165"/>
      <c r="AT79" s="165"/>
      <c r="AU79" s="165"/>
      <c r="AV79" s="165"/>
      <c r="AW79" s="165"/>
      <c r="AX79" s="165"/>
    </row>
    <row r="80" spans="1:50"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295"/>
      <c r="AH80" s="165"/>
      <c r="AI80" s="165"/>
      <c r="AJ80" s="165"/>
      <c r="AK80" s="165"/>
      <c r="AL80" s="165"/>
      <c r="AM80" s="165"/>
      <c r="AN80" s="165"/>
      <c r="AO80" s="165"/>
      <c r="AP80" s="165"/>
      <c r="AQ80" s="165"/>
      <c r="AR80" s="165"/>
      <c r="AS80" s="165"/>
      <c r="AT80" s="165"/>
      <c r="AU80" s="165"/>
      <c r="AV80" s="165"/>
      <c r="AW80" s="165"/>
      <c r="AX80" s="165"/>
    </row>
    <row r="81" spans="1:50" ht="13.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295"/>
      <c r="AH81" s="165"/>
      <c r="AI81" s="165"/>
      <c r="AJ81" s="165"/>
      <c r="AK81" s="165"/>
      <c r="AL81" s="165"/>
      <c r="AM81" s="165"/>
      <c r="AN81" s="165"/>
      <c r="AO81" s="165"/>
      <c r="AP81" s="165"/>
      <c r="AQ81" s="165"/>
      <c r="AR81" s="165"/>
      <c r="AS81" s="165"/>
      <c r="AT81" s="165"/>
      <c r="AU81" s="165"/>
      <c r="AV81" s="165"/>
      <c r="AW81" s="165"/>
      <c r="AX81" s="165"/>
    </row>
    <row r="82" spans="1:50" ht="13.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295"/>
      <c r="AH82" s="165"/>
      <c r="AI82" s="165"/>
      <c r="AJ82" s="165"/>
      <c r="AK82" s="165"/>
      <c r="AL82" s="165"/>
      <c r="AM82" s="165"/>
      <c r="AN82" s="165"/>
      <c r="AO82" s="165"/>
      <c r="AP82" s="165"/>
      <c r="AQ82" s="165"/>
      <c r="AR82" s="165"/>
      <c r="AS82" s="165"/>
      <c r="AT82" s="165"/>
      <c r="AU82" s="165"/>
      <c r="AV82" s="165"/>
      <c r="AW82" s="165"/>
      <c r="AX82" s="165"/>
    </row>
    <row r="83" spans="1:50" ht="13.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295"/>
      <c r="AH83" s="165"/>
      <c r="AI83" s="165"/>
      <c r="AJ83" s="165"/>
      <c r="AK83" s="165"/>
      <c r="AL83" s="165"/>
      <c r="AM83" s="165"/>
      <c r="AN83" s="165"/>
      <c r="AO83" s="165"/>
      <c r="AP83" s="165"/>
      <c r="AQ83" s="165"/>
      <c r="AR83" s="165"/>
      <c r="AS83" s="165"/>
      <c r="AT83" s="165"/>
      <c r="AU83" s="165"/>
      <c r="AV83" s="165"/>
      <c r="AW83" s="165"/>
      <c r="AX83" s="165"/>
    </row>
    <row r="84" spans="1:50" ht="13.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295"/>
      <c r="AH84" s="165"/>
      <c r="AI84" s="165"/>
      <c r="AJ84" s="165"/>
      <c r="AK84" s="165"/>
      <c r="AL84" s="165"/>
      <c r="AM84" s="165"/>
      <c r="AN84" s="165"/>
      <c r="AO84" s="165"/>
      <c r="AP84" s="165"/>
      <c r="AQ84" s="165"/>
      <c r="AR84" s="165"/>
      <c r="AS84" s="165"/>
      <c r="AT84" s="165"/>
      <c r="AU84" s="165"/>
      <c r="AV84" s="165"/>
      <c r="AW84" s="165"/>
      <c r="AX84" s="165"/>
    </row>
    <row r="85" spans="1:50" ht="13.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295"/>
      <c r="AH85" s="165"/>
      <c r="AI85" s="165"/>
      <c r="AJ85" s="165"/>
      <c r="AK85" s="165"/>
      <c r="AL85" s="165"/>
      <c r="AM85" s="165"/>
      <c r="AN85" s="165"/>
      <c r="AO85" s="165"/>
      <c r="AP85" s="165"/>
      <c r="AQ85" s="165"/>
      <c r="AR85" s="165"/>
      <c r="AS85" s="165"/>
      <c r="AT85" s="165"/>
      <c r="AU85" s="165"/>
      <c r="AV85" s="165"/>
      <c r="AW85" s="165"/>
      <c r="AX85" s="165"/>
    </row>
    <row r="86" spans="1:50" ht="13.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295"/>
      <c r="AH86" s="165"/>
      <c r="AI86" s="165"/>
      <c r="AJ86" s="165"/>
      <c r="AK86" s="165"/>
      <c r="AL86" s="165"/>
      <c r="AM86" s="165"/>
      <c r="AN86" s="165"/>
      <c r="AO86" s="165"/>
      <c r="AP86" s="165"/>
      <c r="AQ86" s="165"/>
      <c r="AR86" s="165"/>
      <c r="AS86" s="165"/>
      <c r="AT86" s="165"/>
      <c r="AU86" s="165"/>
      <c r="AV86" s="165"/>
      <c r="AW86" s="165"/>
      <c r="AX86" s="165"/>
    </row>
    <row r="87" spans="1:50" ht="13.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295"/>
      <c r="AH87" s="165"/>
      <c r="AI87" s="165"/>
      <c r="AJ87" s="165"/>
      <c r="AK87" s="165"/>
      <c r="AL87" s="165"/>
      <c r="AM87" s="165"/>
      <c r="AN87" s="165"/>
      <c r="AO87" s="165"/>
      <c r="AP87" s="165"/>
      <c r="AQ87" s="165"/>
      <c r="AR87" s="165"/>
      <c r="AS87" s="165"/>
      <c r="AT87" s="165"/>
      <c r="AU87" s="165"/>
      <c r="AV87" s="165"/>
      <c r="AW87" s="165"/>
      <c r="AX87" s="165"/>
    </row>
    <row r="88" spans="1:50" ht="13.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295"/>
      <c r="AH88" s="165"/>
      <c r="AI88" s="165"/>
      <c r="AJ88" s="165"/>
      <c r="AK88" s="165"/>
      <c r="AL88" s="165"/>
      <c r="AM88" s="165"/>
      <c r="AN88" s="165"/>
      <c r="AO88" s="165"/>
      <c r="AP88" s="165"/>
      <c r="AQ88" s="165"/>
      <c r="AR88" s="165"/>
      <c r="AS88" s="165"/>
      <c r="AT88" s="165"/>
      <c r="AU88" s="165"/>
      <c r="AV88" s="165"/>
      <c r="AW88" s="165"/>
      <c r="AX88" s="165"/>
    </row>
    <row r="89" spans="1:50" ht="13.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295"/>
      <c r="AH89" s="165"/>
      <c r="AI89" s="165"/>
      <c r="AJ89" s="165"/>
      <c r="AK89" s="165"/>
      <c r="AL89" s="165"/>
      <c r="AM89" s="165"/>
      <c r="AN89" s="165"/>
      <c r="AO89" s="165"/>
      <c r="AP89" s="165"/>
      <c r="AQ89" s="165"/>
      <c r="AR89" s="165"/>
      <c r="AS89" s="165"/>
      <c r="AT89" s="165"/>
      <c r="AU89" s="165"/>
      <c r="AV89" s="165"/>
      <c r="AW89" s="165"/>
      <c r="AX89" s="165"/>
    </row>
    <row r="90" spans="1:50" ht="13.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295"/>
      <c r="AH90" s="165"/>
      <c r="AI90" s="165"/>
      <c r="AJ90" s="165"/>
      <c r="AK90" s="165"/>
      <c r="AL90" s="165"/>
      <c r="AM90" s="165"/>
      <c r="AN90" s="165"/>
      <c r="AO90" s="165"/>
      <c r="AP90" s="165"/>
      <c r="AQ90" s="165"/>
      <c r="AR90" s="165"/>
      <c r="AS90" s="165"/>
      <c r="AT90" s="165"/>
      <c r="AU90" s="165"/>
      <c r="AV90" s="165"/>
      <c r="AW90" s="165"/>
      <c r="AX90" s="165"/>
    </row>
    <row r="91" spans="1:50" ht="13.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295"/>
      <c r="AH91" s="165"/>
      <c r="AI91" s="165"/>
      <c r="AJ91" s="165"/>
      <c r="AK91" s="165"/>
      <c r="AL91" s="165"/>
      <c r="AM91" s="165"/>
      <c r="AN91" s="165"/>
      <c r="AO91" s="165"/>
      <c r="AP91" s="165"/>
      <c r="AQ91" s="165"/>
      <c r="AR91" s="165"/>
      <c r="AS91" s="165"/>
      <c r="AT91" s="165"/>
      <c r="AU91" s="165"/>
      <c r="AV91" s="165"/>
      <c r="AW91" s="165"/>
      <c r="AX91" s="165"/>
    </row>
    <row r="92" spans="1:50" ht="13.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295"/>
      <c r="AH92" s="165"/>
      <c r="AI92" s="165"/>
      <c r="AJ92" s="165"/>
      <c r="AK92" s="165"/>
      <c r="AL92" s="165"/>
      <c r="AM92" s="165"/>
      <c r="AN92" s="165"/>
      <c r="AO92" s="165"/>
      <c r="AP92" s="165"/>
      <c r="AQ92" s="165"/>
      <c r="AR92" s="165"/>
      <c r="AS92" s="165"/>
      <c r="AT92" s="165"/>
      <c r="AU92" s="165"/>
      <c r="AV92" s="165"/>
      <c r="AW92" s="165"/>
      <c r="AX92" s="165"/>
    </row>
    <row r="93" spans="1:50" ht="13.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295"/>
      <c r="AH93" s="165"/>
      <c r="AI93" s="165"/>
      <c r="AJ93" s="165"/>
      <c r="AK93" s="165"/>
      <c r="AL93" s="165"/>
      <c r="AM93" s="165"/>
      <c r="AN93" s="165"/>
      <c r="AO93" s="165"/>
      <c r="AP93" s="165"/>
      <c r="AQ93" s="165"/>
      <c r="AR93" s="165"/>
      <c r="AS93" s="165"/>
      <c r="AT93" s="165"/>
      <c r="AU93" s="165"/>
      <c r="AV93" s="165"/>
      <c r="AW93" s="165"/>
      <c r="AX93" s="165"/>
    </row>
    <row r="94" spans="1:50" ht="13.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295"/>
      <c r="AH94" s="165"/>
      <c r="AI94" s="165"/>
      <c r="AJ94" s="165"/>
      <c r="AK94" s="165"/>
      <c r="AL94" s="165"/>
      <c r="AM94" s="165"/>
      <c r="AN94" s="165"/>
      <c r="AO94" s="165"/>
      <c r="AP94" s="165"/>
      <c r="AQ94" s="165"/>
      <c r="AR94" s="165"/>
      <c r="AS94" s="165"/>
      <c r="AT94" s="165"/>
      <c r="AU94" s="165"/>
      <c r="AV94" s="165"/>
      <c r="AW94" s="165"/>
      <c r="AX94" s="165"/>
    </row>
    <row r="95" spans="1:50" ht="13.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295"/>
      <c r="AH95" s="165"/>
      <c r="AI95" s="165"/>
      <c r="AJ95" s="165"/>
      <c r="AK95" s="165"/>
      <c r="AL95" s="165"/>
      <c r="AM95" s="165"/>
      <c r="AN95" s="165"/>
      <c r="AO95" s="165"/>
      <c r="AP95" s="165"/>
      <c r="AQ95" s="165"/>
      <c r="AR95" s="165"/>
      <c r="AS95" s="165"/>
      <c r="AT95" s="165"/>
      <c r="AU95" s="165"/>
      <c r="AV95" s="165"/>
      <c r="AW95" s="165"/>
      <c r="AX95" s="165"/>
    </row>
    <row r="96" spans="1:50" ht="13.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295"/>
      <c r="AH96" s="165"/>
      <c r="AI96" s="165"/>
      <c r="AJ96" s="165"/>
      <c r="AK96" s="165"/>
      <c r="AL96" s="165"/>
      <c r="AM96" s="165"/>
      <c r="AN96" s="165"/>
      <c r="AO96" s="165"/>
      <c r="AP96" s="165"/>
      <c r="AQ96" s="165"/>
      <c r="AR96" s="165"/>
      <c r="AS96" s="165"/>
      <c r="AT96" s="165"/>
      <c r="AU96" s="165"/>
      <c r="AV96" s="165"/>
      <c r="AW96" s="165"/>
      <c r="AX96" s="165"/>
    </row>
    <row r="97" spans="1:50" ht="13.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295"/>
      <c r="AH97" s="165"/>
      <c r="AI97" s="165"/>
      <c r="AJ97" s="165"/>
      <c r="AK97" s="165"/>
      <c r="AL97" s="165"/>
      <c r="AM97" s="165"/>
      <c r="AN97" s="165"/>
      <c r="AO97" s="165"/>
      <c r="AP97" s="165"/>
      <c r="AQ97" s="165"/>
      <c r="AR97" s="165"/>
      <c r="AS97" s="165"/>
      <c r="AT97" s="165"/>
      <c r="AU97" s="165"/>
      <c r="AV97" s="165"/>
      <c r="AW97" s="165"/>
      <c r="AX97" s="165"/>
    </row>
    <row r="98" spans="1:50" ht="13.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295"/>
      <c r="AH98" s="165"/>
      <c r="AI98" s="165"/>
      <c r="AJ98" s="165"/>
      <c r="AK98" s="165"/>
      <c r="AL98" s="165"/>
      <c r="AM98" s="165"/>
      <c r="AN98" s="165"/>
      <c r="AO98" s="165"/>
      <c r="AP98" s="165"/>
      <c r="AQ98" s="165"/>
      <c r="AR98" s="165"/>
      <c r="AS98" s="165"/>
      <c r="AT98" s="165"/>
      <c r="AU98" s="165"/>
      <c r="AV98" s="165"/>
      <c r="AW98" s="165"/>
      <c r="AX98" s="165"/>
    </row>
    <row r="99" spans="1:50" ht="13.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295"/>
      <c r="AH99" s="165"/>
      <c r="AI99" s="165"/>
      <c r="AJ99" s="165"/>
      <c r="AK99" s="165"/>
      <c r="AL99" s="165"/>
      <c r="AM99" s="165"/>
      <c r="AN99" s="165"/>
      <c r="AO99" s="165"/>
      <c r="AP99" s="165"/>
      <c r="AQ99" s="165"/>
      <c r="AR99" s="165"/>
      <c r="AS99" s="165"/>
      <c r="AT99" s="165"/>
      <c r="AU99" s="165"/>
      <c r="AV99" s="165"/>
      <c r="AW99" s="165"/>
      <c r="AX99" s="165"/>
    </row>
  </sheetData>
  <mergeCells count="56">
    <mergeCell ref="AW5:AW12"/>
    <mergeCell ref="AX5:AX12"/>
    <mergeCell ref="AV5:AV12"/>
    <mergeCell ref="AW1:AX1"/>
    <mergeCell ref="AW2:AX2"/>
    <mergeCell ref="AW3:AX3"/>
    <mergeCell ref="AW4:AX4"/>
    <mergeCell ref="A1:AV1"/>
    <mergeCell ref="A2:AV2"/>
    <mergeCell ref="A3:AV4"/>
    <mergeCell ref="N11:N12"/>
    <mergeCell ref="M11:M12"/>
    <mergeCell ref="A11:F11"/>
    <mergeCell ref="V11:AG11"/>
    <mergeCell ref="H7:I7"/>
    <mergeCell ref="A5:AG5"/>
    <mergeCell ref="A23:C25"/>
    <mergeCell ref="J23:O25"/>
    <mergeCell ref="P25:U25"/>
    <mergeCell ref="A22:AX22"/>
    <mergeCell ref="D23:I23"/>
    <mergeCell ref="AD25:AO25"/>
    <mergeCell ref="V24:AC24"/>
    <mergeCell ref="V23:AC23"/>
    <mergeCell ref="D24:I24"/>
    <mergeCell ref="D25:I25"/>
    <mergeCell ref="AD23:AO23"/>
    <mergeCell ref="AD24:AO24"/>
    <mergeCell ref="AP23:AS25"/>
    <mergeCell ref="AT24:AX24"/>
    <mergeCell ref="AT23:AX23"/>
    <mergeCell ref="AT25:AX25"/>
    <mergeCell ref="P24:U24"/>
    <mergeCell ref="P23:U23"/>
    <mergeCell ref="V25:AC25"/>
    <mergeCell ref="AH5:AU10"/>
    <mergeCell ref="A9:C9"/>
    <mergeCell ref="G11:H11"/>
    <mergeCell ref="I11:I12"/>
    <mergeCell ref="J11:J12"/>
    <mergeCell ref="K11:K12"/>
    <mergeCell ref="AH11:AS11"/>
    <mergeCell ref="AT11:AU11"/>
    <mergeCell ref="D10:AG10"/>
    <mergeCell ref="L11:L12"/>
    <mergeCell ref="U11:U12"/>
    <mergeCell ref="O11:S11"/>
    <mergeCell ref="T11:T12"/>
    <mergeCell ref="A6:C8"/>
    <mergeCell ref="D6:E8"/>
    <mergeCell ref="F6:G8"/>
    <mergeCell ref="A10:C10"/>
    <mergeCell ref="D9:AG9"/>
    <mergeCell ref="H8:I8"/>
    <mergeCell ref="H6:I6"/>
    <mergeCell ref="K6:U8"/>
  </mergeCells>
  <pageMargins left="0.7" right="0.7" top="0.75" bottom="0.75" header="0" footer="0"/>
  <pageSetup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F110"/>
  <sheetViews>
    <sheetView topLeftCell="A55" zoomScale="92" workbookViewId="0">
      <selection activeCell="D64" sqref="D64"/>
    </sheetView>
  </sheetViews>
  <sheetFormatPr baseColWidth="10" defaultColWidth="11.42578125" defaultRowHeight="15"/>
  <cols>
    <col min="1" max="1" width="10.7109375" style="314" customWidth="1"/>
    <col min="2" max="2" width="6" style="314" customWidth="1"/>
    <col min="3" max="3" width="24" style="314" customWidth="1"/>
    <col min="4" max="4" width="12" style="314" customWidth="1"/>
    <col min="5" max="16384" width="11.42578125" style="314"/>
  </cols>
  <sheetData>
    <row r="1" spans="1:4">
      <c r="A1" s="313" t="s">
        <v>494</v>
      </c>
    </row>
    <row r="3" spans="1:4">
      <c r="A3" s="314">
        <v>2021</v>
      </c>
      <c r="B3" s="315">
        <v>0.38</v>
      </c>
      <c r="C3" s="314">
        <f>0.25/12</f>
        <v>2.0833333333333332E-2</v>
      </c>
      <c r="D3" s="314" t="s">
        <v>495</v>
      </c>
    </row>
    <row r="4" spans="1:4">
      <c r="A4" s="314">
        <v>2022</v>
      </c>
      <c r="B4" s="315">
        <v>0.25</v>
      </c>
      <c r="C4" s="316">
        <f>+C3</f>
        <v>2.0833333333333332E-2</v>
      </c>
      <c r="D4" s="385" t="s">
        <v>572</v>
      </c>
    </row>
    <row r="5" spans="1:4">
      <c r="A5" s="314">
        <v>2023</v>
      </c>
      <c r="B5" s="315">
        <v>0.25</v>
      </c>
      <c r="C5" s="316"/>
      <c r="D5" s="385" t="s">
        <v>573</v>
      </c>
    </row>
    <row r="6" spans="1:4">
      <c r="A6" s="314">
        <v>2024</v>
      </c>
      <c r="B6" s="315">
        <v>0.12</v>
      </c>
      <c r="C6" s="316"/>
      <c r="D6" s="385" t="s">
        <v>574</v>
      </c>
    </row>
    <row r="7" spans="1:4">
      <c r="B7" s="315"/>
      <c r="C7" s="316"/>
      <c r="D7" s="385" t="s">
        <v>575</v>
      </c>
    </row>
    <row r="8" spans="1:4">
      <c r="B8" s="315"/>
      <c r="C8" s="316"/>
      <c r="D8" s="385" t="s">
        <v>576</v>
      </c>
    </row>
    <row r="9" spans="1:4">
      <c r="B9" s="315"/>
      <c r="C9" s="316"/>
      <c r="D9" s="385" t="s">
        <v>577</v>
      </c>
    </row>
    <row r="10" spans="1:4">
      <c r="B10" s="315"/>
      <c r="C10" s="316"/>
      <c r="D10" s="385" t="s">
        <v>578</v>
      </c>
    </row>
    <row r="11" spans="1:4">
      <c r="B11" s="315"/>
      <c r="C11" s="316"/>
      <c r="D11" s="385" t="s">
        <v>579</v>
      </c>
    </row>
    <row r="12" spans="1:4">
      <c r="B12" s="315"/>
      <c r="C12" s="316"/>
      <c r="D12" s="385" t="s">
        <v>580</v>
      </c>
    </row>
    <row r="13" spans="1:4">
      <c r="B13" s="315"/>
      <c r="C13" s="316"/>
      <c r="D13" s="385" t="s">
        <v>581</v>
      </c>
    </row>
    <row r="14" spans="1:4">
      <c r="B14" s="315"/>
      <c r="C14" s="316"/>
      <c r="D14" s="385" t="s">
        <v>582</v>
      </c>
    </row>
    <row r="15" spans="1:4">
      <c r="B15" s="315"/>
      <c r="C15" s="316"/>
      <c r="D15" s="385" t="s">
        <v>583</v>
      </c>
    </row>
    <row r="16" spans="1:4">
      <c r="B16" s="315"/>
    </row>
    <row r="17" spans="1:4">
      <c r="A17" s="385" t="s">
        <v>570</v>
      </c>
      <c r="C17" s="386" t="s">
        <v>571</v>
      </c>
    </row>
    <row r="18" spans="1:4">
      <c r="A18" s="385" t="s">
        <v>584</v>
      </c>
    </row>
    <row r="19" spans="1:4">
      <c r="A19" s="385" t="s">
        <v>502</v>
      </c>
    </row>
    <row r="20" spans="1:4">
      <c r="A20" s="385" t="s">
        <v>524</v>
      </c>
    </row>
    <row r="21" spans="1:4">
      <c r="A21" s="385" t="s">
        <v>503</v>
      </c>
    </row>
    <row r="22" spans="1:4">
      <c r="A22" s="385" t="s">
        <v>504</v>
      </c>
    </row>
    <row r="23" spans="1:4">
      <c r="A23" s="385" t="s">
        <v>505</v>
      </c>
    </row>
    <row r="24" spans="1:4">
      <c r="A24" s="385" t="s">
        <v>506</v>
      </c>
    </row>
    <row r="25" spans="1:4">
      <c r="A25" s="385" t="s">
        <v>507</v>
      </c>
    </row>
    <row r="26" spans="1:4">
      <c r="A26" s="385" t="s">
        <v>508</v>
      </c>
    </row>
    <row r="27" spans="1:4">
      <c r="A27" s="385" t="s">
        <v>509</v>
      </c>
    </row>
    <row r="28" spans="1:4">
      <c r="A28" s="385" t="s">
        <v>510</v>
      </c>
    </row>
    <row r="29" spans="1:4">
      <c r="C29" s="314">
        <f>+LEN(C17)</f>
        <v>184</v>
      </c>
    </row>
    <row r="30" spans="1:4">
      <c r="A30" s="313" t="s">
        <v>595</v>
      </c>
    </row>
    <row r="32" spans="1:4">
      <c r="C32" s="387">
        <f>+'Metas 5'!P41</f>
        <v>0.15</v>
      </c>
      <c r="D32" s="385" t="s">
        <v>572</v>
      </c>
    </row>
    <row r="33" spans="1:4">
      <c r="C33" s="316"/>
      <c r="D33" s="385" t="s">
        <v>573</v>
      </c>
    </row>
    <row r="34" spans="1:4">
      <c r="C34" s="316"/>
      <c r="D34" s="385" t="s">
        <v>574</v>
      </c>
    </row>
    <row r="35" spans="1:4">
      <c r="C35" s="316"/>
      <c r="D35" s="385" t="s">
        <v>575</v>
      </c>
    </row>
    <row r="36" spans="1:4">
      <c r="C36" s="316"/>
      <c r="D36" s="385" t="s">
        <v>576</v>
      </c>
    </row>
    <row r="37" spans="1:4">
      <c r="C37" s="316"/>
      <c r="D37" s="385" t="s">
        <v>577</v>
      </c>
    </row>
    <row r="38" spans="1:4">
      <c r="C38" s="316"/>
      <c r="D38" s="385" t="s">
        <v>578</v>
      </c>
    </row>
    <row r="39" spans="1:4">
      <c r="C39" s="316"/>
      <c r="D39" s="385" t="s">
        <v>579</v>
      </c>
    </row>
    <row r="40" spans="1:4">
      <c r="C40" s="316"/>
      <c r="D40" s="385" t="s">
        <v>580</v>
      </c>
    </row>
    <row r="41" spans="1:4">
      <c r="C41" s="316"/>
      <c r="D41" s="385" t="s">
        <v>581</v>
      </c>
    </row>
    <row r="42" spans="1:4">
      <c r="C42" s="316"/>
      <c r="D42" s="385" t="s">
        <v>582</v>
      </c>
    </row>
    <row r="43" spans="1:4">
      <c r="C43" s="316"/>
      <c r="D43" s="385" t="s">
        <v>583</v>
      </c>
    </row>
    <row r="45" spans="1:4">
      <c r="A45" s="385" t="s">
        <v>570</v>
      </c>
      <c r="C45" s="315" t="str">
        <f>+'Metas 5'!Q34</f>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
    </row>
    <row r="46" spans="1:4">
      <c r="A46" s="385" t="s">
        <v>584</v>
      </c>
    </row>
    <row r="47" spans="1:4">
      <c r="A47" s="385" t="s">
        <v>502</v>
      </c>
    </row>
    <row r="48" spans="1:4">
      <c r="A48" s="385" t="s">
        <v>524</v>
      </c>
    </row>
    <row r="49" spans="1:6">
      <c r="A49" s="385" t="s">
        <v>503</v>
      </c>
    </row>
    <row r="50" spans="1:6" ht="18" customHeight="1">
      <c r="A50" s="385" t="s">
        <v>504</v>
      </c>
    </row>
    <row r="51" spans="1:6">
      <c r="A51" s="385" t="s">
        <v>505</v>
      </c>
    </row>
    <row r="52" spans="1:6">
      <c r="A52" s="385" t="s">
        <v>506</v>
      </c>
    </row>
    <row r="53" spans="1:6">
      <c r="A53" s="385" t="s">
        <v>507</v>
      </c>
    </row>
    <row r="54" spans="1:6">
      <c r="A54" s="385" t="s">
        <v>508</v>
      </c>
    </row>
    <row r="55" spans="1:6">
      <c r="A55" s="385" t="s">
        <v>509</v>
      </c>
    </row>
    <row r="56" spans="1:6">
      <c r="A56" s="385" t="s">
        <v>510</v>
      </c>
    </row>
    <row r="58" spans="1:6" ht="15" customHeight="1">
      <c r="C58" s="314">
        <f>+LEN(C45)</f>
        <v>603</v>
      </c>
    </row>
    <row r="60" spans="1:6">
      <c r="B60" s="317">
        <f>32*0.25</f>
        <v>8</v>
      </c>
      <c r="C60" s="317" t="s">
        <v>511</v>
      </c>
      <c r="D60" s="317"/>
      <c r="E60" s="317"/>
      <c r="F60" s="317"/>
    </row>
    <row r="61" spans="1:6" ht="18.75">
      <c r="B61" s="318">
        <f>+B60/100</f>
        <v>0.08</v>
      </c>
      <c r="C61" s="658" t="s">
        <v>512</v>
      </c>
      <c r="D61" s="658"/>
      <c r="E61" s="658"/>
      <c r="F61" s="658"/>
    </row>
    <row r="62" spans="1:6" ht="18.75">
      <c r="B62" s="319"/>
      <c r="C62" s="658"/>
      <c r="D62" s="658"/>
      <c r="E62" s="658"/>
      <c r="F62" s="658"/>
    </row>
    <row r="63" spans="1:6">
      <c r="B63" s="317"/>
      <c r="C63" s="658"/>
      <c r="D63" s="658"/>
      <c r="E63" s="658"/>
      <c r="F63" s="658"/>
    </row>
    <row r="64" spans="1:6" ht="18.75">
      <c r="A64" s="385" t="s">
        <v>597</v>
      </c>
      <c r="B64" s="317">
        <v>0.05</v>
      </c>
      <c r="C64" s="314">
        <v>0</v>
      </c>
      <c r="D64" s="385" t="s">
        <v>598</v>
      </c>
      <c r="E64" s="320"/>
      <c r="F64" s="320"/>
    </row>
    <row r="65" spans="1:6" ht="18.75">
      <c r="A65" s="321" t="s">
        <v>513</v>
      </c>
      <c r="B65" s="321">
        <f>+(32*0.25)/100</f>
        <v>0.08</v>
      </c>
      <c r="C65" s="320"/>
      <c r="D65" s="320"/>
      <c r="E65" s="320"/>
      <c r="F65" s="320"/>
    </row>
    <row r="66" spans="1:6" ht="18.75">
      <c r="A66" s="321" t="s">
        <v>514</v>
      </c>
      <c r="B66" s="321">
        <f>+(41*0.25)/100</f>
        <v>0.10249999999999999</v>
      </c>
      <c r="C66" s="320"/>
      <c r="D66" s="320"/>
      <c r="E66" s="320"/>
      <c r="F66" s="320"/>
    </row>
    <row r="67" spans="1:6" ht="18.75">
      <c r="A67" s="314" t="s">
        <v>515</v>
      </c>
      <c r="B67" s="321">
        <f>+(50*0.25)/100</f>
        <v>0.125</v>
      </c>
      <c r="C67" s="320"/>
      <c r="D67" s="320"/>
      <c r="E67" s="320"/>
      <c r="F67" s="320"/>
    </row>
    <row r="68" spans="1:6" ht="18.75">
      <c r="A68" s="314" t="s">
        <v>496</v>
      </c>
      <c r="B68" s="321">
        <f>+(59*0.25)/100</f>
        <v>0.14749999999999999</v>
      </c>
      <c r="C68" s="320"/>
      <c r="D68" s="320"/>
      <c r="E68" s="320"/>
      <c r="F68" s="320"/>
    </row>
    <row r="69" spans="1:6" ht="18.75">
      <c r="A69" s="314" t="s">
        <v>497</v>
      </c>
      <c r="B69" s="321">
        <f>+(68*0.25)/100</f>
        <v>0.17</v>
      </c>
      <c r="C69" s="320"/>
      <c r="D69" s="320"/>
      <c r="E69" s="320"/>
      <c r="F69" s="320"/>
    </row>
    <row r="70" spans="1:6" ht="18.75">
      <c r="A70" s="314" t="s">
        <v>498</v>
      </c>
      <c r="B70" s="321">
        <f>+(77*0.25)/100</f>
        <v>0.1925</v>
      </c>
      <c r="C70" s="320"/>
      <c r="D70" s="320"/>
      <c r="E70" s="320"/>
      <c r="F70" s="320"/>
    </row>
    <row r="71" spans="1:6" ht="18.75">
      <c r="A71" s="314" t="s">
        <v>499</v>
      </c>
      <c r="B71" s="321">
        <f>+(86*0.25)/100</f>
        <v>0.215</v>
      </c>
      <c r="C71" s="320"/>
      <c r="D71" s="320"/>
      <c r="E71" s="320"/>
      <c r="F71" s="320"/>
    </row>
    <row r="72" spans="1:6" ht="18.75">
      <c r="A72" s="314" t="s">
        <v>500</v>
      </c>
      <c r="B72" s="321">
        <f>+(95*0.25)/100</f>
        <v>0.23749999999999999</v>
      </c>
      <c r="C72" s="320"/>
      <c r="D72" s="320"/>
      <c r="E72" s="320"/>
      <c r="F72" s="320"/>
    </row>
    <row r="73" spans="1:6">
      <c r="A73" s="314" t="s">
        <v>501</v>
      </c>
      <c r="B73" s="321">
        <f>+(100*0.25)/100</f>
        <v>0.25</v>
      </c>
    </row>
    <row r="75" spans="1:6">
      <c r="A75" s="313" t="s">
        <v>516</v>
      </c>
    </row>
    <row r="76" spans="1:6">
      <c r="A76" s="314">
        <v>2021</v>
      </c>
      <c r="B76" s="314">
        <f>+'Indicadores PA'!O21+'Indicadores PA'!P21</f>
        <v>7</v>
      </c>
      <c r="C76" s="314" t="s">
        <v>517</v>
      </c>
      <c r="D76" s="315">
        <v>0.45</v>
      </c>
      <c r="E76" s="314" t="s">
        <v>518</v>
      </c>
    </row>
    <row r="77" spans="1:6">
      <c r="A77" s="314">
        <v>2022</v>
      </c>
      <c r="B77" s="314">
        <f>+'Indicadores PA'!Q21</f>
        <v>7</v>
      </c>
      <c r="C77" s="314" t="s">
        <v>517</v>
      </c>
      <c r="D77" s="315">
        <v>0.25</v>
      </c>
      <c r="E77" s="314" t="s">
        <v>519</v>
      </c>
    </row>
    <row r="78" spans="1:6">
      <c r="A78" s="314">
        <v>2023</v>
      </c>
      <c r="B78" s="314">
        <v>5</v>
      </c>
      <c r="C78" s="314" t="s">
        <v>517</v>
      </c>
      <c r="D78" s="315">
        <v>0.25</v>
      </c>
      <c r="E78" s="314" t="s">
        <v>519</v>
      </c>
    </row>
    <row r="79" spans="1:6">
      <c r="A79" s="314">
        <v>2024</v>
      </c>
      <c r="B79" s="314">
        <v>0</v>
      </c>
      <c r="C79" s="314" t="s">
        <v>517</v>
      </c>
      <c r="D79" s="315">
        <v>0.05</v>
      </c>
      <c r="E79" s="314" t="s">
        <v>520</v>
      </c>
    </row>
    <row r="80" spans="1:6">
      <c r="B80" s="314" t="s">
        <v>521</v>
      </c>
      <c r="C80" s="314">
        <f>0.45/7</f>
        <v>6.4285714285714293E-2</v>
      </c>
      <c r="D80" s="314" t="s">
        <v>522</v>
      </c>
    </row>
    <row r="81" spans="1:4">
      <c r="C81" s="314">
        <f>+C80*7</f>
        <v>0.45000000000000007</v>
      </c>
      <c r="D81" s="314" t="s">
        <v>523</v>
      </c>
    </row>
    <row r="83" spans="1:4">
      <c r="C83" s="387">
        <f>+'Metas 5'!P92</f>
        <v>0</v>
      </c>
      <c r="D83" s="385" t="s">
        <v>572</v>
      </c>
    </row>
    <row r="84" spans="1:4">
      <c r="C84" s="316"/>
      <c r="D84" s="385" t="s">
        <v>573</v>
      </c>
    </row>
    <row r="85" spans="1:4">
      <c r="C85" s="316"/>
      <c r="D85" s="385" t="s">
        <v>574</v>
      </c>
    </row>
    <row r="86" spans="1:4">
      <c r="C86" s="316"/>
      <c r="D86" s="385" t="s">
        <v>575</v>
      </c>
    </row>
    <row r="87" spans="1:4">
      <c r="C87" s="316"/>
      <c r="D87" s="385" t="s">
        <v>576</v>
      </c>
    </row>
    <row r="88" spans="1:4">
      <c r="C88" s="316"/>
      <c r="D88" s="385" t="s">
        <v>577</v>
      </c>
    </row>
    <row r="89" spans="1:4">
      <c r="C89" s="316"/>
      <c r="D89" s="385" t="s">
        <v>578</v>
      </c>
    </row>
    <row r="90" spans="1:4">
      <c r="C90" s="316"/>
      <c r="D90" s="385" t="s">
        <v>579</v>
      </c>
    </row>
    <row r="91" spans="1:4">
      <c r="C91" s="316"/>
      <c r="D91" s="385" t="s">
        <v>580</v>
      </c>
    </row>
    <row r="92" spans="1:4">
      <c r="C92" s="316"/>
      <c r="D92" s="385" t="s">
        <v>581</v>
      </c>
    </row>
    <row r="93" spans="1:4">
      <c r="C93" s="316"/>
      <c r="D93" s="385" t="s">
        <v>582</v>
      </c>
    </row>
    <row r="94" spans="1:4">
      <c r="C94" s="316"/>
      <c r="D94" s="385" t="s">
        <v>583</v>
      </c>
    </row>
    <row r="96" spans="1:4">
      <c r="A96" s="385" t="s">
        <v>570</v>
      </c>
      <c r="C96" s="386" t="s">
        <v>585</v>
      </c>
    </row>
    <row r="97" spans="1:3">
      <c r="A97" s="385" t="s">
        <v>584</v>
      </c>
    </row>
    <row r="98" spans="1:3">
      <c r="A98" s="385" t="s">
        <v>502</v>
      </c>
    </row>
    <row r="99" spans="1:3">
      <c r="A99" s="385" t="s">
        <v>524</v>
      </c>
    </row>
    <row r="100" spans="1:3">
      <c r="A100" s="385" t="s">
        <v>503</v>
      </c>
    </row>
    <row r="101" spans="1:3">
      <c r="A101" s="385" t="s">
        <v>504</v>
      </c>
    </row>
    <row r="102" spans="1:3">
      <c r="A102" s="385" t="s">
        <v>505</v>
      </c>
    </row>
    <row r="103" spans="1:3">
      <c r="A103" s="385" t="s">
        <v>506</v>
      </c>
    </row>
    <row r="104" spans="1:3">
      <c r="A104" s="385" t="s">
        <v>507</v>
      </c>
    </row>
    <row r="105" spans="1:3">
      <c r="A105" s="385" t="s">
        <v>508</v>
      </c>
    </row>
    <row r="106" spans="1:3">
      <c r="A106" s="385" t="s">
        <v>509</v>
      </c>
    </row>
    <row r="107" spans="1:3">
      <c r="A107" s="385" t="s">
        <v>510</v>
      </c>
    </row>
    <row r="108" spans="1:3">
      <c r="A108" s="385"/>
    </row>
    <row r="109" spans="1:3">
      <c r="C109" s="314">
        <f>+LEN(C96)</f>
        <v>284</v>
      </c>
    </row>
    <row r="110" spans="1:3">
      <c r="A110" s="314" t="s">
        <v>525</v>
      </c>
      <c r="C110" s="316">
        <f>SUM(C83:C94)</f>
        <v>0</v>
      </c>
    </row>
  </sheetData>
  <mergeCells count="1">
    <mergeCell ref="C61:F63"/>
  </mergeCells>
  <phoneticPr fontId="37" type="noConversion"/>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A100"/>
  <sheetViews>
    <sheetView topLeftCell="A55" zoomScale="70" zoomScaleNormal="70" workbookViewId="0">
      <selection activeCell="A21" sqref="A21"/>
    </sheetView>
  </sheetViews>
  <sheetFormatPr baseColWidth="10" defaultColWidth="14.42578125" defaultRowHeight="15" customHeight="1"/>
  <cols>
    <col min="1" max="1" width="19.42578125" customWidth="1"/>
    <col min="2" max="25" width="11" customWidth="1"/>
    <col min="26" max="27" width="12.140625" customWidth="1"/>
    <col min="28" max="31" width="8.140625" customWidth="1"/>
    <col min="32" max="32" width="9.42578125" customWidth="1"/>
    <col min="33" max="33" width="8.140625" customWidth="1"/>
    <col min="34" max="38" width="7.85546875" customWidth="1"/>
    <col min="39" max="39" width="11.42578125" customWidth="1"/>
    <col min="40" max="40" width="2.42578125" customWidth="1"/>
    <col min="41" max="41" width="19.42578125" customWidth="1"/>
    <col min="42" max="67" width="11.42578125" customWidth="1"/>
    <col min="68" max="79" width="8.85546875" customWidth="1"/>
  </cols>
  <sheetData>
    <row r="1" spans="1:79" ht="15.75" customHeight="1">
      <c r="A1" s="656" t="s">
        <v>0</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64"/>
      <c r="AQ1" s="464"/>
      <c r="AR1" s="464"/>
      <c r="AS1" s="464"/>
      <c r="AT1" s="464"/>
      <c r="AU1" s="464"/>
      <c r="AV1" s="464"/>
      <c r="AW1" s="464"/>
      <c r="AX1" s="464"/>
      <c r="AY1" s="464"/>
      <c r="AZ1" s="464"/>
      <c r="BA1" s="464"/>
      <c r="BB1" s="464"/>
      <c r="BC1" s="464"/>
      <c r="BD1" s="464"/>
      <c r="BE1" s="464"/>
      <c r="BF1" s="464"/>
      <c r="BG1" s="464"/>
      <c r="BH1" s="464"/>
      <c r="BI1" s="464"/>
      <c r="BJ1" s="464"/>
      <c r="BK1" s="464"/>
      <c r="BL1" s="464"/>
      <c r="BM1" s="464"/>
      <c r="BN1" s="464"/>
      <c r="BO1" s="464"/>
      <c r="BP1" s="464"/>
      <c r="BQ1" s="464"/>
      <c r="BR1" s="464"/>
      <c r="BS1" s="464"/>
      <c r="BT1" s="464"/>
      <c r="BU1" s="464"/>
      <c r="BV1" s="464"/>
      <c r="BW1" s="464"/>
      <c r="BX1" s="473"/>
      <c r="BY1" s="663" t="s">
        <v>1</v>
      </c>
      <c r="BZ1" s="464"/>
      <c r="CA1" s="473"/>
    </row>
    <row r="2" spans="1:79" ht="15.75" customHeight="1">
      <c r="A2" s="656" t="s">
        <v>2</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c r="BL2" s="464"/>
      <c r="BM2" s="464"/>
      <c r="BN2" s="464"/>
      <c r="BO2" s="464"/>
      <c r="BP2" s="464"/>
      <c r="BQ2" s="464"/>
      <c r="BR2" s="464"/>
      <c r="BS2" s="464"/>
      <c r="BT2" s="464"/>
      <c r="BU2" s="464"/>
      <c r="BV2" s="464"/>
      <c r="BW2" s="464"/>
      <c r="BX2" s="473"/>
      <c r="BY2" s="663" t="s">
        <v>3</v>
      </c>
      <c r="BZ2" s="464"/>
      <c r="CA2" s="473"/>
    </row>
    <row r="3" spans="1:79" ht="25.5" customHeight="1">
      <c r="A3" s="656" t="s">
        <v>201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BL3" s="464"/>
      <c r="BM3" s="464"/>
      <c r="BN3" s="464"/>
      <c r="BO3" s="464"/>
      <c r="BP3" s="464"/>
      <c r="BQ3" s="464"/>
      <c r="BR3" s="464"/>
      <c r="BS3" s="464"/>
      <c r="BT3" s="464"/>
      <c r="BU3" s="464"/>
      <c r="BV3" s="464"/>
      <c r="BW3" s="464"/>
      <c r="BX3" s="473"/>
      <c r="BY3" s="663" t="s">
        <v>5</v>
      </c>
      <c r="BZ3" s="464"/>
      <c r="CA3" s="473"/>
    </row>
    <row r="4" spans="1:79" ht="15.75" customHeight="1">
      <c r="A4" s="656" t="s">
        <v>202</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c r="BP4" s="464"/>
      <c r="BQ4" s="464"/>
      <c r="BR4" s="464"/>
      <c r="BS4" s="464"/>
      <c r="BT4" s="464"/>
      <c r="BU4" s="464"/>
      <c r="BV4" s="464"/>
      <c r="BW4" s="464"/>
      <c r="BX4" s="473"/>
      <c r="BY4" s="662" t="s">
        <v>203</v>
      </c>
      <c r="BZ4" s="509"/>
      <c r="CA4" s="518"/>
    </row>
    <row r="5" spans="1:79" ht="25.5" customHeight="1">
      <c r="A5" s="664" t="s">
        <v>204</v>
      </c>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6"/>
      <c r="AN5" s="165"/>
      <c r="AO5" s="664" t="s">
        <v>205</v>
      </c>
      <c r="AP5" s="485"/>
      <c r="AQ5" s="485"/>
      <c r="AR5" s="485"/>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6"/>
    </row>
    <row r="6" spans="1:79" ht="27.75" customHeight="1">
      <c r="A6" s="76" t="s">
        <v>206</v>
      </c>
      <c r="B6" s="661"/>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4"/>
      <c r="AR6" s="464"/>
      <c r="AS6" s="464"/>
      <c r="AT6" s="464"/>
      <c r="AU6" s="464"/>
      <c r="AV6" s="464"/>
      <c r="AW6" s="464"/>
      <c r="AX6" s="464"/>
      <c r="AY6" s="464"/>
      <c r="AZ6" s="464"/>
      <c r="BA6" s="464"/>
      <c r="BB6" s="464"/>
      <c r="BC6" s="464"/>
      <c r="BD6" s="464"/>
      <c r="BE6" s="464"/>
      <c r="BF6" s="464"/>
      <c r="BG6" s="464"/>
      <c r="BH6" s="464"/>
      <c r="BI6" s="464"/>
      <c r="BJ6" s="464"/>
      <c r="BK6" s="464"/>
      <c r="BL6" s="464"/>
      <c r="BM6" s="464"/>
      <c r="BN6" s="464"/>
      <c r="BO6" s="464"/>
      <c r="BP6" s="464"/>
      <c r="BQ6" s="464"/>
      <c r="BR6" s="464"/>
      <c r="BS6" s="464"/>
      <c r="BT6" s="464"/>
      <c r="BU6" s="464"/>
      <c r="BV6" s="464"/>
      <c r="BW6" s="464"/>
      <c r="BX6" s="464"/>
      <c r="BY6" s="464"/>
      <c r="BZ6" s="464"/>
      <c r="CA6" s="473"/>
    </row>
    <row r="7" spans="1:79" ht="28.5" customHeight="1">
      <c r="A7" s="166" t="s">
        <v>207</v>
      </c>
      <c r="B7" s="659"/>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4"/>
      <c r="BL7" s="464"/>
      <c r="BM7" s="464"/>
      <c r="BN7" s="464"/>
      <c r="BO7" s="464"/>
      <c r="BP7" s="464"/>
      <c r="BQ7" s="464"/>
      <c r="BR7" s="464"/>
      <c r="BS7" s="464"/>
      <c r="BT7" s="464"/>
      <c r="BU7" s="464"/>
      <c r="BV7" s="464"/>
      <c r="BW7" s="464"/>
      <c r="BX7" s="464"/>
      <c r="BY7" s="464"/>
      <c r="BZ7" s="464"/>
      <c r="CA7" s="473"/>
    </row>
    <row r="8" spans="1:79" ht="6" customHeight="1">
      <c r="A8" s="167"/>
      <c r="B8" s="167"/>
      <c r="C8" s="167"/>
      <c r="D8" s="167"/>
      <c r="E8" s="167"/>
      <c r="F8" s="167"/>
      <c r="G8" s="167"/>
      <c r="H8" s="167"/>
      <c r="I8" s="167"/>
      <c r="J8" s="167"/>
      <c r="K8" s="167"/>
      <c r="L8" s="167"/>
      <c r="M8" s="167"/>
      <c r="N8" s="167"/>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5"/>
      <c r="AO8" s="167"/>
      <c r="AP8" s="168"/>
      <c r="AQ8" s="168"/>
      <c r="AR8" s="168"/>
      <c r="AS8" s="168"/>
      <c r="AT8" s="168"/>
      <c r="AU8" s="168"/>
      <c r="AV8" s="168"/>
      <c r="AW8" s="168"/>
      <c r="AX8" s="168"/>
      <c r="AY8" s="168"/>
      <c r="AZ8" s="168"/>
      <c r="BA8" s="168"/>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row>
    <row r="9" spans="1:79" ht="30" customHeight="1">
      <c r="A9" s="660" t="s">
        <v>208</v>
      </c>
      <c r="B9" s="659" t="s">
        <v>28</v>
      </c>
      <c r="C9" s="473"/>
      <c r="D9" s="659" t="s">
        <v>29</v>
      </c>
      <c r="E9" s="473"/>
      <c r="F9" s="659" t="s">
        <v>30</v>
      </c>
      <c r="G9" s="473"/>
      <c r="H9" s="659" t="s">
        <v>31</v>
      </c>
      <c r="I9" s="473"/>
      <c r="J9" s="659" t="s">
        <v>32</v>
      </c>
      <c r="K9" s="473"/>
      <c r="L9" s="659" t="s">
        <v>33</v>
      </c>
      <c r="M9" s="473"/>
      <c r="N9" s="659" t="s">
        <v>34</v>
      </c>
      <c r="O9" s="473"/>
      <c r="P9" s="659" t="s">
        <v>35</v>
      </c>
      <c r="Q9" s="473"/>
      <c r="R9" s="659" t="s">
        <v>36</v>
      </c>
      <c r="S9" s="473"/>
      <c r="T9" s="659" t="s">
        <v>37</v>
      </c>
      <c r="U9" s="473"/>
      <c r="V9" s="659" t="s">
        <v>38</v>
      </c>
      <c r="W9" s="473"/>
      <c r="X9" s="659" t="s">
        <v>39</v>
      </c>
      <c r="Y9" s="473"/>
      <c r="Z9" s="659" t="s">
        <v>209</v>
      </c>
      <c r="AA9" s="473"/>
      <c r="AB9" s="659" t="s">
        <v>210</v>
      </c>
      <c r="AC9" s="464"/>
      <c r="AD9" s="464"/>
      <c r="AE9" s="464"/>
      <c r="AF9" s="464"/>
      <c r="AG9" s="473"/>
      <c r="AH9" s="659" t="s">
        <v>211</v>
      </c>
      <c r="AI9" s="464"/>
      <c r="AJ9" s="464"/>
      <c r="AK9" s="464"/>
      <c r="AL9" s="464"/>
      <c r="AM9" s="473"/>
      <c r="AN9" s="165"/>
      <c r="AO9" s="660" t="s">
        <v>208</v>
      </c>
      <c r="AP9" s="659" t="s">
        <v>28</v>
      </c>
      <c r="AQ9" s="473"/>
      <c r="AR9" s="659" t="s">
        <v>29</v>
      </c>
      <c r="AS9" s="473"/>
      <c r="AT9" s="659" t="s">
        <v>30</v>
      </c>
      <c r="AU9" s="473"/>
      <c r="AV9" s="659" t="s">
        <v>31</v>
      </c>
      <c r="AW9" s="473"/>
      <c r="AX9" s="659" t="s">
        <v>32</v>
      </c>
      <c r="AY9" s="473"/>
      <c r="AZ9" s="659" t="s">
        <v>33</v>
      </c>
      <c r="BA9" s="473"/>
      <c r="BB9" s="659" t="s">
        <v>34</v>
      </c>
      <c r="BC9" s="473"/>
      <c r="BD9" s="659" t="s">
        <v>35</v>
      </c>
      <c r="BE9" s="473"/>
      <c r="BF9" s="659" t="s">
        <v>36</v>
      </c>
      <c r="BG9" s="473"/>
      <c r="BH9" s="659" t="s">
        <v>37</v>
      </c>
      <c r="BI9" s="473"/>
      <c r="BJ9" s="659" t="s">
        <v>38</v>
      </c>
      <c r="BK9" s="473"/>
      <c r="BL9" s="659" t="s">
        <v>39</v>
      </c>
      <c r="BM9" s="473"/>
      <c r="BN9" s="659" t="s">
        <v>209</v>
      </c>
      <c r="BO9" s="473"/>
      <c r="BP9" s="659" t="s">
        <v>210</v>
      </c>
      <c r="BQ9" s="464"/>
      <c r="BR9" s="464"/>
      <c r="BS9" s="464"/>
      <c r="BT9" s="464"/>
      <c r="BU9" s="473"/>
      <c r="BV9" s="659" t="s">
        <v>211</v>
      </c>
      <c r="BW9" s="464"/>
      <c r="BX9" s="464"/>
      <c r="BY9" s="464"/>
      <c r="BZ9" s="464"/>
      <c r="CA9" s="473"/>
    </row>
    <row r="10" spans="1:79" ht="36" customHeight="1">
      <c r="A10" s="507"/>
      <c r="B10" s="145" t="s">
        <v>212</v>
      </c>
      <c r="C10" s="145" t="s">
        <v>213</v>
      </c>
      <c r="D10" s="145" t="s">
        <v>212</v>
      </c>
      <c r="E10" s="145" t="s">
        <v>213</v>
      </c>
      <c r="F10" s="145" t="s">
        <v>212</v>
      </c>
      <c r="G10" s="145" t="s">
        <v>213</v>
      </c>
      <c r="H10" s="145" t="s">
        <v>212</v>
      </c>
      <c r="I10" s="145" t="s">
        <v>213</v>
      </c>
      <c r="J10" s="145" t="s">
        <v>212</v>
      </c>
      <c r="K10" s="145" t="s">
        <v>213</v>
      </c>
      <c r="L10" s="145" t="s">
        <v>212</v>
      </c>
      <c r="M10" s="145" t="s">
        <v>213</v>
      </c>
      <c r="N10" s="145" t="s">
        <v>212</v>
      </c>
      <c r="O10" s="145" t="s">
        <v>213</v>
      </c>
      <c r="P10" s="145" t="s">
        <v>212</v>
      </c>
      <c r="Q10" s="145" t="s">
        <v>213</v>
      </c>
      <c r="R10" s="145" t="s">
        <v>212</v>
      </c>
      <c r="S10" s="145" t="s">
        <v>213</v>
      </c>
      <c r="T10" s="145" t="s">
        <v>212</v>
      </c>
      <c r="U10" s="145" t="s">
        <v>213</v>
      </c>
      <c r="V10" s="145" t="s">
        <v>212</v>
      </c>
      <c r="W10" s="145" t="s">
        <v>213</v>
      </c>
      <c r="X10" s="145" t="s">
        <v>212</v>
      </c>
      <c r="Y10" s="145" t="s">
        <v>213</v>
      </c>
      <c r="Z10" s="145" t="s">
        <v>212</v>
      </c>
      <c r="AA10" s="145" t="s">
        <v>213</v>
      </c>
      <c r="AB10" s="169" t="s">
        <v>214</v>
      </c>
      <c r="AC10" s="169" t="s">
        <v>215</v>
      </c>
      <c r="AD10" s="169" t="s">
        <v>216</v>
      </c>
      <c r="AE10" s="169" t="s">
        <v>217</v>
      </c>
      <c r="AF10" s="170" t="s">
        <v>218</v>
      </c>
      <c r="AG10" s="169" t="s">
        <v>219</v>
      </c>
      <c r="AH10" s="145" t="s">
        <v>220</v>
      </c>
      <c r="AI10" s="171" t="s">
        <v>221</v>
      </c>
      <c r="AJ10" s="145" t="s">
        <v>222</v>
      </c>
      <c r="AK10" s="145" t="s">
        <v>223</v>
      </c>
      <c r="AL10" s="145" t="s">
        <v>224</v>
      </c>
      <c r="AM10" s="145" t="s">
        <v>225</v>
      </c>
      <c r="AN10" s="165"/>
      <c r="AO10" s="507"/>
      <c r="AP10" s="145" t="s">
        <v>212</v>
      </c>
      <c r="AQ10" s="145" t="s">
        <v>213</v>
      </c>
      <c r="AR10" s="145" t="s">
        <v>212</v>
      </c>
      <c r="AS10" s="145" t="s">
        <v>213</v>
      </c>
      <c r="AT10" s="145" t="s">
        <v>212</v>
      </c>
      <c r="AU10" s="145" t="s">
        <v>213</v>
      </c>
      <c r="AV10" s="145" t="s">
        <v>212</v>
      </c>
      <c r="AW10" s="145" t="s">
        <v>213</v>
      </c>
      <c r="AX10" s="145" t="s">
        <v>212</v>
      </c>
      <c r="AY10" s="145" t="s">
        <v>213</v>
      </c>
      <c r="AZ10" s="145" t="s">
        <v>212</v>
      </c>
      <c r="BA10" s="145" t="s">
        <v>213</v>
      </c>
      <c r="BB10" s="145" t="s">
        <v>212</v>
      </c>
      <c r="BC10" s="145" t="s">
        <v>213</v>
      </c>
      <c r="BD10" s="145" t="s">
        <v>212</v>
      </c>
      <c r="BE10" s="145" t="s">
        <v>213</v>
      </c>
      <c r="BF10" s="145" t="s">
        <v>212</v>
      </c>
      <c r="BG10" s="145" t="s">
        <v>213</v>
      </c>
      <c r="BH10" s="145" t="s">
        <v>212</v>
      </c>
      <c r="BI10" s="145" t="s">
        <v>213</v>
      </c>
      <c r="BJ10" s="145" t="s">
        <v>212</v>
      </c>
      <c r="BK10" s="145" t="s">
        <v>213</v>
      </c>
      <c r="BL10" s="145" t="s">
        <v>212</v>
      </c>
      <c r="BM10" s="145" t="s">
        <v>213</v>
      </c>
      <c r="BN10" s="145" t="s">
        <v>212</v>
      </c>
      <c r="BO10" s="145" t="s">
        <v>213</v>
      </c>
      <c r="BP10" s="169" t="s">
        <v>214</v>
      </c>
      <c r="BQ10" s="169" t="s">
        <v>215</v>
      </c>
      <c r="BR10" s="169" t="s">
        <v>216</v>
      </c>
      <c r="BS10" s="169" t="s">
        <v>217</v>
      </c>
      <c r="BT10" s="170" t="s">
        <v>218</v>
      </c>
      <c r="BU10" s="169" t="s">
        <v>219</v>
      </c>
      <c r="BV10" s="172" t="s">
        <v>220</v>
      </c>
      <c r="BW10" s="173" t="s">
        <v>221</v>
      </c>
      <c r="BX10" s="172" t="s">
        <v>222</v>
      </c>
      <c r="BY10" s="172" t="s">
        <v>223</v>
      </c>
      <c r="BZ10" s="172" t="s">
        <v>224</v>
      </c>
      <c r="CA10" s="172" t="s">
        <v>225</v>
      </c>
    </row>
    <row r="11" spans="1:79" ht="13.5" customHeight="1">
      <c r="A11" s="174" t="s">
        <v>226</v>
      </c>
      <c r="B11" s="174"/>
      <c r="C11" s="174"/>
      <c r="D11" s="174"/>
      <c r="E11" s="174"/>
      <c r="F11" s="174"/>
      <c r="G11" s="174"/>
      <c r="H11" s="174"/>
      <c r="I11" s="174"/>
      <c r="J11" s="174"/>
      <c r="K11" s="174"/>
      <c r="L11" s="174"/>
      <c r="M11" s="174"/>
      <c r="N11" s="174"/>
      <c r="O11" s="175"/>
      <c r="P11" s="175"/>
      <c r="Q11" s="175"/>
      <c r="R11" s="175"/>
      <c r="S11" s="175"/>
      <c r="T11" s="175"/>
      <c r="U11" s="175"/>
      <c r="V11" s="175"/>
      <c r="W11" s="175"/>
      <c r="X11" s="175"/>
      <c r="Y11" s="175"/>
      <c r="Z11" s="176">
        <f t="shared" ref="Z11:AA11" si="0">B11+D11+F11+H11+J11+L11+N11+P11+R11+T11+V11+X11</f>
        <v>0</v>
      </c>
      <c r="AA11" s="177">
        <f t="shared" si="0"/>
        <v>0</v>
      </c>
      <c r="AB11" s="178"/>
      <c r="AC11" s="178"/>
      <c r="AD11" s="178"/>
      <c r="AE11" s="178"/>
      <c r="AF11" s="178"/>
      <c r="AG11" s="179"/>
      <c r="AH11" s="179"/>
      <c r="AI11" s="179"/>
      <c r="AJ11" s="179"/>
      <c r="AK11" s="179"/>
      <c r="AL11" s="179"/>
      <c r="AM11" s="180"/>
      <c r="AN11" s="165"/>
      <c r="AO11" s="174" t="s">
        <v>226</v>
      </c>
      <c r="AP11" s="174"/>
      <c r="AQ11" s="174"/>
      <c r="AR11" s="174"/>
      <c r="AS11" s="174"/>
      <c r="AT11" s="174"/>
      <c r="AU11" s="174"/>
      <c r="AV11" s="174"/>
      <c r="AW11" s="174"/>
      <c r="AX11" s="174"/>
      <c r="AY11" s="174"/>
      <c r="AZ11" s="174"/>
      <c r="BA11" s="174"/>
      <c r="BB11" s="174"/>
      <c r="BC11" s="175"/>
      <c r="BD11" s="175"/>
      <c r="BE11" s="175"/>
      <c r="BF11" s="175"/>
      <c r="BG11" s="175"/>
      <c r="BH11" s="175"/>
      <c r="BI11" s="175"/>
      <c r="BJ11" s="175"/>
      <c r="BK11" s="175"/>
      <c r="BL11" s="175"/>
      <c r="BM11" s="175"/>
      <c r="BN11" s="176">
        <f t="shared" ref="BN11:BO11" si="1">AP11+AR11+AT11+AV11+AX11+AZ11+BB11+BD11+BF11+BH11+BJ11+BL11</f>
        <v>0</v>
      </c>
      <c r="BO11" s="177">
        <f t="shared" si="1"/>
        <v>0</v>
      </c>
      <c r="BP11" s="179"/>
      <c r="BQ11" s="179"/>
      <c r="BR11" s="179"/>
      <c r="BS11" s="179"/>
      <c r="BT11" s="179"/>
      <c r="BU11" s="179"/>
      <c r="BV11" s="179"/>
      <c r="BW11" s="179"/>
      <c r="BX11" s="179"/>
      <c r="BY11" s="179"/>
      <c r="BZ11" s="179"/>
      <c r="CA11" s="180"/>
    </row>
    <row r="12" spans="1:79" ht="13.5" customHeight="1">
      <c r="A12" s="174" t="s">
        <v>227</v>
      </c>
      <c r="B12" s="174"/>
      <c r="C12" s="174"/>
      <c r="D12" s="174"/>
      <c r="E12" s="174"/>
      <c r="F12" s="174"/>
      <c r="G12" s="174"/>
      <c r="H12" s="174"/>
      <c r="I12" s="174"/>
      <c r="J12" s="174"/>
      <c r="K12" s="174"/>
      <c r="L12" s="174"/>
      <c r="M12" s="174"/>
      <c r="N12" s="174"/>
      <c r="O12" s="175"/>
      <c r="P12" s="175"/>
      <c r="Q12" s="175"/>
      <c r="R12" s="175"/>
      <c r="S12" s="175"/>
      <c r="T12" s="175"/>
      <c r="U12" s="175"/>
      <c r="V12" s="175"/>
      <c r="W12" s="175"/>
      <c r="X12" s="175"/>
      <c r="Y12" s="175"/>
      <c r="Z12" s="176">
        <f t="shared" ref="Z12:AA12" si="2">B12+D12+F12+H12+J12+L12+N12+P12+R12+T12+V12+X12</f>
        <v>0</v>
      </c>
      <c r="AA12" s="177">
        <f t="shared" si="2"/>
        <v>0</v>
      </c>
      <c r="AB12" s="178"/>
      <c r="AC12" s="178"/>
      <c r="AD12" s="178"/>
      <c r="AE12" s="178"/>
      <c r="AF12" s="178"/>
      <c r="AG12" s="179"/>
      <c r="AH12" s="179"/>
      <c r="AI12" s="179"/>
      <c r="AJ12" s="179"/>
      <c r="AK12" s="179"/>
      <c r="AL12" s="179"/>
      <c r="AM12" s="179"/>
      <c r="AN12" s="165"/>
      <c r="AO12" s="174" t="s">
        <v>227</v>
      </c>
      <c r="AP12" s="174"/>
      <c r="AQ12" s="174"/>
      <c r="AR12" s="174"/>
      <c r="AS12" s="174"/>
      <c r="AT12" s="174"/>
      <c r="AU12" s="174"/>
      <c r="AV12" s="174"/>
      <c r="AW12" s="174"/>
      <c r="AX12" s="174"/>
      <c r="AY12" s="174"/>
      <c r="AZ12" s="174"/>
      <c r="BA12" s="174"/>
      <c r="BB12" s="174"/>
      <c r="BC12" s="175"/>
      <c r="BD12" s="175"/>
      <c r="BE12" s="175"/>
      <c r="BF12" s="175"/>
      <c r="BG12" s="175"/>
      <c r="BH12" s="175"/>
      <c r="BI12" s="175"/>
      <c r="BJ12" s="175"/>
      <c r="BK12" s="175"/>
      <c r="BL12" s="175"/>
      <c r="BM12" s="175"/>
      <c r="BN12" s="176">
        <f t="shared" ref="BN12:BO12" si="3">AP12+AR12+AT12+AV12+AX12+AZ12+BB12+BD12+BF12+BH12+BJ12+BL12</f>
        <v>0</v>
      </c>
      <c r="BO12" s="177">
        <f t="shared" si="3"/>
        <v>0</v>
      </c>
      <c r="BP12" s="179"/>
      <c r="BQ12" s="179"/>
      <c r="BR12" s="179"/>
      <c r="BS12" s="179"/>
      <c r="BT12" s="179"/>
      <c r="BU12" s="179"/>
      <c r="BV12" s="179"/>
      <c r="BW12" s="179"/>
      <c r="BX12" s="179"/>
      <c r="BY12" s="179"/>
      <c r="BZ12" s="179"/>
      <c r="CA12" s="179"/>
    </row>
    <row r="13" spans="1:79" ht="13.5" customHeight="1">
      <c r="A13" s="174" t="s">
        <v>228</v>
      </c>
      <c r="B13" s="174"/>
      <c r="C13" s="174"/>
      <c r="D13" s="174"/>
      <c r="E13" s="174"/>
      <c r="F13" s="174"/>
      <c r="G13" s="174"/>
      <c r="H13" s="174"/>
      <c r="I13" s="174"/>
      <c r="J13" s="174"/>
      <c r="K13" s="174"/>
      <c r="L13" s="174"/>
      <c r="M13" s="174"/>
      <c r="N13" s="174"/>
      <c r="O13" s="175"/>
      <c r="P13" s="175"/>
      <c r="Q13" s="175"/>
      <c r="R13" s="175"/>
      <c r="S13" s="175"/>
      <c r="T13" s="175"/>
      <c r="U13" s="175"/>
      <c r="V13" s="175"/>
      <c r="W13" s="175"/>
      <c r="X13" s="175"/>
      <c r="Y13" s="175"/>
      <c r="Z13" s="176">
        <f t="shared" ref="Z13:AA13" si="4">B13+D13+F13+H13+J13+L13+N13+P13+R13+T13+V13+X13</f>
        <v>0</v>
      </c>
      <c r="AA13" s="177">
        <f t="shared" si="4"/>
        <v>0</v>
      </c>
      <c r="AB13" s="178"/>
      <c r="AC13" s="178"/>
      <c r="AD13" s="178"/>
      <c r="AE13" s="178"/>
      <c r="AF13" s="178"/>
      <c r="AG13" s="179"/>
      <c r="AH13" s="179"/>
      <c r="AI13" s="179"/>
      <c r="AJ13" s="179"/>
      <c r="AK13" s="179"/>
      <c r="AL13" s="179"/>
      <c r="AM13" s="179"/>
      <c r="AN13" s="165"/>
      <c r="AO13" s="174" t="s">
        <v>228</v>
      </c>
      <c r="AP13" s="174"/>
      <c r="AQ13" s="174"/>
      <c r="AR13" s="174"/>
      <c r="AS13" s="174"/>
      <c r="AT13" s="174"/>
      <c r="AU13" s="174"/>
      <c r="AV13" s="174"/>
      <c r="AW13" s="174"/>
      <c r="AX13" s="174"/>
      <c r="AY13" s="174"/>
      <c r="AZ13" s="174"/>
      <c r="BA13" s="174"/>
      <c r="BB13" s="174"/>
      <c r="BC13" s="175"/>
      <c r="BD13" s="175"/>
      <c r="BE13" s="175"/>
      <c r="BF13" s="175"/>
      <c r="BG13" s="175"/>
      <c r="BH13" s="175"/>
      <c r="BI13" s="175"/>
      <c r="BJ13" s="175"/>
      <c r="BK13" s="175"/>
      <c r="BL13" s="175"/>
      <c r="BM13" s="175"/>
      <c r="BN13" s="176">
        <f t="shared" ref="BN13:BO13" si="5">AP13+AR13+AT13+AV13+AX13+AZ13+BB13+BD13+BF13+BH13+BJ13+BL13</f>
        <v>0</v>
      </c>
      <c r="BO13" s="177">
        <f t="shared" si="5"/>
        <v>0</v>
      </c>
      <c r="BP13" s="179"/>
      <c r="BQ13" s="179"/>
      <c r="BR13" s="179"/>
      <c r="BS13" s="179"/>
      <c r="BT13" s="179"/>
      <c r="BU13" s="179"/>
      <c r="BV13" s="179"/>
      <c r="BW13" s="179"/>
      <c r="BX13" s="179"/>
      <c r="BY13" s="179"/>
      <c r="BZ13" s="179"/>
      <c r="CA13" s="179"/>
    </row>
    <row r="14" spans="1:79" ht="13.5" customHeight="1">
      <c r="A14" s="174" t="s">
        <v>229</v>
      </c>
      <c r="B14" s="174"/>
      <c r="C14" s="174"/>
      <c r="D14" s="174"/>
      <c r="E14" s="174"/>
      <c r="F14" s="174"/>
      <c r="G14" s="174"/>
      <c r="H14" s="174"/>
      <c r="I14" s="174"/>
      <c r="J14" s="174"/>
      <c r="K14" s="174"/>
      <c r="L14" s="174"/>
      <c r="M14" s="174"/>
      <c r="N14" s="174"/>
      <c r="O14" s="175"/>
      <c r="P14" s="175"/>
      <c r="Q14" s="175"/>
      <c r="R14" s="175"/>
      <c r="S14" s="175"/>
      <c r="T14" s="175"/>
      <c r="U14" s="175"/>
      <c r="V14" s="175"/>
      <c r="W14" s="175"/>
      <c r="X14" s="175"/>
      <c r="Y14" s="175"/>
      <c r="Z14" s="176">
        <f t="shared" ref="Z14:AA14" si="6">B14+D14+F14+H14+J14+L14+N14+P14+R14+T14+V14+X14</f>
        <v>0</v>
      </c>
      <c r="AA14" s="177">
        <f t="shared" si="6"/>
        <v>0</v>
      </c>
      <c r="AB14" s="178"/>
      <c r="AC14" s="178"/>
      <c r="AD14" s="178"/>
      <c r="AE14" s="178"/>
      <c r="AF14" s="178"/>
      <c r="AG14" s="179"/>
      <c r="AH14" s="179"/>
      <c r="AI14" s="179"/>
      <c r="AJ14" s="179"/>
      <c r="AK14" s="179"/>
      <c r="AL14" s="179"/>
      <c r="AM14" s="179"/>
      <c r="AN14" s="165"/>
      <c r="AO14" s="174" t="s">
        <v>229</v>
      </c>
      <c r="AP14" s="174"/>
      <c r="AQ14" s="174"/>
      <c r="AR14" s="174"/>
      <c r="AS14" s="174"/>
      <c r="AT14" s="174"/>
      <c r="AU14" s="174"/>
      <c r="AV14" s="174"/>
      <c r="AW14" s="174"/>
      <c r="AX14" s="174"/>
      <c r="AY14" s="174"/>
      <c r="AZ14" s="174"/>
      <c r="BA14" s="174"/>
      <c r="BB14" s="174"/>
      <c r="BC14" s="175"/>
      <c r="BD14" s="175"/>
      <c r="BE14" s="175"/>
      <c r="BF14" s="175"/>
      <c r="BG14" s="175"/>
      <c r="BH14" s="175"/>
      <c r="BI14" s="175"/>
      <c r="BJ14" s="175"/>
      <c r="BK14" s="175"/>
      <c r="BL14" s="175"/>
      <c r="BM14" s="175"/>
      <c r="BN14" s="176">
        <f t="shared" ref="BN14:BO14" si="7">AP14+AR14+AT14+AV14+AX14+AZ14+BB14+BD14+BF14+BH14+BJ14+BL14</f>
        <v>0</v>
      </c>
      <c r="BO14" s="177">
        <f t="shared" si="7"/>
        <v>0</v>
      </c>
      <c r="BP14" s="179"/>
      <c r="BQ14" s="179"/>
      <c r="BR14" s="179"/>
      <c r="BS14" s="179"/>
      <c r="BT14" s="179"/>
      <c r="BU14" s="179"/>
      <c r="BV14" s="179"/>
      <c r="BW14" s="179"/>
      <c r="BX14" s="179"/>
      <c r="BY14" s="179"/>
      <c r="BZ14" s="179"/>
      <c r="CA14" s="179"/>
    </row>
    <row r="15" spans="1:79" ht="13.5" customHeight="1">
      <c r="A15" s="174" t="s">
        <v>230</v>
      </c>
      <c r="B15" s="174"/>
      <c r="C15" s="174"/>
      <c r="D15" s="174"/>
      <c r="E15" s="174"/>
      <c r="F15" s="174"/>
      <c r="G15" s="174"/>
      <c r="H15" s="174"/>
      <c r="I15" s="174"/>
      <c r="J15" s="174"/>
      <c r="K15" s="174"/>
      <c r="L15" s="174"/>
      <c r="M15" s="174"/>
      <c r="N15" s="174"/>
      <c r="O15" s="175"/>
      <c r="P15" s="175"/>
      <c r="Q15" s="175"/>
      <c r="R15" s="175"/>
      <c r="S15" s="175"/>
      <c r="T15" s="175"/>
      <c r="U15" s="175"/>
      <c r="V15" s="175"/>
      <c r="W15" s="175"/>
      <c r="X15" s="175"/>
      <c r="Y15" s="175"/>
      <c r="Z15" s="176">
        <f t="shared" ref="Z15:AA15" si="8">B15+D15+F15+H15+J15+L15+N15+P15+R15+T15+V15+X15</f>
        <v>0</v>
      </c>
      <c r="AA15" s="177">
        <f t="shared" si="8"/>
        <v>0</v>
      </c>
      <c r="AB15" s="178"/>
      <c r="AC15" s="178"/>
      <c r="AD15" s="178"/>
      <c r="AE15" s="178"/>
      <c r="AF15" s="178"/>
      <c r="AG15" s="179"/>
      <c r="AH15" s="179"/>
      <c r="AI15" s="179"/>
      <c r="AJ15" s="179"/>
      <c r="AK15" s="179"/>
      <c r="AL15" s="179"/>
      <c r="AM15" s="179"/>
      <c r="AN15" s="165"/>
      <c r="AO15" s="174" t="s">
        <v>230</v>
      </c>
      <c r="AP15" s="174"/>
      <c r="AQ15" s="174"/>
      <c r="AR15" s="174"/>
      <c r="AS15" s="174"/>
      <c r="AT15" s="174"/>
      <c r="AU15" s="174"/>
      <c r="AV15" s="174"/>
      <c r="AW15" s="174"/>
      <c r="AX15" s="174"/>
      <c r="AY15" s="174"/>
      <c r="AZ15" s="174"/>
      <c r="BA15" s="174"/>
      <c r="BB15" s="174"/>
      <c r="BC15" s="175"/>
      <c r="BD15" s="175"/>
      <c r="BE15" s="175"/>
      <c r="BF15" s="175"/>
      <c r="BG15" s="175"/>
      <c r="BH15" s="175"/>
      <c r="BI15" s="175"/>
      <c r="BJ15" s="175"/>
      <c r="BK15" s="175"/>
      <c r="BL15" s="175"/>
      <c r="BM15" s="175"/>
      <c r="BN15" s="176">
        <f t="shared" ref="BN15:BO15" si="9">AP15+AR15+AT15+AV15+AX15+AZ15+BB15+BD15+BF15+BH15+BJ15+BL15</f>
        <v>0</v>
      </c>
      <c r="BO15" s="177">
        <f t="shared" si="9"/>
        <v>0</v>
      </c>
      <c r="BP15" s="179"/>
      <c r="BQ15" s="179"/>
      <c r="BR15" s="179"/>
      <c r="BS15" s="179"/>
      <c r="BT15" s="179"/>
      <c r="BU15" s="179"/>
      <c r="BV15" s="179"/>
      <c r="BW15" s="179"/>
      <c r="BX15" s="179"/>
      <c r="BY15" s="179"/>
      <c r="BZ15" s="179"/>
      <c r="CA15" s="179"/>
    </row>
    <row r="16" spans="1:79" ht="13.5" customHeight="1">
      <c r="A16" s="174" t="s">
        <v>231</v>
      </c>
      <c r="B16" s="174"/>
      <c r="C16" s="174"/>
      <c r="D16" s="174"/>
      <c r="E16" s="174"/>
      <c r="F16" s="174"/>
      <c r="G16" s="174"/>
      <c r="H16" s="174"/>
      <c r="I16" s="174"/>
      <c r="J16" s="174"/>
      <c r="K16" s="174"/>
      <c r="L16" s="174"/>
      <c r="M16" s="174"/>
      <c r="N16" s="174"/>
      <c r="O16" s="175"/>
      <c r="P16" s="175"/>
      <c r="Q16" s="175"/>
      <c r="R16" s="175"/>
      <c r="S16" s="175"/>
      <c r="T16" s="175"/>
      <c r="U16" s="175"/>
      <c r="V16" s="175"/>
      <c r="W16" s="175"/>
      <c r="X16" s="175"/>
      <c r="Y16" s="175"/>
      <c r="Z16" s="176">
        <f t="shared" ref="Z16:AA16" si="10">B16+D16+F16+H16+J16+L16+N16+P16+R16+T16+V16+X16</f>
        <v>0</v>
      </c>
      <c r="AA16" s="177">
        <f t="shared" si="10"/>
        <v>0</v>
      </c>
      <c r="AB16" s="178"/>
      <c r="AC16" s="178"/>
      <c r="AD16" s="178"/>
      <c r="AE16" s="178"/>
      <c r="AF16" s="178"/>
      <c r="AG16" s="179"/>
      <c r="AH16" s="179"/>
      <c r="AI16" s="179"/>
      <c r="AJ16" s="179"/>
      <c r="AK16" s="179"/>
      <c r="AL16" s="179"/>
      <c r="AM16" s="179"/>
      <c r="AN16" s="165"/>
      <c r="AO16" s="174" t="s">
        <v>231</v>
      </c>
      <c r="AP16" s="174"/>
      <c r="AQ16" s="174"/>
      <c r="AR16" s="174"/>
      <c r="AS16" s="174"/>
      <c r="AT16" s="174"/>
      <c r="AU16" s="174"/>
      <c r="AV16" s="174"/>
      <c r="AW16" s="174"/>
      <c r="AX16" s="174"/>
      <c r="AY16" s="174"/>
      <c r="AZ16" s="174"/>
      <c r="BA16" s="174"/>
      <c r="BB16" s="174"/>
      <c r="BC16" s="175"/>
      <c r="BD16" s="175"/>
      <c r="BE16" s="175"/>
      <c r="BF16" s="175"/>
      <c r="BG16" s="175"/>
      <c r="BH16" s="175"/>
      <c r="BI16" s="175"/>
      <c r="BJ16" s="175"/>
      <c r="BK16" s="175"/>
      <c r="BL16" s="175"/>
      <c r="BM16" s="175"/>
      <c r="BN16" s="176">
        <f t="shared" ref="BN16:BO16" si="11">AP16+AR16+AT16+AV16+AX16+AZ16+BB16+BD16+BF16+BH16+BJ16+BL16</f>
        <v>0</v>
      </c>
      <c r="BO16" s="177">
        <f t="shared" si="11"/>
        <v>0</v>
      </c>
      <c r="BP16" s="179"/>
      <c r="BQ16" s="179"/>
      <c r="BR16" s="179"/>
      <c r="BS16" s="179"/>
      <c r="BT16" s="179"/>
      <c r="BU16" s="179"/>
      <c r="BV16" s="179"/>
      <c r="BW16" s="179"/>
      <c r="BX16" s="179"/>
      <c r="BY16" s="179"/>
      <c r="BZ16" s="179"/>
      <c r="CA16" s="179"/>
    </row>
    <row r="17" spans="1:79" ht="13.5" customHeight="1">
      <c r="A17" s="174" t="s">
        <v>232</v>
      </c>
      <c r="B17" s="174"/>
      <c r="C17" s="174"/>
      <c r="D17" s="174"/>
      <c r="E17" s="174"/>
      <c r="F17" s="174"/>
      <c r="G17" s="174"/>
      <c r="H17" s="174"/>
      <c r="I17" s="174"/>
      <c r="J17" s="174"/>
      <c r="K17" s="174"/>
      <c r="L17" s="174"/>
      <c r="M17" s="174"/>
      <c r="N17" s="174"/>
      <c r="O17" s="175"/>
      <c r="P17" s="175"/>
      <c r="Q17" s="175"/>
      <c r="R17" s="175"/>
      <c r="S17" s="175"/>
      <c r="T17" s="175"/>
      <c r="U17" s="175"/>
      <c r="V17" s="175"/>
      <c r="W17" s="175"/>
      <c r="X17" s="175"/>
      <c r="Y17" s="175"/>
      <c r="Z17" s="176">
        <f t="shared" ref="Z17:AA17" si="12">B17+D17+F17+H17+J17+L17+N17+P17+R17+T17+V17+X17</f>
        <v>0</v>
      </c>
      <c r="AA17" s="177">
        <f t="shared" si="12"/>
        <v>0</v>
      </c>
      <c r="AB17" s="178"/>
      <c r="AC17" s="178"/>
      <c r="AD17" s="178"/>
      <c r="AE17" s="178"/>
      <c r="AF17" s="178"/>
      <c r="AG17" s="179"/>
      <c r="AH17" s="179"/>
      <c r="AI17" s="179"/>
      <c r="AJ17" s="179"/>
      <c r="AK17" s="179"/>
      <c r="AL17" s="179"/>
      <c r="AM17" s="179"/>
      <c r="AN17" s="165"/>
      <c r="AO17" s="174" t="s">
        <v>232</v>
      </c>
      <c r="AP17" s="174"/>
      <c r="AQ17" s="174"/>
      <c r="AR17" s="174"/>
      <c r="AS17" s="174"/>
      <c r="AT17" s="174"/>
      <c r="AU17" s="174"/>
      <c r="AV17" s="174"/>
      <c r="AW17" s="174"/>
      <c r="AX17" s="174"/>
      <c r="AY17" s="174"/>
      <c r="AZ17" s="174"/>
      <c r="BA17" s="174"/>
      <c r="BB17" s="174"/>
      <c r="BC17" s="175"/>
      <c r="BD17" s="175"/>
      <c r="BE17" s="175"/>
      <c r="BF17" s="175"/>
      <c r="BG17" s="175"/>
      <c r="BH17" s="175"/>
      <c r="BI17" s="175"/>
      <c r="BJ17" s="175"/>
      <c r="BK17" s="175"/>
      <c r="BL17" s="175"/>
      <c r="BM17" s="175"/>
      <c r="BN17" s="176">
        <f t="shared" ref="BN17:BO17" si="13">AP17+AR17+AT17+AV17+AX17+AZ17+BB17+BD17+BF17+BH17+BJ17+BL17</f>
        <v>0</v>
      </c>
      <c r="BO17" s="177">
        <f t="shared" si="13"/>
        <v>0</v>
      </c>
      <c r="BP17" s="179"/>
      <c r="BQ17" s="179"/>
      <c r="BR17" s="179"/>
      <c r="BS17" s="179"/>
      <c r="BT17" s="179"/>
      <c r="BU17" s="179"/>
      <c r="BV17" s="179"/>
      <c r="BW17" s="179"/>
      <c r="BX17" s="179"/>
      <c r="BY17" s="179"/>
      <c r="BZ17" s="179"/>
      <c r="CA17" s="179"/>
    </row>
    <row r="18" spans="1:79" ht="13.5" customHeight="1">
      <c r="A18" s="174" t="s">
        <v>233</v>
      </c>
      <c r="B18" s="174"/>
      <c r="C18" s="174"/>
      <c r="D18" s="174"/>
      <c r="E18" s="174"/>
      <c r="F18" s="174"/>
      <c r="G18" s="174"/>
      <c r="H18" s="174"/>
      <c r="I18" s="174"/>
      <c r="J18" s="174"/>
      <c r="K18" s="174"/>
      <c r="L18" s="174"/>
      <c r="M18" s="174"/>
      <c r="N18" s="174"/>
      <c r="O18" s="175"/>
      <c r="P18" s="175"/>
      <c r="Q18" s="175"/>
      <c r="R18" s="175"/>
      <c r="S18" s="175"/>
      <c r="T18" s="175"/>
      <c r="U18" s="175"/>
      <c r="V18" s="175"/>
      <c r="W18" s="175"/>
      <c r="X18" s="175"/>
      <c r="Y18" s="175"/>
      <c r="Z18" s="176">
        <f t="shared" ref="Z18:AA18" si="14">B18+D18+F18+H18+J18+L18+N18+P18+R18+T18+V18+X18</f>
        <v>0</v>
      </c>
      <c r="AA18" s="177">
        <f t="shared" si="14"/>
        <v>0</v>
      </c>
      <c r="AB18" s="178"/>
      <c r="AC18" s="178"/>
      <c r="AD18" s="178"/>
      <c r="AE18" s="178"/>
      <c r="AF18" s="178"/>
      <c r="AG18" s="179"/>
      <c r="AH18" s="179"/>
      <c r="AI18" s="179"/>
      <c r="AJ18" s="179"/>
      <c r="AK18" s="179"/>
      <c r="AL18" s="179"/>
      <c r="AM18" s="179"/>
      <c r="AN18" s="165"/>
      <c r="AO18" s="174" t="s">
        <v>233</v>
      </c>
      <c r="AP18" s="174"/>
      <c r="AQ18" s="174"/>
      <c r="AR18" s="174"/>
      <c r="AS18" s="174"/>
      <c r="AT18" s="174"/>
      <c r="AU18" s="174"/>
      <c r="AV18" s="174"/>
      <c r="AW18" s="174"/>
      <c r="AX18" s="174"/>
      <c r="AY18" s="174"/>
      <c r="AZ18" s="174"/>
      <c r="BA18" s="174"/>
      <c r="BB18" s="174"/>
      <c r="BC18" s="175"/>
      <c r="BD18" s="175"/>
      <c r="BE18" s="175"/>
      <c r="BF18" s="175"/>
      <c r="BG18" s="175"/>
      <c r="BH18" s="175"/>
      <c r="BI18" s="175"/>
      <c r="BJ18" s="175"/>
      <c r="BK18" s="175"/>
      <c r="BL18" s="175"/>
      <c r="BM18" s="175"/>
      <c r="BN18" s="176">
        <f t="shared" ref="BN18:BO18" si="15">AP18+AR18+AT18+AV18+AX18+AZ18+BB18+BD18+BF18+BH18+BJ18+BL18</f>
        <v>0</v>
      </c>
      <c r="BO18" s="177">
        <f t="shared" si="15"/>
        <v>0</v>
      </c>
      <c r="BP18" s="179"/>
      <c r="BQ18" s="179"/>
      <c r="BR18" s="179"/>
      <c r="BS18" s="179"/>
      <c r="BT18" s="179"/>
      <c r="BU18" s="179"/>
      <c r="BV18" s="179"/>
      <c r="BW18" s="179"/>
      <c r="BX18" s="179"/>
      <c r="BY18" s="179"/>
      <c r="BZ18" s="179"/>
      <c r="CA18" s="179"/>
    </row>
    <row r="19" spans="1:79" ht="13.5" customHeight="1">
      <c r="A19" s="174" t="s">
        <v>234</v>
      </c>
      <c r="B19" s="174"/>
      <c r="C19" s="174"/>
      <c r="D19" s="174"/>
      <c r="E19" s="174"/>
      <c r="F19" s="174"/>
      <c r="G19" s="174"/>
      <c r="H19" s="174"/>
      <c r="I19" s="174"/>
      <c r="J19" s="174"/>
      <c r="K19" s="174"/>
      <c r="L19" s="174"/>
      <c r="M19" s="174"/>
      <c r="N19" s="174"/>
      <c r="O19" s="175"/>
      <c r="P19" s="175"/>
      <c r="Q19" s="175"/>
      <c r="R19" s="175"/>
      <c r="S19" s="175"/>
      <c r="T19" s="175"/>
      <c r="U19" s="175"/>
      <c r="V19" s="175"/>
      <c r="W19" s="175"/>
      <c r="X19" s="175"/>
      <c r="Y19" s="175"/>
      <c r="Z19" s="176">
        <f t="shared" ref="Z19:AA19" si="16">B19+D19+F19+H19+J19+L19+N19+P19+R19+T19+V19+X19</f>
        <v>0</v>
      </c>
      <c r="AA19" s="177">
        <f t="shared" si="16"/>
        <v>0</v>
      </c>
      <c r="AB19" s="178"/>
      <c r="AC19" s="178"/>
      <c r="AD19" s="178"/>
      <c r="AE19" s="178"/>
      <c r="AF19" s="178"/>
      <c r="AG19" s="179"/>
      <c r="AH19" s="179"/>
      <c r="AI19" s="179"/>
      <c r="AJ19" s="179"/>
      <c r="AK19" s="179"/>
      <c r="AL19" s="179"/>
      <c r="AM19" s="179"/>
      <c r="AN19" s="165"/>
      <c r="AO19" s="174" t="s">
        <v>234</v>
      </c>
      <c r="AP19" s="174"/>
      <c r="AQ19" s="174"/>
      <c r="AR19" s="174"/>
      <c r="AS19" s="174"/>
      <c r="AT19" s="174"/>
      <c r="AU19" s="174"/>
      <c r="AV19" s="174"/>
      <c r="AW19" s="174"/>
      <c r="AX19" s="174"/>
      <c r="AY19" s="174"/>
      <c r="AZ19" s="174"/>
      <c r="BA19" s="174"/>
      <c r="BB19" s="174"/>
      <c r="BC19" s="175"/>
      <c r="BD19" s="175"/>
      <c r="BE19" s="175"/>
      <c r="BF19" s="175"/>
      <c r="BG19" s="175"/>
      <c r="BH19" s="175"/>
      <c r="BI19" s="175"/>
      <c r="BJ19" s="175"/>
      <c r="BK19" s="175"/>
      <c r="BL19" s="175"/>
      <c r="BM19" s="175"/>
      <c r="BN19" s="176">
        <f t="shared" ref="BN19:BO19" si="17">AP19+AR19+AT19+AV19+AX19+AZ19+BB19+BD19+BF19+BH19+BJ19+BL19</f>
        <v>0</v>
      </c>
      <c r="BO19" s="177">
        <f t="shared" si="17"/>
        <v>0</v>
      </c>
      <c r="BP19" s="179"/>
      <c r="BQ19" s="179"/>
      <c r="BR19" s="179"/>
      <c r="BS19" s="179"/>
      <c r="BT19" s="179"/>
      <c r="BU19" s="179"/>
      <c r="BV19" s="179"/>
      <c r="BW19" s="179"/>
      <c r="BX19" s="179"/>
      <c r="BY19" s="179"/>
      <c r="BZ19" s="179"/>
      <c r="CA19" s="179"/>
    </row>
    <row r="20" spans="1:79" ht="13.5" customHeight="1">
      <c r="A20" s="174" t="s">
        <v>235</v>
      </c>
      <c r="B20" s="174"/>
      <c r="C20" s="174"/>
      <c r="D20" s="174"/>
      <c r="E20" s="174"/>
      <c r="F20" s="174"/>
      <c r="G20" s="174"/>
      <c r="H20" s="174"/>
      <c r="I20" s="174"/>
      <c r="J20" s="174"/>
      <c r="K20" s="174"/>
      <c r="L20" s="174"/>
      <c r="M20" s="174"/>
      <c r="N20" s="174"/>
      <c r="O20" s="175"/>
      <c r="P20" s="175"/>
      <c r="Q20" s="175"/>
      <c r="R20" s="175"/>
      <c r="S20" s="175"/>
      <c r="T20" s="175"/>
      <c r="U20" s="175"/>
      <c r="V20" s="175"/>
      <c r="W20" s="175"/>
      <c r="X20" s="175"/>
      <c r="Y20" s="175"/>
      <c r="Z20" s="176">
        <f t="shared" ref="Z20:AA20" si="18">B20+D20+F20+H20+J20+L20+N20+P20+R20+T20+V20+X20</f>
        <v>0</v>
      </c>
      <c r="AA20" s="177">
        <f t="shared" si="18"/>
        <v>0</v>
      </c>
      <c r="AB20" s="178"/>
      <c r="AC20" s="178"/>
      <c r="AD20" s="178"/>
      <c r="AE20" s="178"/>
      <c r="AF20" s="178"/>
      <c r="AG20" s="179"/>
      <c r="AH20" s="179"/>
      <c r="AI20" s="179"/>
      <c r="AJ20" s="179"/>
      <c r="AK20" s="179"/>
      <c r="AL20" s="179"/>
      <c r="AM20" s="179"/>
      <c r="AN20" s="165"/>
      <c r="AO20" s="174" t="s">
        <v>235</v>
      </c>
      <c r="AP20" s="174"/>
      <c r="AQ20" s="174"/>
      <c r="AR20" s="174"/>
      <c r="AS20" s="174"/>
      <c r="AT20" s="174"/>
      <c r="AU20" s="174"/>
      <c r="AV20" s="174"/>
      <c r="AW20" s="174"/>
      <c r="AX20" s="174"/>
      <c r="AY20" s="174"/>
      <c r="AZ20" s="174"/>
      <c r="BA20" s="174"/>
      <c r="BB20" s="174"/>
      <c r="BC20" s="175"/>
      <c r="BD20" s="175"/>
      <c r="BE20" s="175"/>
      <c r="BF20" s="175"/>
      <c r="BG20" s="175"/>
      <c r="BH20" s="175"/>
      <c r="BI20" s="175"/>
      <c r="BJ20" s="175"/>
      <c r="BK20" s="175"/>
      <c r="BL20" s="175"/>
      <c r="BM20" s="175"/>
      <c r="BN20" s="176">
        <f t="shared" ref="BN20:BO20" si="19">AP20+AR20+AT20+AV20+AX20+AZ20+BB20+BD20+BF20+BH20+BJ20+BL20</f>
        <v>0</v>
      </c>
      <c r="BO20" s="177">
        <f t="shared" si="19"/>
        <v>0</v>
      </c>
      <c r="BP20" s="179"/>
      <c r="BQ20" s="179"/>
      <c r="BR20" s="179"/>
      <c r="BS20" s="179"/>
      <c r="BT20" s="179"/>
      <c r="BU20" s="179"/>
      <c r="BV20" s="179"/>
      <c r="BW20" s="179"/>
      <c r="BX20" s="179"/>
      <c r="BY20" s="179"/>
      <c r="BZ20" s="179"/>
      <c r="CA20" s="179"/>
    </row>
    <row r="21" spans="1:79" ht="13.5" customHeight="1">
      <c r="A21" s="174" t="s">
        <v>236</v>
      </c>
      <c r="B21" s="174"/>
      <c r="C21" s="174"/>
      <c r="D21" s="174"/>
      <c r="E21" s="174"/>
      <c r="F21" s="174"/>
      <c r="G21" s="174"/>
      <c r="H21" s="174"/>
      <c r="I21" s="174"/>
      <c r="J21" s="174"/>
      <c r="K21" s="174"/>
      <c r="L21" s="174"/>
      <c r="M21" s="174"/>
      <c r="N21" s="174"/>
      <c r="O21" s="175"/>
      <c r="P21" s="175"/>
      <c r="Q21" s="175"/>
      <c r="R21" s="175"/>
      <c r="S21" s="175"/>
      <c r="T21" s="175"/>
      <c r="U21" s="175"/>
      <c r="V21" s="175"/>
      <c r="W21" s="175"/>
      <c r="X21" s="175"/>
      <c r="Y21" s="175"/>
      <c r="Z21" s="176">
        <f t="shared" ref="Z21:AA21" si="20">B21+D21+F21+H21+J21+L21+N21+P21+R21+T21+V21+X21</f>
        <v>0</v>
      </c>
      <c r="AA21" s="177">
        <f t="shared" si="20"/>
        <v>0</v>
      </c>
      <c r="AB21" s="178"/>
      <c r="AC21" s="178"/>
      <c r="AD21" s="178"/>
      <c r="AE21" s="178"/>
      <c r="AF21" s="178"/>
      <c r="AG21" s="179"/>
      <c r="AH21" s="179"/>
      <c r="AI21" s="179"/>
      <c r="AJ21" s="179"/>
      <c r="AK21" s="179"/>
      <c r="AL21" s="179"/>
      <c r="AM21" s="179"/>
      <c r="AN21" s="165"/>
      <c r="AO21" s="174" t="s">
        <v>236</v>
      </c>
      <c r="AP21" s="174"/>
      <c r="AQ21" s="174"/>
      <c r="AR21" s="174"/>
      <c r="AS21" s="174"/>
      <c r="AT21" s="174"/>
      <c r="AU21" s="174"/>
      <c r="AV21" s="174"/>
      <c r="AW21" s="174"/>
      <c r="AX21" s="174"/>
      <c r="AY21" s="174"/>
      <c r="AZ21" s="174"/>
      <c r="BA21" s="174"/>
      <c r="BB21" s="174"/>
      <c r="BC21" s="175"/>
      <c r="BD21" s="175"/>
      <c r="BE21" s="175"/>
      <c r="BF21" s="175"/>
      <c r="BG21" s="175"/>
      <c r="BH21" s="175"/>
      <c r="BI21" s="175"/>
      <c r="BJ21" s="175"/>
      <c r="BK21" s="175"/>
      <c r="BL21" s="175"/>
      <c r="BM21" s="175"/>
      <c r="BN21" s="176">
        <f t="shared" ref="BN21:BO21" si="21">AP21+AR21+AT21+AV21+AX21+AZ21+BB21+BD21+BF21+BH21+BJ21+BL21</f>
        <v>0</v>
      </c>
      <c r="BO21" s="177">
        <f t="shared" si="21"/>
        <v>0</v>
      </c>
      <c r="BP21" s="179"/>
      <c r="BQ21" s="179"/>
      <c r="BR21" s="179"/>
      <c r="BS21" s="179"/>
      <c r="BT21" s="179"/>
      <c r="BU21" s="179"/>
      <c r="BV21" s="179"/>
      <c r="BW21" s="179"/>
      <c r="BX21" s="179"/>
      <c r="BY21" s="179"/>
      <c r="BZ21" s="179"/>
      <c r="CA21" s="179"/>
    </row>
    <row r="22" spans="1:79" ht="13.5" customHeight="1">
      <c r="A22" s="174" t="s">
        <v>237</v>
      </c>
      <c r="B22" s="174"/>
      <c r="C22" s="174"/>
      <c r="D22" s="174"/>
      <c r="E22" s="174"/>
      <c r="F22" s="174"/>
      <c r="G22" s="174"/>
      <c r="H22" s="174"/>
      <c r="I22" s="174"/>
      <c r="J22" s="174"/>
      <c r="K22" s="174"/>
      <c r="L22" s="174"/>
      <c r="M22" s="174"/>
      <c r="N22" s="174"/>
      <c r="O22" s="175"/>
      <c r="P22" s="175"/>
      <c r="Q22" s="175"/>
      <c r="R22" s="175"/>
      <c r="S22" s="175"/>
      <c r="T22" s="175"/>
      <c r="U22" s="175"/>
      <c r="V22" s="175"/>
      <c r="W22" s="175"/>
      <c r="X22" s="175"/>
      <c r="Y22" s="175"/>
      <c r="Z22" s="176">
        <f t="shared" ref="Z22:AA22" si="22">B22+D22+F22+H22+J22+L22+N22+P22+R22+T22+V22+X22</f>
        <v>0</v>
      </c>
      <c r="AA22" s="177">
        <f t="shared" si="22"/>
        <v>0</v>
      </c>
      <c r="AB22" s="178"/>
      <c r="AC22" s="178"/>
      <c r="AD22" s="178"/>
      <c r="AE22" s="178"/>
      <c r="AF22" s="178"/>
      <c r="AG22" s="179"/>
      <c r="AH22" s="179"/>
      <c r="AI22" s="179"/>
      <c r="AJ22" s="179"/>
      <c r="AK22" s="179"/>
      <c r="AL22" s="179"/>
      <c r="AM22" s="179"/>
      <c r="AN22" s="165"/>
      <c r="AO22" s="174" t="s">
        <v>237</v>
      </c>
      <c r="AP22" s="174"/>
      <c r="AQ22" s="174"/>
      <c r="AR22" s="174"/>
      <c r="AS22" s="174"/>
      <c r="AT22" s="174"/>
      <c r="AU22" s="174"/>
      <c r="AV22" s="174"/>
      <c r="AW22" s="174"/>
      <c r="AX22" s="174"/>
      <c r="AY22" s="174"/>
      <c r="AZ22" s="174"/>
      <c r="BA22" s="174"/>
      <c r="BB22" s="174"/>
      <c r="BC22" s="175"/>
      <c r="BD22" s="175"/>
      <c r="BE22" s="175"/>
      <c r="BF22" s="175"/>
      <c r="BG22" s="175"/>
      <c r="BH22" s="175"/>
      <c r="BI22" s="175"/>
      <c r="BJ22" s="175"/>
      <c r="BK22" s="175"/>
      <c r="BL22" s="175"/>
      <c r="BM22" s="175"/>
      <c r="BN22" s="176">
        <f t="shared" ref="BN22:BO22" si="23">AP22+AR22+AT22+AV22+AX22+AZ22+BB22+BD22+BF22+BH22+BJ22+BL22</f>
        <v>0</v>
      </c>
      <c r="BO22" s="177">
        <f t="shared" si="23"/>
        <v>0</v>
      </c>
      <c r="BP22" s="179"/>
      <c r="BQ22" s="179"/>
      <c r="BR22" s="179"/>
      <c r="BS22" s="179"/>
      <c r="BT22" s="179"/>
      <c r="BU22" s="179"/>
      <c r="BV22" s="179"/>
      <c r="BW22" s="179"/>
      <c r="BX22" s="179"/>
      <c r="BY22" s="179"/>
      <c r="BZ22" s="179"/>
      <c r="CA22" s="179"/>
    </row>
    <row r="23" spans="1:79" ht="13.5" customHeight="1">
      <c r="A23" s="174" t="s">
        <v>238</v>
      </c>
      <c r="B23" s="174"/>
      <c r="C23" s="174"/>
      <c r="D23" s="174"/>
      <c r="E23" s="174"/>
      <c r="F23" s="174"/>
      <c r="G23" s="174"/>
      <c r="H23" s="174"/>
      <c r="I23" s="174"/>
      <c r="J23" s="174"/>
      <c r="K23" s="174"/>
      <c r="L23" s="174"/>
      <c r="M23" s="174"/>
      <c r="N23" s="174"/>
      <c r="O23" s="175"/>
      <c r="P23" s="175"/>
      <c r="Q23" s="175"/>
      <c r="R23" s="175"/>
      <c r="S23" s="175"/>
      <c r="T23" s="175"/>
      <c r="U23" s="175"/>
      <c r="V23" s="175"/>
      <c r="W23" s="175"/>
      <c r="X23" s="175"/>
      <c r="Y23" s="175"/>
      <c r="Z23" s="176">
        <f t="shared" ref="Z23:AA23" si="24">B23+D23+F23+H23+J23+L23+N23+P23+R23+T23+V23+X23</f>
        <v>0</v>
      </c>
      <c r="AA23" s="177">
        <f t="shared" si="24"/>
        <v>0</v>
      </c>
      <c r="AB23" s="178"/>
      <c r="AC23" s="178"/>
      <c r="AD23" s="178"/>
      <c r="AE23" s="178"/>
      <c r="AF23" s="178"/>
      <c r="AG23" s="179"/>
      <c r="AH23" s="179"/>
      <c r="AI23" s="179"/>
      <c r="AJ23" s="179"/>
      <c r="AK23" s="179"/>
      <c r="AL23" s="179"/>
      <c r="AM23" s="179"/>
      <c r="AN23" s="165"/>
      <c r="AO23" s="174" t="s">
        <v>238</v>
      </c>
      <c r="AP23" s="174"/>
      <c r="AQ23" s="174"/>
      <c r="AR23" s="174"/>
      <c r="AS23" s="174"/>
      <c r="AT23" s="174"/>
      <c r="AU23" s="174"/>
      <c r="AV23" s="174"/>
      <c r="AW23" s="174"/>
      <c r="AX23" s="174"/>
      <c r="AY23" s="174"/>
      <c r="AZ23" s="174"/>
      <c r="BA23" s="174"/>
      <c r="BB23" s="174"/>
      <c r="BC23" s="175"/>
      <c r="BD23" s="175"/>
      <c r="BE23" s="175"/>
      <c r="BF23" s="175"/>
      <c r="BG23" s="175"/>
      <c r="BH23" s="175"/>
      <c r="BI23" s="175"/>
      <c r="BJ23" s="175"/>
      <c r="BK23" s="175"/>
      <c r="BL23" s="175"/>
      <c r="BM23" s="175"/>
      <c r="BN23" s="176">
        <f t="shared" ref="BN23:BO23" si="25">AP23+AR23+AT23+AV23+AX23+AZ23+BB23+BD23+BF23+BH23+BJ23+BL23</f>
        <v>0</v>
      </c>
      <c r="BO23" s="177">
        <f t="shared" si="25"/>
        <v>0</v>
      </c>
      <c r="BP23" s="179"/>
      <c r="BQ23" s="179"/>
      <c r="BR23" s="179"/>
      <c r="BS23" s="179"/>
      <c r="BT23" s="179"/>
      <c r="BU23" s="179"/>
      <c r="BV23" s="179"/>
      <c r="BW23" s="179"/>
      <c r="BX23" s="179"/>
      <c r="BY23" s="179"/>
      <c r="BZ23" s="179"/>
      <c r="CA23" s="179"/>
    </row>
    <row r="24" spans="1:79" ht="13.5" customHeight="1">
      <c r="A24" s="174" t="s">
        <v>239</v>
      </c>
      <c r="B24" s="174"/>
      <c r="C24" s="174"/>
      <c r="D24" s="174"/>
      <c r="E24" s="174"/>
      <c r="F24" s="174"/>
      <c r="G24" s="174"/>
      <c r="H24" s="174"/>
      <c r="I24" s="174"/>
      <c r="J24" s="174"/>
      <c r="K24" s="174"/>
      <c r="L24" s="174"/>
      <c r="M24" s="174"/>
      <c r="N24" s="174"/>
      <c r="O24" s="175"/>
      <c r="P24" s="175"/>
      <c r="Q24" s="175"/>
      <c r="R24" s="175"/>
      <c r="S24" s="175"/>
      <c r="T24" s="175"/>
      <c r="U24" s="175"/>
      <c r="V24" s="175"/>
      <c r="W24" s="175"/>
      <c r="X24" s="175"/>
      <c r="Y24" s="175"/>
      <c r="Z24" s="176">
        <f t="shared" ref="Z24:AA24" si="26">B24+D24+F24+H24+J24+L24+N24+P24+R24+T24+V24+X24</f>
        <v>0</v>
      </c>
      <c r="AA24" s="177">
        <f t="shared" si="26"/>
        <v>0</v>
      </c>
      <c r="AB24" s="178"/>
      <c r="AC24" s="178"/>
      <c r="AD24" s="178"/>
      <c r="AE24" s="178"/>
      <c r="AF24" s="178"/>
      <c r="AG24" s="179"/>
      <c r="AH24" s="179"/>
      <c r="AI24" s="179"/>
      <c r="AJ24" s="179"/>
      <c r="AK24" s="179"/>
      <c r="AL24" s="179"/>
      <c r="AM24" s="179"/>
      <c r="AN24" s="165"/>
      <c r="AO24" s="174" t="s">
        <v>239</v>
      </c>
      <c r="AP24" s="174"/>
      <c r="AQ24" s="174"/>
      <c r="AR24" s="174"/>
      <c r="AS24" s="174"/>
      <c r="AT24" s="174"/>
      <c r="AU24" s="174"/>
      <c r="AV24" s="174"/>
      <c r="AW24" s="174"/>
      <c r="AX24" s="174"/>
      <c r="AY24" s="174"/>
      <c r="AZ24" s="174"/>
      <c r="BA24" s="174"/>
      <c r="BB24" s="174"/>
      <c r="BC24" s="175"/>
      <c r="BD24" s="175"/>
      <c r="BE24" s="175"/>
      <c r="BF24" s="175"/>
      <c r="BG24" s="175"/>
      <c r="BH24" s="175"/>
      <c r="BI24" s="175"/>
      <c r="BJ24" s="175"/>
      <c r="BK24" s="175"/>
      <c r="BL24" s="175"/>
      <c r="BM24" s="175"/>
      <c r="BN24" s="176">
        <f t="shared" ref="BN24:BO24" si="27">AP24+AR24+AT24+AV24+AX24+AZ24+BB24+BD24+BF24+BH24+BJ24+BL24</f>
        <v>0</v>
      </c>
      <c r="BO24" s="177">
        <f t="shared" si="27"/>
        <v>0</v>
      </c>
      <c r="BP24" s="179"/>
      <c r="BQ24" s="179"/>
      <c r="BR24" s="179"/>
      <c r="BS24" s="179"/>
      <c r="BT24" s="179"/>
      <c r="BU24" s="179"/>
      <c r="BV24" s="179"/>
      <c r="BW24" s="179"/>
      <c r="BX24" s="179"/>
      <c r="BY24" s="179"/>
      <c r="BZ24" s="179"/>
      <c r="CA24" s="179"/>
    </row>
    <row r="25" spans="1:79" ht="13.5" customHeight="1">
      <c r="A25" s="174" t="s">
        <v>240</v>
      </c>
      <c r="B25" s="174"/>
      <c r="C25" s="174"/>
      <c r="D25" s="174"/>
      <c r="E25" s="174"/>
      <c r="F25" s="174"/>
      <c r="G25" s="174"/>
      <c r="H25" s="174"/>
      <c r="I25" s="174"/>
      <c r="J25" s="174"/>
      <c r="K25" s="174"/>
      <c r="L25" s="174"/>
      <c r="M25" s="174"/>
      <c r="N25" s="174"/>
      <c r="O25" s="175"/>
      <c r="P25" s="175"/>
      <c r="Q25" s="175"/>
      <c r="R25" s="175"/>
      <c r="S25" s="175"/>
      <c r="T25" s="175"/>
      <c r="U25" s="175"/>
      <c r="V25" s="175"/>
      <c r="W25" s="175"/>
      <c r="X25" s="175"/>
      <c r="Y25" s="175"/>
      <c r="Z25" s="176">
        <f t="shared" ref="Z25:AA25" si="28">B25+D25+F25+H25+J25+L25+N25+P25+R25+T25+V25+X25</f>
        <v>0</v>
      </c>
      <c r="AA25" s="177">
        <f t="shared" si="28"/>
        <v>0</v>
      </c>
      <c r="AB25" s="178"/>
      <c r="AC25" s="178"/>
      <c r="AD25" s="178"/>
      <c r="AE25" s="178"/>
      <c r="AF25" s="178"/>
      <c r="AG25" s="179"/>
      <c r="AH25" s="179"/>
      <c r="AI25" s="179"/>
      <c r="AJ25" s="179"/>
      <c r="AK25" s="179"/>
      <c r="AL25" s="179"/>
      <c r="AM25" s="179"/>
      <c r="AN25" s="165"/>
      <c r="AO25" s="174" t="s">
        <v>240</v>
      </c>
      <c r="AP25" s="174"/>
      <c r="AQ25" s="174"/>
      <c r="AR25" s="174"/>
      <c r="AS25" s="174"/>
      <c r="AT25" s="174"/>
      <c r="AU25" s="174"/>
      <c r="AV25" s="174"/>
      <c r="AW25" s="174"/>
      <c r="AX25" s="174"/>
      <c r="AY25" s="174"/>
      <c r="AZ25" s="174"/>
      <c r="BA25" s="174"/>
      <c r="BB25" s="174"/>
      <c r="BC25" s="175"/>
      <c r="BD25" s="175"/>
      <c r="BE25" s="175"/>
      <c r="BF25" s="175"/>
      <c r="BG25" s="175"/>
      <c r="BH25" s="175"/>
      <c r="BI25" s="175"/>
      <c r="BJ25" s="175"/>
      <c r="BK25" s="175"/>
      <c r="BL25" s="175"/>
      <c r="BM25" s="175"/>
      <c r="BN25" s="176">
        <f t="shared" ref="BN25:BO25" si="29">AP25+AR25+AT25+AV25+AX25+AZ25+BB25+BD25+BF25+BH25+BJ25+BL25</f>
        <v>0</v>
      </c>
      <c r="BO25" s="177">
        <f t="shared" si="29"/>
        <v>0</v>
      </c>
      <c r="BP25" s="179"/>
      <c r="BQ25" s="179"/>
      <c r="BR25" s="179"/>
      <c r="BS25" s="179"/>
      <c r="BT25" s="179"/>
      <c r="BU25" s="179"/>
      <c r="BV25" s="179"/>
      <c r="BW25" s="179"/>
      <c r="BX25" s="179"/>
      <c r="BY25" s="179"/>
      <c r="BZ25" s="179"/>
      <c r="CA25" s="179"/>
    </row>
    <row r="26" spans="1:79" ht="13.5" customHeight="1">
      <c r="A26" s="174" t="s">
        <v>241</v>
      </c>
      <c r="B26" s="174"/>
      <c r="C26" s="174"/>
      <c r="D26" s="174"/>
      <c r="E26" s="174"/>
      <c r="F26" s="174"/>
      <c r="G26" s="174"/>
      <c r="H26" s="174"/>
      <c r="I26" s="174"/>
      <c r="J26" s="174"/>
      <c r="K26" s="174"/>
      <c r="L26" s="174"/>
      <c r="M26" s="174"/>
      <c r="N26" s="174"/>
      <c r="O26" s="175"/>
      <c r="P26" s="175"/>
      <c r="Q26" s="175"/>
      <c r="R26" s="175"/>
      <c r="S26" s="175"/>
      <c r="T26" s="175"/>
      <c r="U26" s="175"/>
      <c r="V26" s="175"/>
      <c r="W26" s="175"/>
      <c r="X26" s="175"/>
      <c r="Y26" s="175"/>
      <c r="Z26" s="176">
        <f t="shared" ref="Z26:AA26" si="30">B26+D26+F26+H26+J26+L26+N26+P26+R26+T26+V26+X26</f>
        <v>0</v>
      </c>
      <c r="AA26" s="177">
        <f t="shared" si="30"/>
        <v>0</v>
      </c>
      <c r="AB26" s="178"/>
      <c r="AC26" s="178"/>
      <c r="AD26" s="178"/>
      <c r="AE26" s="178"/>
      <c r="AF26" s="178"/>
      <c r="AG26" s="179"/>
      <c r="AH26" s="179"/>
      <c r="AI26" s="179"/>
      <c r="AJ26" s="179"/>
      <c r="AK26" s="179"/>
      <c r="AL26" s="179"/>
      <c r="AM26" s="179"/>
      <c r="AN26" s="165"/>
      <c r="AO26" s="174" t="s">
        <v>241</v>
      </c>
      <c r="AP26" s="174"/>
      <c r="AQ26" s="174"/>
      <c r="AR26" s="174"/>
      <c r="AS26" s="174"/>
      <c r="AT26" s="174"/>
      <c r="AU26" s="174"/>
      <c r="AV26" s="174"/>
      <c r="AW26" s="174"/>
      <c r="AX26" s="174"/>
      <c r="AY26" s="174"/>
      <c r="AZ26" s="174"/>
      <c r="BA26" s="174"/>
      <c r="BB26" s="174"/>
      <c r="BC26" s="175"/>
      <c r="BD26" s="175"/>
      <c r="BE26" s="175"/>
      <c r="BF26" s="175"/>
      <c r="BG26" s="175"/>
      <c r="BH26" s="175"/>
      <c r="BI26" s="175"/>
      <c r="BJ26" s="175"/>
      <c r="BK26" s="175"/>
      <c r="BL26" s="175"/>
      <c r="BM26" s="175"/>
      <c r="BN26" s="176">
        <f t="shared" ref="BN26:BO26" si="31">AP26+AR26+AT26+AV26+AX26+AZ26+BB26+BD26+BF26+BH26+BJ26+BL26</f>
        <v>0</v>
      </c>
      <c r="BO26" s="177">
        <f t="shared" si="31"/>
        <v>0</v>
      </c>
      <c r="BP26" s="179"/>
      <c r="BQ26" s="179"/>
      <c r="BR26" s="179"/>
      <c r="BS26" s="179"/>
      <c r="BT26" s="179"/>
      <c r="BU26" s="179"/>
      <c r="BV26" s="179"/>
      <c r="BW26" s="179"/>
      <c r="BX26" s="179"/>
      <c r="BY26" s="179"/>
      <c r="BZ26" s="179"/>
      <c r="CA26" s="179"/>
    </row>
    <row r="27" spans="1:79" ht="13.5" customHeight="1">
      <c r="A27" s="174" t="s">
        <v>242</v>
      </c>
      <c r="B27" s="174"/>
      <c r="C27" s="174"/>
      <c r="D27" s="174"/>
      <c r="E27" s="174"/>
      <c r="F27" s="174"/>
      <c r="G27" s="174"/>
      <c r="H27" s="174"/>
      <c r="I27" s="174"/>
      <c r="J27" s="174"/>
      <c r="K27" s="174"/>
      <c r="L27" s="174"/>
      <c r="M27" s="174"/>
      <c r="N27" s="174"/>
      <c r="O27" s="175"/>
      <c r="P27" s="175"/>
      <c r="Q27" s="175"/>
      <c r="R27" s="175"/>
      <c r="S27" s="175"/>
      <c r="T27" s="175"/>
      <c r="U27" s="175"/>
      <c r="V27" s="175"/>
      <c r="W27" s="175"/>
      <c r="X27" s="175"/>
      <c r="Y27" s="175"/>
      <c r="Z27" s="176">
        <f t="shared" ref="Z27:AA27" si="32">B27+D27+F27+H27+J27+L27+N27+P27+R27+T27+V27+X27</f>
        <v>0</v>
      </c>
      <c r="AA27" s="177">
        <f t="shared" si="32"/>
        <v>0</v>
      </c>
      <c r="AB27" s="178"/>
      <c r="AC27" s="178"/>
      <c r="AD27" s="178"/>
      <c r="AE27" s="178"/>
      <c r="AF27" s="178"/>
      <c r="AG27" s="179"/>
      <c r="AH27" s="179"/>
      <c r="AI27" s="179"/>
      <c r="AJ27" s="179"/>
      <c r="AK27" s="179"/>
      <c r="AL27" s="179"/>
      <c r="AM27" s="179"/>
      <c r="AN27" s="165"/>
      <c r="AO27" s="174" t="s">
        <v>242</v>
      </c>
      <c r="AP27" s="174"/>
      <c r="AQ27" s="174"/>
      <c r="AR27" s="174"/>
      <c r="AS27" s="174"/>
      <c r="AT27" s="174"/>
      <c r="AU27" s="174"/>
      <c r="AV27" s="174"/>
      <c r="AW27" s="174"/>
      <c r="AX27" s="174"/>
      <c r="AY27" s="174"/>
      <c r="AZ27" s="174"/>
      <c r="BA27" s="174"/>
      <c r="BB27" s="174"/>
      <c r="BC27" s="175"/>
      <c r="BD27" s="175"/>
      <c r="BE27" s="175"/>
      <c r="BF27" s="175"/>
      <c r="BG27" s="175"/>
      <c r="BH27" s="175"/>
      <c r="BI27" s="175"/>
      <c r="BJ27" s="175"/>
      <c r="BK27" s="175"/>
      <c r="BL27" s="175"/>
      <c r="BM27" s="175"/>
      <c r="BN27" s="176">
        <f t="shared" ref="BN27:BO27" si="33">AP27+AR27+AT27+AV27+AX27+AZ27+BB27+BD27+BF27+BH27+BJ27+BL27</f>
        <v>0</v>
      </c>
      <c r="BO27" s="177">
        <f t="shared" si="33"/>
        <v>0</v>
      </c>
      <c r="BP27" s="179"/>
      <c r="BQ27" s="179"/>
      <c r="BR27" s="179"/>
      <c r="BS27" s="179"/>
      <c r="BT27" s="179"/>
      <c r="BU27" s="179"/>
      <c r="BV27" s="179"/>
      <c r="BW27" s="179"/>
      <c r="BX27" s="179"/>
      <c r="BY27" s="179"/>
      <c r="BZ27" s="179"/>
      <c r="CA27" s="179"/>
    </row>
    <row r="28" spans="1:79" ht="13.5" customHeight="1">
      <c r="A28" s="174" t="s">
        <v>243</v>
      </c>
      <c r="B28" s="174"/>
      <c r="C28" s="174"/>
      <c r="D28" s="174"/>
      <c r="E28" s="174"/>
      <c r="F28" s="174"/>
      <c r="G28" s="174"/>
      <c r="H28" s="174"/>
      <c r="I28" s="174"/>
      <c r="J28" s="174"/>
      <c r="K28" s="174"/>
      <c r="L28" s="174"/>
      <c r="M28" s="174"/>
      <c r="N28" s="174"/>
      <c r="O28" s="175"/>
      <c r="P28" s="175"/>
      <c r="Q28" s="175"/>
      <c r="R28" s="175"/>
      <c r="S28" s="175"/>
      <c r="T28" s="175"/>
      <c r="U28" s="175"/>
      <c r="V28" s="175"/>
      <c r="W28" s="175"/>
      <c r="X28" s="175"/>
      <c r="Y28" s="175"/>
      <c r="Z28" s="176">
        <f t="shared" ref="Z28:AA28" si="34">B28+D28+F28+H28+J28+L28+N28+P28+R28+T28+V28+X28</f>
        <v>0</v>
      </c>
      <c r="AA28" s="177">
        <f t="shared" si="34"/>
        <v>0</v>
      </c>
      <c r="AB28" s="178"/>
      <c r="AC28" s="178"/>
      <c r="AD28" s="178"/>
      <c r="AE28" s="178"/>
      <c r="AF28" s="178"/>
      <c r="AG28" s="179"/>
      <c r="AH28" s="179"/>
      <c r="AI28" s="179"/>
      <c r="AJ28" s="179"/>
      <c r="AK28" s="179"/>
      <c r="AL28" s="179"/>
      <c r="AM28" s="179"/>
      <c r="AN28" s="165"/>
      <c r="AO28" s="174" t="s">
        <v>243</v>
      </c>
      <c r="AP28" s="174"/>
      <c r="AQ28" s="174"/>
      <c r="AR28" s="174"/>
      <c r="AS28" s="174"/>
      <c r="AT28" s="174"/>
      <c r="AU28" s="174"/>
      <c r="AV28" s="174"/>
      <c r="AW28" s="174"/>
      <c r="AX28" s="174"/>
      <c r="AY28" s="174"/>
      <c r="AZ28" s="174"/>
      <c r="BA28" s="174"/>
      <c r="BB28" s="174"/>
      <c r="BC28" s="175"/>
      <c r="BD28" s="175"/>
      <c r="BE28" s="175"/>
      <c r="BF28" s="175"/>
      <c r="BG28" s="175"/>
      <c r="BH28" s="175"/>
      <c r="BI28" s="175"/>
      <c r="BJ28" s="175"/>
      <c r="BK28" s="175"/>
      <c r="BL28" s="175"/>
      <c r="BM28" s="175"/>
      <c r="BN28" s="176">
        <f t="shared" ref="BN28:BO28" si="35">AP28+AR28+AT28+AV28+AX28+AZ28+BB28+BD28+BF28+BH28+BJ28+BL28</f>
        <v>0</v>
      </c>
      <c r="BO28" s="177">
        <f t="shared" si="35"/>
        <v>0</v>
      </c>
      <c r="BP28" s="179"/>
      <c r="BQ28" s="179"/>
      <c r="BR28" s="179"/>
      <c r="BS28" s="179"/>
      <c r="BT28" s="179"/>
      <c r="BU28" s="179"/>
      <c r="BV28" s="179"/>
      <c r="BW28" s="179"/>
      <c r="BX28" s="179"/>
      <c r="BY28" s="179"/>
      <c r="BZ28" s="179"/>
      <c r="CA28" s="179"/>
    </row>
    <row r="29" spans="1:79" ht="13.5" customHeight="1">
      <c r="A29" s="174" t="s">
        <v>244</v>
      </c>
      <c r="B29" s="174"/>
      <c r="C29" s="174"/>
      <c r="D29" s="174"/>
      <c r="E29" s="174"/>
      <c r="F29" s="174"/>
      <c r="G29" s="174"/>
      <c r="H29" s="174"/>
      <c r="I29" s="174"/>
      <c r="J29" s="174"/>
      <c r="K29" s="174"/>
      <c r="L29" s="174"/>
      <c r="M29" s="174"/>
      <c r="N29" s="174"/>
      <c r="O29" s="175"/>
      <c r="P29" s="175"/>
      <c r="Q29" s="175"/>
      <c r="R29" s="175"/>
      <c r="S29" s="175"/>
      <c r="T29" s="175"/>
      <c r="U29" s="175"/>
      <c r="V29" s="175"/>
      <c r="W29" s="175"/>
      <c r="X29" s="175"/>
      <c r="Y29" s="175"/>
      <c r="Z29" s="176">
        <f t="shared" ref="Z29:AA29" si="36">B29+D29+F29+H29+J29+L29+N29+P29+R29+T29+V29+X29</f>
        <v>0</v>
      </c>
      <c r="AA29" s="177">
        <f t="shared" si="36"/>
        <v>0</v>
      </c>
      <c r="AB29" s="178"/>
      <c r="AC29" s="178"/>
      <c r="AD29" s="178"/>
      <c r="AE29" s="178"/>
      <c r="AF29" s="178"/>
      <c r="AG29" s="179"/>
      <c r="AH29" s="179"/>
      <c r="AI29" s="179"/>
      <c r="AJ29" s="179"/>
      <c r="AK29" s="179"/>
      <c r="AL29" s="179"/>
      <c r="AM29" s="179"/>
      <c r="AN29" s="165"/>
      <c r="AO29" s="174" t="s">
        <v>244</v>
      </c>
      <c r="AP29" s="174"/>
      <c r="AQ29" s="174"/>
      <c r="AR29" s="174"/>
      <c r="AS29" s="174"/>
      <c r="AT29" s="174"/>
      <c r="AU29" s="174"/>
      <c r="AV29" s="174"/>
      <c r="AW29" s="174"/>
      <c r="AX29" s="174"/>
      <c r="AY29" s="174"/>
      <c r="AZ29" s="174"/>
      <c r="BA29" s="174"/>
      <c r="BB29" s="174"/>
      <c r="BC29" s="175"/>
      <c r="BD29" s="175"/>
      <c r="BE29" s="175"/>
      <c r="BF29" s="175"/>
      <c r="BG29" s="175"/>
      <c r="BH29" s="175"/>
      <c r="BI29" s="175"/>
      <c r="BJ29" s="175"/>
      <c r="BK29" s="175"/>
      <c r="BL29" s="175"/>
      <c r="BM29" s="175"/>
      <c r="BN29" s="176">
        <f t="shared" ref="BN29:BO29" si="37">AP29+AR29+AT29+AV29+AX29+AZ29+BB29+BD29+BF29+BH29+BJ29+BL29</f>
        <v>0</v>
      </c>
      <c r="BO29" s="177">
        <f t="shared" si="37"/>
        <v>0</v>
      </c>
      <c r="BP29" s="179"/>
      <c r="BQ29" s="179"/>
      <c r="BR29" s="179"/>
      <c r="BS29" s="179"/>
      <c r="BT29" s="179"/>
      <c r="BU29" s="179"/>
      <c r="BV29" s="179"/>
      <c r="BW29" s="179"/>
      <c r="BX29" s="179"/>
      <c r="BY29" s="179"/>
      <c r="BZ29" s="179"/>
      <c r="CA29" s="179"/>
    </row>
    <row r="30" spans="1:79" ht="13.5" customHeight="1">
      <c r="A30" s="174" t="s">
        <v>245</v>
      </c>
      <c r="B30" s="174"/>
      <c r="C30" s="174"/>
      <c r="D30" s="174"/>
      <c r="E30" s="174"/>
      <c r="F30" s="174"/>
      <c r="G30" s="174"/>
      <c r="H30" s="174"/>
      <c r="I30" s="174"/>
      <c r="J30" s="174"/>
      <c r="K30" s="174"/>
      <c r="L30" s="174"/>
      <c r="M30" s="174"/>
      <c r="N30" s="174"/>
      <c r="O30" s="175"/>
      <c r="P30" s="175"/>
      <c r="Q30" s="175"/>
      <c r="R30" s="175"/>
      <c r="S30" s="175"/>
      <c r="T30" s="175"/>
      <c r="U30" s="175"/>
      <c r="V30" s="175"/>
      <c r="W30" s="175"/>
      <c r="X30" s="175"/>
      <c r="Y30" s="175"/>
      <c r="Z30" s="176">
        <f t="shared" ref="Z30:AA30" si="38">B30+D30+F30+H30+J30+L30+N30+P30+R30+T30+V30+X30</f>
        <v>0</v>
      </c>
      <c r="AA30" s="177">
        <f t="shared" si="38"/>
        <v>0</v>
      </c>
      <c r="AB30" s="178"/>
      <c r="AC30" s="178"/>
      <c r="AD30" s="178"/>
      <c r="AE30" s="178"/>
      <c r="AF30" s="178"/>
      <c r="AG30" s="179"/>
      <c r="AH30" s="179"/>
      <c r="AI30" s="179"/>
      <c r="AJ30" s="179"/>
      <c r="AK30" s="179"/>
      <c r="AL30" s="179"/>
      <c r="AM30" s="179"/>
      <c r="AN30" s="165"/>
      <c r="AO30" s="174" t="s">
        <v>245</v>
      </c>
      <c r="AP30" s="174"/>
      <c r="AQ30" s="174"/>
      <c r="AR30" s="174"/>
      <c r="AS30" s="174"/>
      <c r="AT30" s="174"/>
      <c r="AU30" s="174"/>
      <c r="AV30" s="174"/>
      <c r="AW30" s="174"/>
      <c r="AX30" s="174"/>
      <c r="AY30" s="174"/>
      <c r="AZ30" s="174"/>
      <c r="BA30" s="174"/>
      <c r="BB30" s="174"/>
      <c r="BC30" s="175"/>
      <c r="BD30" s="175"/>
      <c r="BE30" s="175"/>
      <c r="BF30" s="175"/>
      <c r="BG30" s="175"/>
      <c r="BH30" s="175"/>
      <c r="BI30" s="175"/>
      <c r="BJ30" s="175"/>
      <c r="BK30" s="175"/>
      <c r="BL30" s="175"/>
      <c r="BM30" s="175"/>
      <c r="BN30" s="176">
        <f t="shared" ref="BN30:BO30" si="39">AP30+AR30+AT30+AV30+AX30+AZ30+BB30+BD30+BF30+BH30+BJ30+BL30</f>
        <v>0</v>
      </c>
      <c r="BO30" s="177">
        <f t="shared" si="39"/>
        <v>0</v>
      </c>
      <c r="BP30" s="179"/>
      <c r="BQ30" s="179"/>
      <c r="BR30" s="179"/>
      <c r="BS30" s="179"/>
      <c r="BT30" s="179"/>
      <c r="BU30" s="179"/>
      <c r="BV30" s="179"/>
      <c r="BW30" s="179"/>
      <c r="BX30" s="179"/>
      <c r="BY30" s="179"/>
      <c r="BZ30" s="179"/>
      <c r="CA30" s="179"/>
    </row>
    <row r="31" spans="1:79" ht="13.5" customHeight="1">
      <c r="A31" s="174" t="s">
        <v>246</v>
      </c>
      <c r="B31" s="174"/>
      <c r="C31" s="174"/>
      <c r="D31" s="174"/>
      <c r="E31" s="174"/>
      <c r="F31" s="174"/>
      <c r="G31" s="174"/>
      <c r="H31" s="174"/>
      <c r="I31" s="174"/>
      <c r="J31" s="174"/>
      <c r="K31" s="174"/>
      <c r="L31" s="174"/>
      <c r="M31" s="174"/>
      <c r="N31" s="174"/>
      <c r="O31" s="175"/>
      <c r="P31" s="175"/>
      <c r="Q31" s="175"/>
      <c r="R31" s="175"/>
      <c r="S31" s="175"/>
      <c r="T31" s="175"/>
      <c r="U31" s="175"/>
      <c r="V31" s="175"/>
      <c r="W31" s="175"/>
      <c r="X31" s="175"/>
      <c r="Y31" s="175"/>
      <c r="Z31" s="176">
        <f t="shared" ref="Z31:AA31" si="40">B31+D31+F31+H31+J31+L31+N31+P31+R31+T31+V31+X31</f>
        <v>0</v>
      </c>
      <c r="AA31" s="177">
        <f t="shared" si="40"/>
        <v>0</v>
      </c>
      <c r="AB31" s="178"/>
      <c r="AC31" s="178"/>
      <c r="AD31" s="178"/>
      <c r="AE31" s="178"/>
      <c r="AF31" s="178"/>
      <c r="AG31" s="179"/>
      <c r="AH31" s="179"/>
      <c r="AI31" s="179"/>
      <c r="AJ31" s="179"/>
      <c r="AK31" s="179"/>
      <c r="AL31" s="179"/>
      <c r="AM31" s="179"/>
      <c r="AN31" s="165"/>
      <c r="AO31" s="174" t="s">
        <v>246</v>
      </c>
      <c r="AP31" s="174"/>
      <c r="AQ31" s="174"/>
      <c r="AR31" s="174"/>
      <c r="AS31" s="174"/>
      <c r="AT31" s="174"/>
      <c r="AU31" s="174"/>
      <c r="AV31" s="174"/>
      <c r="AW31" s="174"/>
      <c r="AX31" s="174"/>
      <c r="AY31" s="174"/>
      <c r="AZ31" s="174"/>
      <c r="BA31" s="174"/>
      <c r="BB31" s="174"/>
      <c r="BC31" s="175"/>
      <c r="BD31" s="175"/>
      <c r="BE31" s="175"/>
      <c r="BF31" s="175"/>
      <c r="BG31" s="175"/>
      <c r="BH31" s="175"/>
      <c r="BI31" s="175"/>
      <c r="BJ31" s="175"/>
      <c r="BK31" s="175"/>
      <c r="BL31" s="175"/>
      <c r="BM31" s="175"/>
      <c r="BN31" s="176">
        <f t="shared" ref="BN31:BO31" si="41">AP31+AR31+AT31+AV31+AX31+AZ31+BB31+BD31+BF31+BH31+BJ31+BL31</f>
        <v>0</v>
      </c>
      <c r="BO31" s="177">
        <f t="shared" si="41"/>
        <v>0</v>
      </c>
      <c r="BP31" s="179"/>
      <c r="BQ31" s="179"/>
      <c r="BR31" s="179"/>
      <c r="BS31" s="179"/>
      <c r="BT31" s="179"/>
      <c r="BU31" s="179"/>
      <c r="BV31" s="179"/>
      <c r="BW31" s="179"/>
      <c r="BX31" s="179"/>
      <c r="BY31" s="179"/>
      <c r="BZ31" s="179"/>
      <c r="CA31" s="179"/>
    </row>
    <row r="32" spans="1:79" ht="13.5" customHeight="1">
      <c r="A32" s="181" t="s">
        <v>247</v>
      </c>
      <c r="B32" s="182">
        <f t="shared" ref="B32:AM32" si="42">SUM(B11:B31)</f>
        <v>0</v>
      </c>
      <c r="C32" s="182">
        <f t="shared" si="42"/>
        <v>0</v>
      </c>
      <c r="D32" s="182">
        <f t="shared" si="42"/>
        <v>0</v>
      </c>
      <c r="E32" s="182">
        <f t="shared" si="42"/>
        <v>0</v>
      </c>
      <c r="F32" s="182">
        <f t="shared" si="42"/>
        <v>0</v>
      </c>
      <c r="G32" s="182">
        <f t="shared" si="42"/>
        <v>0</v>
      </c>
      <c r="H32" s="182">
        <f t="shared" si="42"/>
        <v>0</v>
      </c>
      <c r="I32" s="182">
        <f t="shared" si="42"/>
        <v>0</v>
      </c>
      <c r="J32" s="182">
        <f t="shared" si="42"/>
        <v>0</v>
      </c>
      <c r="K32" s="182">
        <f t="shared" si="42"/>
        <v>0</v>
      </c>
      <c r="L32" s="182">
        <f t="shared" si="42"/>
        <v>0</v>
      </c>
      <c r="M32" s="182">
        <f t="shared" si="42"/>
        <v>0</v>
      </c>
      <c r="N32" s="182">
        <f t="shared" si="42"/>
        <v>0</v>
      </c>
      <c r="O32" s="182">
        <f t="shared" si="42"/>
        <v>0</v>
      </c>
      <c r="P32" s="182">
        <f t="shared" si="42"/>
        <v>0</v>
      </c>
      <c r="Q32" s="182">
        <f t="shared" si="42"/>
        <v>0</v>
      </c>
      <c r="R32" s="182">
        <f t="shared" si="42"/>
        <v>0</v>
      </c>
      <c r="S32" s="182">
        <f t="shared" si="42"/>
        <v>0</v>
      </c>
      <c r="T32" s="182">
        <f t="shared" si="42"/>
        <v>0</v>
      </c>
      <c r="U32" s="182">
        <f t="shared" si="42"/>
        <v>0</v>
      </c>
      <c r="V32" s="182">
        <f t="shared" si="42"/>
        <v>0</v>
      </c>
      <c r="W32" s="182">
        <f t="shared" si="42"/>
        <v>0</v>
      </c>
      <c r="X32" s="182">
        <f t="shared" si="42"/>
        <v>0</v>
      </c>
      <c r="Y32" s="182">
        <f t="shared" si="42"/>
        <v>0</v>
      </c>
      <c r="Z32" s="182">
        <f t="shared" si="42"/>
        <v>0</v>
      </c>
      <c r="AA32" s="177">
        <f t="shared" si="42"/>
        <v>0</v>
      </c>
      <c r="AB32" s="177">
        <f t="shared" si="42"/>
        <v>0</v>
      </c>
      <c r="AC32" s="177">
        <f t="shared" si="42"/>
        <v>0</v>
      </c>
      <c r="AD32" s="177">
        <f t="shared" si="42"/>
        <v>0</v>
      </c>
      <c r="AE32" s="177">
        <f t="shared" si="42"/>
        <v>0</v>
      </c>
      <c r="AF32" s="177">
        <f t="shared" si="42"/>
        <v>0</v>
      </c>
      <c r="AG32" s="182">
        <f t="shared" si="42"/>
        <v>0</v>
      </c>
      <c r="AH32" s="182">
        <f t="shared" si="42"/>
        <v>0</v>
      </c>
      <c r="AI32" s="182">
        <f t="shared" si="42"/>
        <v>0</v>
      </c>
      <c r="AJ32" s="182">
        <f t="shared" si="42"/>
        <v>0</v>
      </c>
      <c r="AK32" s="182">
        <f t="shared" si="42"/>
        <v>0</v>
      </c>
      <c r="AL32" s="182">
        <f t="shared" si="42"/>
        <v>0</v>
      </c>
      <c r="AM32" s="182">
        <f t="shared" si="42"/>
        <v>0</v>
      </c>
      <c r="AN32" s="165"/>
      <c r="AO32" s="181" t="s">
        <v>247</v>
      </c>
      <c r="AP32" s="182">
        <f t="shared" ref="AP32:CA32" si="43">SUM(AP11:AP31)</f>
        <v>0</v>
      </c>
      <c r="AQ32" s="182">
        <f t="shared" si="43"/>
        <v>0</v>
      </c>
      <c r="AR32" s="182">
        <f t="shared" si="43"/>
        <v>0</v>
      </c>
      <c r="AS32" s="182">
        <f t="shared" si="43"/>
        <v>0</v>
      </c>
      <c r="AT32" s="182">
        <f t="shared" si="43"/>
        <v>0</v>
      </c>
      <c r="AU32" s="182">
        <f t="shared" si="43"/>
        <v>0</v>
      </c>
      <c r="AV32" s="182">
        <f t="shared" si="43"/>
        <v>0</v>
      </c>
      <c r="AW32" s="182">
        <f t="shared" si="43"/>
        <v>0</v>
      </c>
      <c r="AX32" s="182">
        <f t="shared" si="43"/>
        <v>0</v>
      </c>
      <c r="AY32" s="182">
        <f t="shared" si="43"/>
        <v>0</v>
      </c>
      <c r="AZ32" s="182">
        <f t="shared" si="43"/>
        <v>0</v>
      </c>
      <c r="BA32" s="182">
        <f t="shared" si="43"/>
        <v>0</v>
      </c>
      <c r="BB32" s="182">
        <f t="shared" si="43"/>
        <v>0</v>
      </c>
      <c r="BC32" s="182">
        <f t="shared" si="43"/>
        <v>0</v>
      </c>
      <c r="BD32" s="182">
        <f t="shared" si="43"/>
        <v>0</v>
      </c>
      <c r="BE32" s="182">
        <f t="shared" si="43"/>
        <v>0</v>
      </c>
      <c r="BF32" s="182">
        <f t="shared" si="43"/>
        <v>0</v>
      </c>
      <c r="BG32" s="182">
        <f t="shared" si="43"/>
        <v>0</v>
      </c>
      <c r="BH32" s="182">
        <f t="shared" si="43"/>
        <v>0</v>
      </c>
      <c r="BI32" s="182">
        <f t="shared" si="43"/>
        <v>0</v>
      </c>
      <c r="BJ32" s="182">
        <f t="shared" si="43"/>
        <v>0</v>
      </c>
      <c r="BK32" s="182">
        <f t="shared" si="43"/>
        <v>0</v>
      </c>
      <c r="BL32" s="182">
        <f t="shared" si="43"/>
        <v>0</v>
      </c>
      <c r="BM32" s="182">
        <f t="shared" si="43"/>
        <v>0</v>
      </c>
      <c r="BN32" s="183">
        <f t="shared" si="43"/>
        <v>0</v>
      </c>
      <c r="BO32" s="177">
        <f t="shared" si="43"/>
        <v>0</v>
      </c>
      <c r="BP32" s="182">
        <f t="shared" si="43"/>
        <v>0</v>
      </c>
      <c r="BQ32" s="182">
        <f t="shared" si="43"/>
        <v>0</v>
      </c>
      <c r="BR32" s="182">
        <f t="shared" si="43"/>
        <v>0</v>
      </c>
      <c r="BS32" s="182">
        <f t="shared" si="43"/>
        <v>0</v>
      </c>
      <c r="BT32" s="182">
        <f t="shared" si="43"/>
        <v>0</v>
      </c>
      <c r="BU32" s="182">
        <f t="shared" si="43"/>
        <v>0</v>
      </c>
      <c r="BV32" s="182">
        <f t="shared" si="43"/>
        <v>0</v>
      </c>
      <c r="BW32" s="182">
        <f t="shared" si="43"/>
        <v>0</v>
      </c>
      <c r="BX32" s="182">
        <f t="shared" si="43"/>
        <v>0</v>
      </c>
      <c r="BY32" s="182">
        <f t="shared" si="43"/>
        <v>0</v>
      </c>
      <c r="BZ32" s="182">
        <f t="shared" si="43"/>
        <v>0</v>
      </c>
      <c r="CA32" s="182">
        <f t="shared" si="43"/>
        <v>0</v>
      </c>
    </row>
    <row r="33" spans="1:79" ht="13.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row>
    <row r="34" spans="1:79" ht="27.75" customHeight="1">
      <c r="A34" s="76" t="s">
        <v>206</v>
      </c>
      <c r="B34" s="661"/>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4"/>
      <c r="BC34" s="464"/>
      <c r="BD34" s="464"/>
      <c r="BE34" s="464"/>
      <c r="BF34" s="464"/>
      <c r="BG34" s="464"/>
      <c r="BH34" s="464"/>
      <c r="BI34" s="464"/>
      <c r="BJ34" s="464"/>
      <c r="BK34" s="464"/>
      <c r="BL34" s="464"/>
      <c r="BM34" s="464"/>
      <c r="BN34" s="464"/>
      <c r="BO34" s="464"/>
      <c r="BP34" s="464"/>
      <c r="BQ34" s="464"/>
      <c r="BR34" s="464"/>
      <c r="BS34" s="464"/>
      <c r="BT34" s="464"/>
      <c r="BU34" s="464"/>
      <c r="BV34" s="464"/>
      <c r="BW34" s="464"/>
      <c r="BX34" s="464"/>
      <c r="BY34" s="464"/>
      <c r="BZ34" s="464"/>
      <c r="CA34" s="473"/>
    </row>
    <row r="35" spans="1:79" ht="28.5" customHeight="1">
      <c r="A35" s="166" t="s">
        <v>207</v>
      </c>
      <c r="B35" s="659"/>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4"/>
      <c r="AT35" s="464"/>
      <c r="AU35" s="464"/>
      <c r="AV35" s="464"/>
      <c r="AW35" s="464"/>
      <c r="AX35" s="464"/>
      <c r="AY35" s="464"/>
      <c r="AZ35" s="464"/>
      <c r="BA35" s="464"/>
      <c r="BB35" s="464"/>
      <c r="BC35" s="464"/>
      <c r="BD35" s="464"/>
      <c r="BE35" s="464"/>
      <c r="BF35" s="464"/>
      <c r="BG35" s="464"/>
      <c r="BH35" s="464"/>
      <c r="BI35" s="464"/>
      <c r="BJ35" s="464"/>
      <c r="BK35" s="464"/>
      <c r="BL35" s="464"/>
      <c r="BM35" s="464"/>
      <c r="BN35" s="464"/>
      <c r="BO35" s="464"/>
      <c r="BP35" s="464"/>
      <c r="BQ35" s="464"/>
      <c r="BR35" s="464"/>
      <c r="BS35" s="464"/>
      <c r="BT35" s="464"/>
      <c r="BU35" s="464"/>
      <c r="BV35" s="464"/>
      <c r="BW35" s="464"/>
      <c r="BX35" s="464"/>
      <c r="BY35" s="464"/>
      <c r="BZ35" s="464"/>
      <c r="CA35" s="473"/>
    </row>
    <row r="36" spans="1:79" ht="6" customHeight="1">
      <c r="A36" s="167"/>
      <c r="B36" s="167"/>
      <c r="C36" s="167"/>
      <c r="D36" s="167"/>
      <c r="E36" s="167"/>
      <c r="F36" s="167"/>
      <c r="G36" s="167"/>
      <c r="H36" s="167"/>
      <c r="I36" s="167"/>
      <c r="J36" s="167"/>
      <c r="K36" s="167"/>
      <c r="L36" s="167"/>
      <c r="M36" s="167"/>
      <c r="N36" s="167"/>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5"/>
      <c r="AO36" s="167"/>
      <c r="AP36" s="168"/>
      <c r="AQ36" s="168"/>
      <c r="AR36" s="168"/>
      <c r="AS36" s="168"/>
      <c r="AT36" s="168"/>
      <c r="AU36" s="168"/>
      <c r="AV36" s="168"/>
      <c r="AW36" s="168"/>
      <c r="AX36" s="168"/>
      <c r="AY36" s="168"/>
      <c r="AZ36" s="168"/>
      <c r="BA36" s="168"/>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row>
    <row r="37" spans="1:79" ht="30" customHeight="1">
      <c r="A37" s="660" t="s">
        <v>208</v>
      </c>
      <c r="B37" s="659" t="s">
        <v>28</v>
      </c>
      <c r="C37" s="473"/>
      <c r="D37" s="659" t="s">
        <v>29</v>
      </c>
      <c r="E37" s="473"/>
      <c r="F37" s="659" t="s">
        <v>30</v>
      </c>
      <c r="G37" s="473"/>
      <c r="H37" s="659" t="s">
        <v>31</v>
      </c>
      <c r="I37" s="473"/>
      <c r="J37" s="659" t="s">
        <v>32</v>
      </c>
      <c r="K37" s="473"/>
      <c r="L37" s="659" t="s">
        <v>33</v>
      </c>
      <c r="M37" s="473"/>
      <c r="N37" s="659" t="s">
        <v>34</v>
      </c>
      <c r="O37" s="473"/>
      <c r="P37" s="659" t="s">
        <v>35</v>
      </c>
      <c r="Q37" s="473"/>
      <c r="R37" s="659" t="s">
        <v>36</v>
      </c>
      <c r="S37" s="473"/>
      <c r="T37" s="659" t="s">
        <v>37</v>
      </c>
      <c r="U37" s="473"/>
      <c r="V37" s="659" t="s">
        <v>38</v>
      </c>
      <c r="W37" s="473"/>
      <c r="X37" s="659" t="s">
        <v>39</v>
      </c>
      <c r="Y37" s="473"/>
      <c r="Z37" s="659" t="s">
        <v>209</v>
      </c>
      <c r="AA37" s="473"/>
      <c r="AB37" s="659" t="s">
        <v>210</v>
      </c>
      <c r="AC37" s="464"/>
      <c r="AD37" s="464"/>
      <c r="AE37" s="464"/>
      <c r="AF37" s="464"/>
      <c r="AG37" s="473"/>
      <c r="AH37" s="659" t="s">
        <v>211</v>
      </c>
      <c r="AI37" s="464"/>
      <c r="AJ37" s="464"/>
      <c r="AK37" s="464"/>
      <c r="AL37" s="464"/>
      <c r="AM37" s="473"/>
      <c r="AN37" s="165"/>
      <c r="AO37" s="660" t="s">
        <v>208</v>
      </c>
      <c r="AP37" s="659" t="s">
        <v>28</v>
      </c>
      <c r="AQ37" s="473"/>
      <c r="AR37" s="659" t="s">
        <v>29</v>
      </c>
      <c r="AS37" s="473"/>
      <c r="AT37" s="659" t="s">
        <v>30</v>
      </c>
      <c r="AU37" s="473"/>
      <c r="AV37" s="659" t="s">
        <v>31</v>
      </c>
      <c r="AW37" s="473"/>
      <c r="AX37" s="659" t="s">
        <v>32</v>
      </c>
      <c r="AY37" s="473"/>
      <c r="AZ37" s="659" t="s">
        <v>33</v>
      </c>
      <c r="BA37" s="473"/>
      <c r="BB37" s="659" t="s">
        <v>34</v>
      </c>
      <c r="BC37" s="473"/>
      <c r="BD37" s="659" t="s">
        <v>35</v>
      </c>
      <c r="BE37" s="473"/>
      <c r="BF37" s="659" t="s">
        <v>36</v>
      </c>
      <c r="BG37" s="473"/>
      <c r="BH37" s="659" t="s">
        <v>37</v>
      </c>
      <c r="BI37" s="473"/>
      <c r="BJ37" s="659" t="s">
        <v>38</v>
      </c>
      <c r="BK37" s="473"/>
      <c r="BL37" s="659" t="s">
        <v>39</v>
      </c>
      <c r="BM37" s="473"/>
      <c r="BN37" s="659" t="s">
        <v>209</v>
      </c>
      <c r="BO37" s="473"/>
      <c r="BP37" s="659" t="s">
        <v>210</v>
      </c>
      <c r="BQ37" s="464"/>
      <c r="BR37" s="464"/>
      <c r="BS37" s="464"/>
      <c r="BT37" s="464"/>
      <c r="BU37" s="473"/>
      <c r="BV37" s="659" t="s">
        <v>211</v>
      </c>
      <c r="BW37" s="464"/>
      <c r="BX37" s="464"/>
      <c r="BY37" s="464"/>
      <c r="BZ37" s="464"/>
      <c r="CA37" s="473"/>
    </row>
    <row r="38" spans="1:79" ht="51.75" customHeight="1">
      <c r="A38" s="507"/>
      <c r="B38" s="145" t="s">
        <v>212</v>
      </c>
      <c r="C38" s="145" t="s">
        <v>213</v>
      </c>
      <c r="D38" s="145" t="s">
        <v>212</v>
      </c>
      <c r="E38" s="145" t="s">
        <v>213</v>
      </c>
      <c r="F38" s="145" t="s">
        <v>212</v>
      </c>
      <c r="G38" s="145" t="s">
        <v>213</v>
      </c>
      <c r="H38" s="145" t="s">
        <v>212</v>
      </c>
      <c r="I38" s="145" t="s">
        <v>213</v>
      </c>
      <c r="J38" s="145" t="s">
        <v>212</v>
      </c>
      <c r="K38" s="145" t="s">
        <v>213</v>
      </c>
      <c r="L38" s="145" t="s">
        <v>212</v>
      </c>
      <c r="M38" s="145" t="s">
        <v>213</v>
      </c>
      <c r="N38" s="145" t="s">
        <v>212</v>
      </c>
      <c r="O38" s="145" t="s">
        <v>213</v>
      </c>
      <c r="P38" s="145" t="s">
        <v>212</v>
      </c>
      <c r="Q38" s="145" t="s">
        <v>213</v>
      </c>
      <c r="R38" s="145" t="s">
        <v>212</v>
      </c>
      <c r="S38" s="145" t="s">
        <v>213</v>
      </c>
      <c r="T38" s="145" t="s">
        <v>212</v>
      </c>
      <c r="U38" s="145" t="s">
        <v>213</v>
      </c>
      <c r="V38" s="145" t="s">
        <v>212</v>
      </c>
      <c r="W38" s="145" t="s">
        <v>213</v>
      </c>
      <c r="X38" s="145" t="s">
        <v>212</v>
      </c>
      <c r="Y38" s="145" t="s">
        <v>213</v>
      </c>
      <c r="Z38" s="145" t="s">
        <v>212</v>
      </c>
      <c r="AA38" s="145" t="s">
        <v>213</v>
      </c>
      <c r="AB38" s="169" t="s">
        <v>214</v>
      </c>
      <c r="AC38" s="169" t="s">
        <v>215</v>
      </c>
      <c r="AD38" s="169" t="s">
        <v>216</v>
      </c>
      <c r="AE38" s="169" t="s">
        <v>217</v>
      </c>
      <c r="AF38" s="170" t="s">
        <v>218</v>
      </c>
      <c r="AG38" s="169" t="s">
        <v>219</v>
      </c>
      <c r="AH38" s="145" t="s">
        <v>220</v>
      </c>
      <c r="AI38" s="171" t="s">
        <v>221</v>
      </c>
      <c r="AJ38" s="145" t="s">
        <v>222</v>
      </c>
      <c r="AK38" s="145" t="s">
        <v>223</v>
      </c>
      <c r="AL38" s="145" t="s">
        <v>224</v>
      </c>
      <c r="AM38" s="145" t="s">
        <v>225</v>
      </c>
      <c r="AN38" s="165"/>
      <c r="AO38" s="507"/>
      <c r="AP38" s="145" t="s">
        <v>212</v>
      </c>
      <c r="AQ38" s="145" t="s">
        <v>213</v>
      </c>
      <c r="AR38" s="145" t="s">
        <v>212</v>
      </c>
      <c r="AS38" s="145" t="s">
        <v>213</v>
      </c>
      <c r="AT38" s="145" t="s">
        <v>212</v>
      </c>
      <c r="AU38" s="145" t="s">
        <v>213</v>
      </c>
      <c r="AV38" s="145" t="s">
        <v>212</v>
      </c>
      <c r="AW38" s="145" t="s">
        <v>213</v>
      </c>
      <c r="AX38" s="145" t="s">
        <v>212</v>
      </c>
      <c r="AY38" s="145" t="s">
        <v>213</v>
      </c>
      <c r="AZ38" s="145" t="s">
        <v>212</v>
      </c>
      <c r="BA38" s="145" t="s">
        <v>213</v>
      </c>
      <c r="BB38" s="145" t="s">
        <v>212</v>
      </c>
      <c r="BC38" s="145" t="s">
        <v>213</v>
      </c>
      <c r="BD38" s="145" t="s">
        <v>212</v>
      </c>
      <c r="BE38" s="145" t="s">
        <v>213</v>
      </c>
      <c r="BF38" s="145" t="s">
        <v>212</v>
      </c>
      <c r="BG38" s="145" t="s">
        <v>213</v>
      </c>
      <c r="BH38" s="145" t="s">
        <v>212</v>
      </c>
      <c r="BI38" s="145" t="s">
        <v>213</v>
      </c>
      <c r="BJ38" s="145" t="s">
        <v>212</v>
      </c>
      <c r="BK38" s="145" t="s">
        <v>213</v>
      </c>
      <c r="BL38" s="145" t="s">
        <v>212</v>
      </c>
      <c r="BM38" s="145" t="s">
        <v>213</v>
      </c>
      <c r="BN38" s="145" t="s">
        <v>212</v>
      </c>
      <c r="BO38" s="145" t="s">
        <v>213</v>
      </c>
      <c r="BP38" s="169" t="s">
        <v>214</v>
      </c>
      <c r="BQ38" s="169" t="s">
        <v>215</v>
      </c>
      <c r="BR38" s="169" t="s">
        <v>216</v>
      </c>
      <c r="BS38" s="169" t="s">
        <v>217</v>
      </c>
      <c r="BT38" s="170" t="s">
        <v>218</v>
      </c>
      <c r="BU38" s="169" t="s">
        <v>219</v>
      </c>
      <c r="BV38" s="145" t="s">
        <v>220</v>
      </c>
      <c r="BW38" s="171" t="s">
        <v>221</v>
      </c>
      <c r="BX38" s="145" t="s">
        <v>222</v>
      </c>
      <c r="BY38" s="145" t="s">
        <v>223</v>
      </c>
      <c r="BZ38" s="145" t="s">
        <v>224</v>
      </c>
      <c r="CA38" s="145" t="s">
        <v>225</v>
      </c>
    </row>
    <row r="39" spans="1:79" ht="13.5" customHeight="1">
      <c r="A39" s="174" t="s">
        <v>226</v>
      </c>
      <c r="B39" s="174"/>
      <c r="C39" s="174"/>
      <c r="D39" s="174"/>
      <c r="E39" s="174"/>
      <c r="F39" s="174"/>
      <c r="G39" s="174"/>
      <c r="H39" s="174"/>
      <c r="I39" s="174"/>
      <c r="J39" s="174"/>
      <c r="K39" s="174"/>
      <c r="L39" s="174"/>
      <c r="M39" s="174"/>
      <c r="N39" s="174"/>
      <c r="O39" s="175"/>
      <c r="P39" s="175"/>
      <c r="Q39" s="175"/>
      <c r="R39" s="175"/>
      <c r="S39" s="175"/>
      <c r="T39" s="175"/>
      <c r="U39" s="175"/>
      <c r="V39" s="175"/>
      <c r="W39" s="175"/>
      <c r="X39" s="175"/>
      <c r="Y39" s="175"/>
      <c r="Z39" s="176">
        <f t="shared" ref="Z39:AA39" si="44">B39+D39+F39+H39+J39+L39+N39+P39+R39+T39+V39+X39</f>
        <v>0</v>
      </c>
      <c r="AA39" s="177">
        <f t="shared" si="44"/>
        <v>0</v>
      </c>
      <c r="AB39" s="179"/>
      <c r="AC39" s="179"/>
      <c r="AD39" s="179"/>
      <c r="AE39" s="179"/>
      <c r="AF39" s="179"/>
      <c r="AG39" s="179"/>
      <c r="AH39" s="179"/>
      <c r="AI39" s="179"/>
      <c r="AJ39" s="179"/>
      <c r="AK39" s="179"/>
      <c r="AL39" s="179"/>
      <c r="AM39" s="180"/>
      <c r="AN39" s="165"/>
      <c r="AO39" s="174" t="s">
        <v>226</v>
      </c>
      <c r="AP39" s="174"/>
      <c r="AQ39" s="174"/>
      <c r="AR39" s="174"/>
      <c r="AS39" s="174"/>
      <c r="AT39" s="174"/>
      <c r="AU39" s="174"/>
      <c r="AV39" s="174"/>
      <c r="AW39" s="174"/>
      <c r="AX39" s="174"/>
      <c r="AY39" s="174"/>
      <c r="AZ39" s="174"/>
      <c r="BA39" s="174"/>
      <c r="BB39" s="174"/>
      <c r="BC39" s="175"/>
      <c r="BD39" s="175"/>
      <c r="BE39" s="175"/>
      <c r="BF39" s="175"/>
      <c r="BG39" s="175"/>
      <c r="BH39" s="175"/>
      <c r="BI39" s="175"/>
      <c r="BJ39" s="175"/>
      <c r="BK39" s="175"/>
      <c r="BL39" s="175"/>
      <c r="BM39" s="175"/>
      <c r="BN39" s="176">
        <f t="shared" ref="BN39:BO39" si="45">AP39+AR39+AT39+AV39+AX39+AZ39+BB39+BD39+BF39+BH39+BJ39+BL39</f>
        <v>0</v>
      </c>
      <c r="BO39" s="177">
        <f t="shared" si="45"/>
        <v>0</v>
      </c>
      <c r="BP39" s="178"/>
      <c r="BQ39" s="178"/>
      <c r="BR39" s="178"/>
      <c r="BS39" s="178"/>
      <c r="BT39" s="179"/>
      <c r="BU39" s="179"/>
      <c r="BV39" s="179"/>
      <c r="BW39" s="179"/>
      <c r="BX39" s="179"/>
      <c r="BY39" s="179"/>
      <c r="BZ39" s="179"/>
      <c r="CA39" s="180"/>
    </row>
    <row r="40" spans="1:79" ht="13.5" customHeight="1">
      <c r="A40" s="174" t="s">
        <v>227</v>
      </c>
      <c r="B40" s="174"/>
      <c r="C40" s="174"/>
      <c r="D40" s="174"/>
      <c r="E40" s="174"/>
      <c r="F40" s="174"/>
      <c r="G40" s="174"/>
      <c r="H40" s="174"/>
      <c r="I40" s="174"/>
      <c r="J40" s="174"/>
      <c r="K40" s="174"/>
      <c r="L40" s="174"/>
      <c r="M40" s="174"/>
      <c r="N40" s="174"/>
      <c r="O40" s="175"/>
      <c r="P40" s="175"/>
      <c r="Q40" s="175"/>
      <c r="R40" s="175"/>
      <c r="S40" s="175"/>
      <c r="T40" s="175"/>
      <c r="U40" s="175"/>
      <c r="V40" s="175"/>
      <c r="W40" s="175"/>
      <c r="X40" s="175"/>
      <c r="Y40" s="175"/>
      <c r="Z40" s="176">
        <f t="shared" ref="Z40:AA40" si="46">B40+D40+F40+H40+J40+L40+N40+P40+R40+T40+V40+X40</f>
        <v>0</v>
      </c>
      <c r="AA40" s="177">
        <f t="shared" si="46"/>
        <v>0</v>
      </c>
      <c r="AB40" s="179"/>
      <c r="AC40" s="179"/>
      <c r="AD40" s="179"/>
      <c r="AE40" s="179"/>
      <c r="AF40" s="179"/>
      <c r="AG40" s="179"/>
      <c r="AH40" s="179"/>
      <c r="AI40" s="179"/>
      <c r="AJ40" s="179"/>
      <c r="AK40" s="179"/>
      <c r="AL40" s="179"/>
      <c r="AM40" s="179"/>
      <c r="AN40" s="165"/>
      <c r="AO40" s="174" t="s">
        <v>227</v>
      </c>
      <c r="AP40" s="174"/>
      <c r="AQ40" s="174"/>
      <c r="AR40" s="174"/>
      <c r="AS40" s="174"/>
      <c r="AT40" s="174"/>
      <c r="AU40" s="174"/>
      <c r="AV40" s="174"/>
      <c r="AW40" s="174"/>
      <c r="AX40" s="174"/>
      <c r="AY40" s="174"/>
      <c r="AZ40" s="174"/>
      <c r="BA40" s="174"/>
      <c r="BB40" s="174"/>
      <c r="BC40" s="175"/>
      <c r="BD40" s="175"/>
      <c r="BE40" s="175"/>
      <c r="BF40" s="175"/>
      <c r="BG40" s="175"/>
      <c r="BH40" s="175"/>
      <c r="BI40" s="175"/>
      <c r="BJ40" s="175"/>
      <c r="BK40" s="175"/>
      <c r="BL40" s="175"/>
      <c r="BM40" s="175"/>
      <c r="BN40" s="176">
        <f t="shared" ref="BN40:BO40" si="47">AP40+AR40+AT40+AV40+AX40+AZ40+BB40+BD40+BF40+BH40+BJ40+BL40</f>
        <v>0</v>
      </c>
      <c r="BO40" s="177">
        <f t="shared" si="47"/>
        <v>0</v>
      </c>
      <c r="BP40" s="178"/>
      <c r="BQ40" s="178"/>
      <c r="BR40" s="178"/>
      <c r="BS40" s="178"/>
      <c r="BT40" s="179"/>
      <c r="BU40" s="179"/>
      <c r="BV40" s="179"/>
      <c r="BW40" s="179"/>
      <c r="BX40" s="179"/>
      <c r="BY40" s="179"/>
      <c r="BZ40" s="179"/>
      <c r="CA40" s="179"/>
    </row>
    <row r="41" spans="1:79" ht="13.5" customHeight="1">
      <c r="A41" s="174" t="s">
        <v>228</v>
      </c>
      <c r="B41" s="174"/>
      <c r="C41" s="174"/>
      <c r="D41" s="174"/>
      <c r="E41" s="174"/>
      <c r="F41" s="174"/>
      <c r="G41" s="174"/>
      <c r="H41" s="174"/>
      <c r="I41" s="174"/>
      <c r="J41" s="174"/>
      <c r="K41" s="174"/>
      <c r="L41" s="174"/>
      <c r="M41" s="174"/>
      <c r="N41" s="174"/>
      <c r="O41" s="175"/>
      <c r="P41" s="175"/>
      <c r="Q41" s="175"/>
      <c r="R41" s="175"/>
      <c r="S41" s="175"/>
      <c r="T41" s="175"/>
      <c r="U41" s="175"/>
      <c r="V41" s="175"/>
      <c r="W41" s="175"/>
      <c r="X41" s="175"/>
      <c r="Y41" s="175"/>
      <c r="Z41" s="176">
        <f t="shared" ref="Z41:AA41" si="48">B41+D41+F41+H41+J41+L41+N41+P41+R41+T41+V41+X41</f>
        <v>0</v>
      </c>
      <c r="AA41" s="177">
        <f t="shared" si="48"/>
        <v>0</v>
      </c>
      <c r="AB41" s="179"/>
      <c r="AC41" s="179"/>
      <c r="AD41" s="179"/>
      <c r="AE41" s="179"/>
      <c r="AF41" s="179"/>
      <c r="AG41" s="179"/>
      <c r="AH41" s="179"/>
      <c r="AI41" s="179"/>
      <c r="AJ41" s="179"/>
      <c r="AK41" s="179"/>
      <c r="AL41" s="179"/>
      <c r="AM41" s="179"/>
      <c r="AN41" s="165"/>
      <c r="AO41" s="174" t="s">
        <v>228</v>
      </c>
      <c r="AP41" s="174"/>
      <c r="AQ41" s="174"/>
      <c r="AR41" s="174"/>
      <c r="AS41" s="174"/>
      <c r="AT41" s="174"/>
      <c r="AU41" s="174"/>
      <c r="AV41" s="174"/>
      <c r="AW41" s="174"/>
      <c r="AX41" s="174"/>
      <c r="AY41" s="174"/>
      <c r="AZ41" s="174"/>
      <c r="BA41" s="174"/>
      <c r="BB41" s="174"/>
      <c r="BC41" s="175"/>
      <c r="BD41" s="175"/>
      <c r="BE41" s="175"/>
      <c r="BF41" s="175"/>
      <c r="BG41" s="175"/>
      <c r="BH41" s="175"/>
      <c r="BI41" s="175"/>
      <c r="BJ41" s="175"/>
      <c r="BK41" s="175"/>
      <c r="BL41" s="175"/>
      <c r="BM41" s="175"/>
      <c r="BN41" s="176">
        <f t="shared" ref="BN41:BO41" si="49">AP41+AR41+AT41+AV41+AX41+AZ41+BB41+BD41+BF41+BH41+BJ41+BL41</f>
        <v>0</v>
      </c>
      <c r="BO41" s="177">
        <f t="shared" si="49"/>
        <v>0</v>
      </c>
      <c r="BP41" s="178"/>
      <c r="BQ41" s="178"/>
      <c r="BR41" s="178"/>
      <c r="BS41" s="178"/>
      <c r="BT41" s="179"/>
      <c r="BU41" s="179"/>
      <c r="BV41" s="179"/>
      <c r="BW41" s="179"/>
      <c r="BX41" s="179"/>
      <c r="BY41" s="179"/>
      <c r="BZ41" s="179"/>
      <c r="CA41" s="179"/>
    </row>
    <row r="42" spans="1:79" ht="13.5" customHeight="1">
      <c r="A42" s="174" t="s">
        <v>229</v>
      </c>
      <c r="B42" s="174"/>
      <c r="C42" s="174"/>
      <c r="D42" s="174"/>
      <c r="E42" s="174"/>
      <c r="F42" s="174"/>
      <c r="G42" s="174"/>
      <c r="H42" s="174"/>
      <c r="I42" s="174"/>
      <c r="J42" s="174"/>
      <c r="K42" s="174"/>
      <c r="L42" s="174"/>
      <c r="M42" s="174"/>
      <c r="N42" s="174"/>
      <c r="O42" s="175"/>
      <c r="P42" s="175"/>
      <c r="Q42" s="175"/>
      <c r="R42" s="175"/>
      <c r="S42" s="175"/>
      <c r="T42" s="175"/>
      <c r="U42" s="175"/>
      <c r="V42" s="175"/>
      <c r="W42" s="175"/>
      <c r="X42" s="175"/>
      <c r="Y42" s="175"/>
      <c r="Z42" s="176">
        <f t="shared" ref="Z42:AA42" si="50">B42+D42+F42+H42+J42+L42+N42+P42+R42+T42+V42+X42</f>
        <v>0</v>
      </c>
      <c r="AA42" s="177">
        <f t="shared" si="50"/>
        <v>0</v>
      </c>
      <c r="AB42" s="179"/>
      <c r="AC42" s="179"/>
      <c r="AD42" s="179"/>
      <c r="AE42" s="179"/>
      <c r="AF42" s="179"/>
      <c r="AG42" s="179"/>
      <c r="AH42" s="179"/>
      <c r="AI42" s="179"/>
      <c r="AJ42" s="179"/>
      <c r="AK42" s="179"/>
      <c r="AL42" s="179"/>
      <c r="AM42" s="179"/>
      <c r="AN42" s="165"/>
      <c r="AO42" s="174" t="s">
        <v>229</v>
      </c>
      <c r="AP42" s="174"/>
      <c r="AQ42" s="174"/>
      <c r="AR42" s="174"/>
      <c r="AS42" s="174"/>
      <c r="AT42" s="174"/>
      <c r="AU42" s="174"/>
      <c r="AV42" s="174"/>
      <c r="AW42" s="174"/>
      <c r="AX42" s="174"/>
      <c r="AY42" s="174"/>
      <c r="AZ42" s="174"/>
      <c r="BA42" s="174"/>
      <c r="BB42" s="174"/>
      <c r="BC42" s="175"/>
      <c r="BD42" s="175"/>
      <c r="BE42" s="175"/>
      <c r="BF42" s="175"/>
      <c r="BG42" s="175"/>
      <c r="BH42" s="175"/>
      <c r="BI42" s="175"/>
      <c r="BJ42" s="175"/>
      <c r="BK42" s="175"/>
      <c r="BL42" s="175"/>
      <c r="BM42" s="175"/>
      <c r="BN42" s="176">
        <f t="shared" ref="BN42:BO42" si="51">AP42+AR42+AT42+AV42+AX42+AZ42+BB42+BD42+BF42+BH42+BJ42+BL42</f>
        <v>0</v>
      </c>
      <c r="BO42" s="177">
        <f t="shared" si="51"/>
        <v>0</v>
      </c>
      <c r="BP42" s="178"/>
      <c r="BQ42" s="178"/>
      <c r="BR42" s="178"/>
      <c r="BS42" s="178"/>
      <c r="BT42" s="179"/>
      <c r="BU42" s="179"/>
      <c r="BV42" s="179"/>
      <c r="BW42" s="179"/>
      <c r="BX42" s="179"/>
      <c r="BY42" s="179"/>
      <c r="BZ42" s="179"/>
      <c r="CA42" s="179"/>
    </row>
    <row r="43" spans="1:79" ht="13.5" customHeight="1">
      <c r="A43" s="174" t="s">
        <v>230</v>
      </c>
      <c r="B43" s="174"/>
      <c r="C43" s="174"/>
      <c r="D43" s="174"/>
      <c r="E43" s="174"/>
      <c r="F43" s="174"/>
      <c r="G43" s="174"/>
      <c r="H43" s="174"/>
      <c r="I43" s="174"/>
      <c r="J43" s="174"/>
      <c r="K43" s="174"/>
      <c r="L43" s="174"/>
      <c r="M43" s="174"/>
      <c r="N43" s="174"/>
      <c r="O43" s="175"/>
      <c r="P43" s="175"/>
      <c r="Q43" s="175"/>
      <c r="R43" s="175"/>
      <c r="S43" s="175"/>
      <c r="T43" s="175"/>
      <c r="U43" s="175"/>
      <c r="V43" s="175"/>
      <c r="W43" s="175"/>
      <c r="X43" s="175"/>
      <c r="Y43" s="175"/>
      <c r="Z43" s="176">
        <f t="shared" ref="Z43:AA43" si="52">B43+D43+F43+H43+J43+L43+N43+P43+R43+T43+V43+X43</f>
        <v>0</v>
      </c>
      <c r="AA43" s="177">
        <f t="shared" si="52"/>
        <v>0</v>
      </c>
      <c r="AB43" s="179"/>
      <c r="AC43" s="179"/>
      <c r="AD43" s="179"/>
      <c r="AE43" s="179"/>
      <c r="AF43" s="179"/>
      <c r="AG43" s="179"/>
      <c r="AH43" s="179"/>
      <c r="AI43" s="179"/>
      <c r="AJ43" s="179"/>
      <c r="AK43" s="179"/>
      <c r="AL43" s="179"/>
      <c r="AM43" s="179"/>
      <c r="AN43" s="165"/>
      <c r="AO43" s="174" t="s">
        <v>230</v>
      </c>
      <c r="AP43" s="174"/>
      <c r="AQ43" s="174"/>
      <c r="AR43" s="174"/>
      <c r="AS43" s="174"/>
      <c r="AT43" s="174"/>
      <c r="AU43" s="174"/>
      <c r="AV43" s="174"/>
      <c r="AW43" s="174"/>
      <c r="AX43" s="174"/>
      <c r="AY43" s="174"/>
      <c r="AZ43" s="174"/>
      <c r="BA43" s="174"/>
      <c r="BB43" s="174"/>
      <c r="BC43" s="175"/>
      <c r="BD43" s="175"/>
      <c r="BE43" s="175"/>
      <c r="BF43" s="175"/>
      <c r="BG43" s="175"/>
      <c r="BH43" s="175"/>
      <c r="BI43" s="175"/>
      <c r="BJ43" s="175"/>
      <c r="BK43" s="175"/>
      <c r="BL43" s="175"/>
      <c r="BM43" s="175"/>
      <c r="BN43" s="176">
        <f t="shared" ref="BN43:BO43" si="53">AP43+AR43+AT43+AV43+AX43+AZ43+BB43+BD43+BF43+BH43+BJ43+BL43</f>
        <v>0</v>
      </c>
      <c r="BO43" s="177">
        <f t="shared" si="53"/>
        <v>0</v>
      </c>
      <c r="BP43" s="178"/>
      <c r="BQ43" s="178"/>
      <c r="BR43" s="178"/>
      <c r="BS43" s="178"/>
      <c r="BT43" s="179"/>
      <c r="BU43" s="179"/>
      <c r="BV43" s="179"/>
      <c r="BW43" s="179"/>
      <c r="BX43" s="179"/>
      <c r="BY43" s="179"/>
      <c r="BZ43" s="179"/>
      <c r="CA43" s="179"/>
    </row>
    <row r="44" spans="1:79" ht="13.5" customHeight="1">
      <c r="A44" s="174" t="s">
        <v>231</v>
      </c>
      <c r="B44" s="174"/>
      <c r="C44" s="174"/>
      <c r="D44" s="174"/>
      <c r="E44" s="174"/>
      <c r="F44" s="174"/>
      <c r="G44" s="174"/>
      <c r="H44" s="174"/>
      <c r="I44" s="174"/>
      <c r="J44" s="174"/>
      <c r="K44" s="174"/>
      <c r="L44" s="174"/>
      <c r="M44" s="174"/>
      <c r="N44" s="174"/>
      <c r="O44" s="175"/>
      <c r="P44" s="175"/>
      <c r="Q44" s="175"/>
      <c r="R44" s="175"/>
      <c r="S44" s="175"/>
      <c r="T44" s="175"/>
      <c r="U44" s="175"/>
      <c r="V44" s="175"/>
      <c r="W44" s="175"/>
      <c r="X44" s="175"/>
      <c r="Y44" s="175"/>
      <c r="Z44" s="176">
        <f t="shared" ref="Z44:AA44" si="54">B44+D44+F44+H44+J44+L44+N44+P44+R44+T44+V44+X44</f>
        <v>0</v>
      </c>
      <c r="AA44" s="177">
        <f t="shared" si="54"/>
        <v>0</v>
      </c>
      <c r="AB44" s="179"/>
      <c r="AC44" s="179"/>
      <c r="AD44" s="179"/>
      <c r="AE44" s="179"/>
      <c r="AF44" s="179"/>
      <c r="AG44" s="179"/>
      <c r="AH44" s="179"/>
      <c r="AI44" s="179"/>
      <c r="AJ44" s="179"/>
      <c r="AK44" s="179"/>
      <c r="AL44" s="179"/>
      <c r="AM44" s="179"/>
      <c r="AN44" s="165"/>
      <c r="AO44" s="174" t="s">
        <v>231</v>
      </c>
      <c r="AP44" s="174"/>
      <c r="AQ44" s="174"/>
      <c r="AR44" s="174"/>
      <c r="AS44" s="174"/>
      <c r="AT44" s="174"/>
      <c r="AU44" s="174"/>
      <c r="AV44" s="174"/>
      <c r="AW44" s="174"/>
      <c r="AX44" s="174"/>
      <c r="AY44" s="174"/>
      <c r="AZ44" s="174"/>
      <c r="BA44" s="174"/>
      <c r="BB44" s="174"/>
      <c r="BC44" s="175"/>
      <c r="BD44" s="175"/>
      <c r="BE44" s="175"/>
      <c r="BF44" s="175"/>
      <c r="BG44" s="175"/>
      <c r="BH44" s="175"/>
      <c r="BI44" s="175"/>
      <c r="BJ44" s="175"/>
      <c r="BK44" s="175"/>
      <c r="BL44" s="175"/>
      <c r="BM44" s="175"/>
      <c r="BN44" s="176">
        <f t="shared" ref="BN44:BO44" si="55">AP44+AR44+AT44+AV44+AX44+AZ44+BB44+BD44+BF44+BH44+BJ44+BL44</f>
        <v>0</v>
      </c>
      <c r="BO44" s="177">
        <f t="shared" si="55"/>
        <v>0</v>
      </c>
      <c r="BP44" s="178"/>
      <c r="BQ44" s="178"/>
      <c r="BR44" s="178"/>
      <c r="BS44" s="178"/>
      <c r="BT44" s="179"/>
      <c r="BU44" s="179"/>
      <c r="BV44" s="179"/>
      <c r="BW44" s="179"/>
      <c r="BX44" s="179"/>
      <c r="BY44" s="179"/>
      <c r="BZ44" s="179"/>
      <c r="CA44" s="179"/>
    </row>
    <row r="45" spans="1:79" ht="13.5" customHeight="1">
      <c r="A45" s="174" t="s">
        <v>232</v>
      </c>
      <c r="B45" s="174"/>
      <c r="C45" s="174"/>
      <c r="D45" s="174"/>
      <c r="E45" s="174"/>
      <c r="F45" s="174"/>
      <c r="G45" s="174"/>
      <c r="H45" s="174"/>
      <c r="I45" s="174"/>
      <c r="J45" s="174"/>
      <c r="K45" s="174"/>
      <c r="L45" s="174"/>
      <c r="M45" s="174"/>
      <c r="N45" s="174"/>
      <c r="O45" s="175"/>
      <c r="P45" s="175"/>
      <c r="Q45" s="175"/>
      <c r="R45" s="175"/>
      <c r="S45" s="175"/>
      <c r="T45" s="175"/>
      <c r="U45" s="175"/>
      <c r="V45" s="175"/>
      <c r="W45" s="175"/>
      <c r="X45" s="175"/>
      <c r="Y45" s="175"/>
      <c r="Z45" s="176">
        <f t="shared" ref="Z45:AA45" si="56">B45+D45+F45+H45+J45+L45+N45+P45+R45+T45+V45+X45</f>
        <v>0</v>
      </c>
      <c r="AA45" s="177">
        <f t="shared" si="56"/>
        <v>0</v>
      </c>
      <c r="AB45" s="179"/>
      <c r="AC45" s="179"/>
      <c r="AD45" s="179"/>
      <c r="AE45" s="179"/>
      <c r="AF45" s="179"/>
      <c r="AG45" s="179"/>
      <c r="AH45" s="179"/>
      <c r="AI45" s="179"/>
      <c r="AJ45" s="179"/>
      <c r="AK45" s="179"/>
      <c r="AL45" s="179"/>
      <c r="AM45" s="179"/>
      <c r="AN45" s="165"/>
      <c r="AO45" s="174" t="s">
        <v>232</v>
      </c>
      <c r="AP45" s="174"/>
      <c r="AQ45" s="174"/>
      <c r="AR45" s="174"/>
      <c r="AS45" s="174"/>
      <c r="AT45" s="174"/>
      <c r="AU45" s="174"/>
      <c r="AV45" s="174"/>
      <c r="AW45" s="174"/>
      <c r="AX45" s="174"/>
      <c r="AY45" s="174"/>
      <c r="AZ45" s="174"/>
      <c r="BA45" s="174"/>
      <c r="BB45" s="174"/>
      <c r="BC45" s="175"/>
      <c r="BD45" s="175"/>
      <c r="BE45" s="175"/>
      <c r="BF45" s="175"/>
      <c r="BG45" s="175"/>
      <c r="BH45" s="175"/>
      <c r="BI45" s="175"/>
      <c r="BJ45" s="175"/>
      <c r="BK45" s="175"/>
      <c r="BL45" s="175"/>
      <c r="BM45" s="175"/>
      <c r="BN45" s="176">
        <f t="shared" ref="BN45:BO45" si="57">AP45+AR45+AT45+AV45+AX45+AZ45+BB45+BD45+BF45+BH45+BJ45+BL45</f>
        <v>0</v>
      </c>
      <c r="BO45" s="177">
        <f t="shared" si="57"/>
        <v>0</v>
      </c>
      <c r="BP45" s="178"/>
      <c r="BQ45" s="178"/>
      <c r="BR45" s="178"/>
      <c r="BS45" s="178"/>
      <c r="BT45" s="179"/>
      <c r="BU45" s="179"/>
      <c r="BV45" s="179"/>
      <c r="BW45" s="179"/>
      <c r="BX45" s="179"/>
      <c r="BY45" s="179"/>
      <c r="BZ45" s="179"/>
      <c r="CA45" s="179"/>
    </row>
    <row r="46" spans="1:79" ht="13.5" customHeight="1">
      <c r="A46" s="174" t="s">
        <v>233</v>
      </c>
      <c r="B46" s="174"/>
      <c r="C46" s="174"/>
      <c r="D46" s="174"/>
      <c r="E46" s="174"/>
      <c r="F46" s="174"/>
      <c r="G46" s="174"/>
      <c r="H46" s="174"/>
      <c r="I46" s="174"/>
      <c r="J46" s="174"/>
      <c r="K46" s="174"/>
      <c r="L46" s="174"/>
      <c r="M46" s="174"/>
      <c r="N46" s="174"/>
      <c r="O46" s="175"/>
      <c r="P46" s="175"/>
      <c r="Q46" s="175"/>
      <c r="R46" s="175"/>
      <c r="S46" s="175"/>
      <c r="T46" s="175"/>
      <c r="U46" s="175"/>
      <c r="V46" s="175"/>
      <c r="W46" s="175"/>
      <c r="X46" s="175"/>
      <c r="Y46" s="175"/>
      <c r="Z46" s="176">
        <f t="shared" ref="Z46:AA46" si="58">B46+D46+F46+H46+J46+L46+N46+P46+R46+T46+V46+X46</f>
        <v>0</v>
      </c>
      <c r="AA46" s="177">
        <f t="shared" si="58"/>
        <v>0</v>
      </c>
      <c r="AB46" s="179"/>
      <c r="AC46" s="179"/>
      <c r="AD46" s="179"/>
      <c r="AE46" s="179"/>
      <c r="AF46" s="179"/>
      <c r="AG46" s="179"/>
      <c r="AH46" s="179"/>
      <c r="AI46" s="179"/>
      <c r="AJ46" s="179"/>
      <c r="AK46" s="179"/>
      <c r="AL46" s="179"/>
      <c r="AM46" s="179"/>
      <c r="AN46" s="165"/>
      <c r="AO46" s="174" t="s">
        <v>233</v>
      </c>
      <c r="AP46" s="174"/>
      <c r="AQ46" s="174"/>
      <c r="AR46" s="174"/>
      <c r="AS46" s="174"/>
      <c r="AT46" s="174"/>
      <c r="AU46" s="174"/>
      <c r="AV46" s="174"/>
      <c r="AW46" s="174"/>
      <c r="AX46" s="174"/>
      <c r="AY46" s="174"/>
      <c r="AZ46" s="174"/>
      <c r="BA46" s="174"/>
      <c r="BB46" s="174"/>
      <c r="BC46" s="175"/>
      <c r="BD46" s="175"/>
      <c r="BE46" s="175"/>
      <c r="BF46" s="175"/>
      <c r="BG46" s="175"/>
      <c r="BH46" s="175"/>
      <c r="BI46" s="175"/>
      <c r="BJ46" s="175"/>
      <c r="BK46" s="175"/>
      <c r="BL46" s="175"/>
      <c r="BM46" s="175"/>
      <c r="BN46" s="176">
        <f t="shared" ref="BN46:BO46" si="59">AP46+AR46+AT46+AV46+AX46+AZ46+BB46+BD46+BF46+BH46+BJ46+BL46</f>
        <v>0</v>
      </c>
      <c r="BO46" s="177">
        <f t="shared" si="59"/>
        <v>0</v>
      </c>
      <c r="BP46" s="178"/>
      <c r="BQ46" s="178"/>
      <c r="BR46" s="178"/>
      <c r="BS46" s="178"/>
      <c r="BT46" s="179"/>
      <c r="BU46" s="179"/>
      <c r="BV46" s="179"/>
      <c r="BW46" s="179"/>
      <c r="BX46" s="179"/>
      <c r="BY46" s="179"/>
      <c r="BZ46" s="179"/>
      <c r="CA46" s="179"/>
    </row>
    <row r="47" spans="1:79" ht="13.5" customHeight="1">
      <c r="A47" s="174" t="s">
        <v>234</v>
      </c>
      <c r="B47" s="174"/>
      <c r="C47" s="174"/>
      <c r="D47" s="174"/>
      <c r="E47" s="174"/>
      <c r="F47" s="174"/>
      <c r="G47" s="174"/>
      <c r="H47" s="174"/>
      <c r="I47" s="174"/>
      <c r="J47" s="174"/>
      <c r="K47" s="174"/>
      <c r="L47" s="174"/>
      <c r="M47" s="174"/>
      <c r="N47" s="174"/>
      <c r="O47" s="175"/>
      <c r="P47" s="175"/>
      <c r="Q47" s="175"/>
      <c r="R47" s="175"/>
      <c r="S47" s="175"/>
      <c r="T47" s="175"/>
      <c r="U47" s="175"/>
      <c r="V47" s="175"/>
      <c r="W47" s="175"/>
      <c r="X47" s="175"/>
      <c r="Y47" s="175"/>
      <c r="Z47" s="176">
        <f t="shared" ref="Z47:AA47" si="60">B47+D47+F47+H47+J47+L47+N47+P47+R47+T47+V47+X47</f>
        <v>0</v>
      </c>
      <c r="AA47" s="177">
        <f t="shared" si="60"/>
        <v>0</v>
      </c>
      <c r="AB47" s="179"/>
      <c r="AC47" s="179"/>
      <c r="AD47" s="179"/>
      <c r="AE47" s="179"/>
      <c r="AF47" s="179"/>
      <c r="AG47" s="179"/>
      <c r="AH47" s="179"/>
      <c r="AI47" s="179"/>
      <c r="AJ47" s="179"/>
      <c r="AK47" s="179"/>
      <c r="AL47" s="179"/>
      <c r="AM47" s="179"/>
      <c r="AN47" s="165"/>
      <c r="AO47" s="174" t="s">
        <v>234</v>
      </c>
      <c r="AP47" s="174"/>
      <c r="AQ47" s="174"/>
      <c r="AR47" s="174"/>
      <c r="AS47" s="174"/>
      <c r="AT47" s="174"/>
      <c r="AU47" s="174"/>
      <c r="AV47" s="174"/>
      <c r="AW47" s="174"/>
      <c r="AX47" s="174"/>
      <c r="AY47" s="174"/>
      <c r="AZ47" s="174"/>
      <c r="BA47" s="174"/>
      <c r="BB47" s="174"/>
      <c r="BC47" s="175"/>
      <c r="BD47" s="175"/>
      <c r="BE47" s="175"/>
      <c r="BF47" s="175"/>
      <c r="BG47" s="175"/>
      <c r="BH47" s="175"/>
      <c r="BI47" s="175"/>
      <c r="BJ47" s="175"/>
      <c r="BK47" s="175"/>
      <c r="BL47" s="175"/>
      <c r="BM47" s="175"/>
      <c r="BN47" s="176">
        <f t="shared" ref="BN47:BO47" si="61">AP47+AR47+AT47+AV47+AX47+AZ47+BB47+BD47+BF47+BH47+BJ47+BL47</f>
        <v>0</v>
      </c>
      <c r="BO47" s="177">
        <f t="shared" si="61"/>
        <v>0</v>
      </c>
      <c r="BP47" s="178"/>
      <c r="BQ47" s="178"/>
      <c r="BR47" s="178"/>
      <c r="BS47" s="178"/>
      <c r="BT47" s="179"/>
      <c r="BU47" s="179"/>
      <c r="BV47" s="179"/>
      <c r="BW47" s="179"/>
      <c r="BX47" s="179"/>
      <c r="BY47" s="179"/>
      <c r="BZ47" s="179"/>
      <c r="CA47" s="179"/>
    </row>
    <row r="48" spans="1:79" ht="13.5" customHeight="1">
      <c r="A48" s="174" t="s">
        <v>235</v>
      </c>
      <c r="B48" s="174"/>
      <c r="C48" s="174"/>
      <c r="D48" s="174"/>
      <c r="E48" s="174"/>
      <c r="F48" s="174"/>
      <c r="G48" s="174"/>
      <c r="H48" s="174"/>
      <c r="I48" s="174"/>
      <c r="J48" s="174"/>
      <c r="K48" s="174"/>
      <c r="L48" s="174"/>
      <c r="M48" s="174"/>
      <c r="N48" s="174"/>
      <c r="O48" s="175"/>
      <c r="P48" s="175"/>
      <c r="Q48" s="175"/>
      <c r="R48" s="175"/>
      <c r="S48" s="175"/>
      <c r="T48" s="175"/>
      <c r="U48" s="175"/>
      <c r="V48" s="175"/>
      <c r="W48" s="175"/>
      <c r="X48" s="175"/>
      <c r="Y48" s="175"/>
      <c r="Z48" s="176">
        <f t="shared" ref="Z48:AA48" si="62">B48+D48+F48+H48+J48+L48+N48+P48+R48+T48+V48+X48</f>
        <v>0</v>
      </c>
      <c r="AA48" s="177">
        <f t="shared" si="62"/>
        <v>0</v>
      </c>
      <c r="AB48" s="179"/>
      <c r="AC48" s="179"/>
      <c r="AD48" s="179"/>
      <c r="AE48" s="179"/>
      <c r="AF48" s="179"/>
      <c r="AG48" s="179"/>
      <c r="AH48" s="179"/>
      <c r="AI48" s="179"/>
      <c r="AJ48" s="179"/>
      <c r="AK48" s="179"/>
      <c r="AL48" s="179"/>
      <c r="AM48" s="179"/>
      <c r="AN48" s="165"/>
      <c r="AO48" s="174" t="s">
        <v>235</v>
      </c>
      <c r="AP48" s="174"/>
      <c r="AQ48" s="174"/>
      <c r="AR48" s="174"/>
      <c r="AS48" s="174"/>
      <c r="AT48" s="174"/>
      <c r="AU48" s="174"/>
      <c r="AV48" s="174"/>
      <c r="AW48" s="174"/>
      <c r="AX48" s="174"/>
      <c r="AY48" s="174"/>
      <c r="AZ48" s="174"/>
      <c r="BA48" s="174"/>
      <c r="BB48" s="174"/>
      <c r="BC48" s="175"/>
      <c r="BD48" s="175"/>
      <c r="BE48" s="175"/>
      <c r="BF48" s="175"/>
      <c r="BG48" s="175"/>
      <c r="BH48" s="175"/>
      <c r="BI48" s="175"/>
      <c r="BJ48" s="175"/>
      <c r="BK48" s="175"/>
      <c r="BL48" s="175"/>
      <c r="BM48" s="175"/>
      <c r="BN48" s="176">
        <f t="shared" ref="BN48:BO48" si="63">AP48+AR48+AT48+AV48+AX48+AZ48+BB48+BD48+BF48+BH48+BJ48+BL48</f>
        <v>0</v>
      </c>
      <c r="BO48" s="177">
        <f t="shared" si="63"/>
        <v>0</v>
      </c>
      <c r="BP48" s="178"/>
      <c r="BQ48" s="178"/>
      <c r="BR48" s="178"/>
      <c r="BS48" s="178"/>
      <c r="BT48" s="179"/>
      <c r="BU48" s="179"/>
      <c r="BV48" s="179"/>
      <c r="BW48" s="179"/>
      <c r="BX48" s="179"/>
      <c r="BY48" s="179"/>
      <c r="BZ48" s="179"/>
      <c r="CA48" s="179"/>
    </row>
    <row r="49" spans="1:79" ht="13.5" customHeight="1">
      <c r="A49" s="174" t="s">
        <v>236</v>
      </c>
      <c r="B49" s="174"/>
      <c r="C49" s="174"/>
      <c r="D49" s="174"/>
      <c r="E49" s="174"/>
      <c r="F49" s="174"/>
      <c r="G49" s="174"/>
      <c r="H49" s="174"/>
      <c r="I49" s="174"/>
      <c r="J49" s="174"/>
      <c r="K49" s="174"/>
      <c r="L49" s="174"/>
      <c r="M49" s="174"/>
      <c r="N49" s="174"/>
      <c r="O49" s="175"/>
      <c r="P49" s="175"/>
      <c r="Q49" s="175"/>
      <c r="R49" s="175"/>
      <c r="S49" s="175"/>
      <c r="T49" s="175"/>
      <c r="U49" s="175"/>
      <c r="V49" s="175"/>
      <c r="W49" s="175"/>
      <c r="X49" s="175"/>
      <c r="Y49" s="175"/>
      <c r="Z49" s="176">
        <f t="shared" ref="Z49:AA49" si="64">B49+D49+F49+H49+J49+L49+N49+P49+R49+T49+V49+X49</f>
        <v>0</v>
      </c>
      <c r="AA49" s="177">
        <f t="shared" si="64"/>
        <v>0</v>
      </c>
      <c r="AB49" s="179"/>
      <c r="AC49" s="179"/>
      <c r="AD49" s="179"/>
      <c r="AE49" s="179"/>
      <c r="AF49" s="179"/>
      <c r="AG49" s="179"/>
      <c r="AH49" s="179"/>
      <c r="AI49" s="179"/>
      <c r="AJ49" s="179"/>
      <c r="AK49" s="179"/>
      <c r="AL49" s="179"/>
      <c r="AM49" s="179"/>
      <c r="AN49" s="165"/>
      <c r="AO49" s="174" t="s">
        <v>236</v>
      </c>
      <c r="AP49" s="174"/>
      <c r="AQ49" s="174"/>
      <c r="AR49" s="174"/>
      <c r="AS49" s="174"/>
      <c r="AT49" s="174"/>
      <c r="AU49" s="174"/>
      <c r="AV49" s="174"/>
      <c r="AW49" s="174"/>
      <c r="AX49" s="174"/>
      <c r="AY49" s="174"/>
      <c r="AZ49" s="174"/>
      <c r="BA49" s="174"/>
      <c r="BB49" s="174"/>
      <c r="BC49" s="175"/>
      <c r="BD49" s="175"/>
      <c r="BE49" s="175"/>
      <c r="BF49" s="175"/>
      <c r="BG49" s="175"/>
      <c r="BH49" s="175"/>
      <c r="BI49" s="175"/>
      <c r="BJ49" s="175"/>
      <c r="BK49" s="175"/>
      <c r="BL49" s="175"/>
      <c r="BM49" s="175"/>
      <c r="BN49" s="176">
        <f t="shared" ref="BN49:BO49" si="65">AP49+AR49+AT49+AV49+AX49+AZ49+BB49+BD49+BF49+BH49+BJ49+BL49</f>
        <v>0</v>
      </c>
      <c r="BO49" s="177">
        <f t="shared" si="65"/>
        <v>0</v>
      </c>
      <c r="BP49" s="178"/>
      <c r="BQ49" s="178"/>
      <c r="BR49" s="178"/>
      <c r="BS49" s="178"/>
      <c r="BT49" s="179"/>
      <c r="BU49" s="179"/>
      <c r="BV49" s="179"/>
      <c r="BW49" s="179"/>
      <c r="BX49" s="179"/>
      <c r="BY49" s="179"/>
      <c r="BZ49" s="179"/>
      <c r="CA49" s="179"/>
    </row>
    <row r="50" spans="1:79" ht="13.5" customHeight="1">
      <c r="A50" s="174" t="s">
        <v>237</v>
      </c>
      <c r="B50" s="174"/>
      <c r="C50" s="174"/>
      <c r="D50" s="174"/>
      <c r="E50" s="174"/>
      <c r="F50" s="174"/>
      <c r="G50" s="174"/>
      <c r="H50" s="174"/>
      <c r="I50" s="174"/>
      <c r="J50" s="174"/>
      <c r="K50" s="174"/>
      <c r="L50" s="174"/>
      <c r="M50" s="174"/>
      <c r="N50" s="174"/>
      <c r="O50" s="175"/>
      <c r="P50" s="175"/>
      <c r="Q50" s="175"/>
      <c r="R50" s="175"/>
      <c r="S50" s="175"/>
      <c r="T50" s="175"/>
      <c r="U50" s="175"/>
      <c r="V50" s="175"/>
      <c r="W50" s="175"/>
      <c r="X50" s="175"/>
      <c r="Y50" s="175"/>
      <c r="Z50" s="176">
        <f t="shared" ref="Z50:AA50" si="66">B50+D50+F50+H50+J50+L50+N50+P50+R50+T50+V50+X50</f>
        <v>0</v>
      </c>
      <c r="AA50" s="177">
        <f t="shared" si="66"/>
        <v>0</v>
      </c>
      <c r="AB50" s="179"/>
      <c r="AC50" s="179"/>
      <c r="AD50" s="179"/>
      <c r="AE50" s="179"/>
      <c r="AF50" s="179"/>
      <c r="AG50" s="179"/>
      <c r="AH50" s="179"/>
      <c r="AI50" s="179"/>
      <c r="AJ50" s="179"/>
      <c r="AK50" s="179"/>
      <c r="AL50" s="179"/>
      <c r="AM50" s="179"/>
      <c r="AN50" s="165"/>
      <c r="AO50" s="174" t="s">
        <v>237</v>
      </c>
      <c r="AP50" s="174"/>
      <c r="AQ50" s="174"/>
      <c r="AR50" s="174"/>
      <c r="AS50" s="174"/>
      <c r="AT50" s="174"/>
      <c r="AU50" s="174"/>
      <c r="AV50" s="174"/>
      <c r="AW50" s="174"/>
      <c r="AX50" s="174"/>
      <c r="AY50" s="174"/>
      <c r="AZ50" s="174"/>
      <c r="BA50" s="174"/>
      <c r="BB50" s="174"/>
      <c r="BC50" s="175"/>
      <c r="BD50" s="175"/>
      <c r="BE50" s="175"/>
      <c r="BF50" s="175"/>
      <c r="BG50" s="175"/>
      <c r="BH50" s="175"/>
      <c r="BI50" s="175"/>
      <c r="BJ50" s="175"/>
      <c r="BK50" s="175"/>
      <c r="BL50" s="175"/>
      <c r="BM50" s="175"/>
      <c r="BN50" s="176">
        <f t="shared" ref="BN50:BO50" si="67">AP50+AR50+AT50+AV50+AX50+AZ50+BB50+BD50+BF50+BH50+BJ50+BL50</f>
        <v>0</v>
      </c>
      <c r="BO50" s="177">
        <f t="shared" si="67"/>
        <v>0</v>
      </c>
      <c r="BP50" s="178"/>
      <c r="BQ50" s="178"/>
      <c r="BR50" s="178"/>
      <c r="BS50" s="178"/>
      <c r="BT50" s="179"/>
      <c r="BU50" s="179"/>
      <c r="BV50" s="179"/>
      <c r="BW50" s="179"/>
      <c r="BX50" s="179"/>
      <c r="BY50" s="179"/>
      <c r="BZ50" s="179"/>
      <c r="CA50" s="179"/>
    </row>
    <row r="51" spans="1:79" ht="13.5" customHeight="1">
      <c r="A51" s="174" t="s">
        <v>238</v>
      </c>
      <c r="B51" s="174"/>
      <c r="C51" s="174"/>
      <c r="D51" s="174"/>
      <c r="E51" s="174"/>
      <c r="F51" s="174"/>
      <c r="G51" s="174"/>
      <c r="H51" s="174"/>
      <c r="I51" s="174"/>
      <c r="J51" s="174"/>
      <c r="K51" s="174"/>
      <c r="L51" s="174"/>
      <c r="M51" s="174"/>
      <c r="N51" s="174"/>
      <c r="O51" s="175"/>
      <c r="P51" s="175"/>
      <c r="Q51" s="175"/>
      <c r="R51" s="175"/>
      <c r="S51" s="175"/>
      <c r="T51" s="175"/>
      <c r="U51" s="175"/>
      <c r="V51" s="175"/>
      <c r="W51" s="175"/>
      <c r="X51" s="175"/>
      <c r="Y51" s="175"/>
      <c r="Z51" s="176">
        <f t="shared" ref="Z51:AA51" si="68">B51+D51+F51+H51+J51+L51+N51+P51+R51+T51+V51+X51</f>
        <v>0</v>
      </c>
      <c r="AA51" s="177">
        <f t="shared" si="68"/>
        <v>0</v>
      </c>
      <c r="AB51" s="179"/>
      <c r="AC51" s="179"/>
      <c r="AD51" s="179"/>
      <c r="AE51" s="179"/>
      <c r="AF51" s="179"/>
      <c r="AG51" s="179"/>
      <c r="AH51" s="179"/>
      <c r="AI51" s="179"/>
      <c r="AJ51" s="179"/>
      <c r="AK51" s="179"/>
      <c r="AL51" s="179"/>
      <c r="AM51" s="179"/>
      <c r="AN51" s="165"/>
      <c r="AO51" s="174" t="s">
        <v>238</v>
      </c>
      <c r="AP51" s="174"/>
      <c r="AQ51" s="174"/>
      <c r="AR51" s="174"/>
      <c r="AS51" s="174"/>
      <c r="AT51" s="174"/>
      <c r="AU51" s="174"/>
      <c r="AV51" s="174"/>
      <c r="AW51" s="174"/>
      <c r="AX51" s="174"/>
      <c r="AY51" s="174"/>
      <c r="AZ51" s="174"/>
      <c r="BA51" s="174"/>
      <c r="BB51" s="174"/>
      <c r="BC51" s="175"/>
      <c r="BD51" s="175"/>
      <c r="BE51" s="175"/>
      <c r="BF51" s="175"/>
      <c r="BG51" s="175"/>
      <c r="BH51" s="175"/>
      <c r="BI51" s="175"/>
      <c r="BJ51" s="175"/>
      <c r="BK51" s="175"/>
      <c r="BL51" s="175"/>
      <c r="BM51" s="175"/>
      <c r="BN51" s="176">
        <f t="shared" ref="BN51:BO51" si="69">AP51+AR51+AT51+AV51+AX51+AZ51+BB51+BD51+BF51+BH51+BJ51+BL51</f>
        <v>0</v>
      </c>
      <c r="BO51" s="177">
        <f t="shared" si="69"/>
        <v>0</v>
      </c>
      <c r="BP51" s="178"/>
      <c r="BQ51" s="178"/>
      <c r="BR51" s="178"/>
      <c r="BS51" s="178"/>
      <c r="BT51" s="179"/>
      <c r="BU51" s="179"/>
      <c r="BV51" s="179"/>
      <c r="BW51" s="179"/>
      <c r="BX51" s="179"/>
      <c r="BY51" s="179"/>
      <c r="BZ51" s="179"/>
      <c r="CA51" s="179"/>
    </row>
    <row r="52" spans="1:79" ht="13.5" customHeight="1">
      <c r="A52" s="174" t="s">
        <v>239</v>
      </c>
      <c r="B52" s="174"/>
      <c r="C52" s="174"/>
      <c r="D52" s="174"/>
      <c r="E52" s="174"/>
      <c r="F52" s="174"/>
      <c r="G52" s="174"/>
      <c r="H52" s="174"/>
      <c r="I52" s="174"/>
      <c r="J52" s="174"/>
      <c r="K52" s="174"/>
      <c r="L52" s="174"/>
      <c r="M52" s="174"/>
      <c r="N52" s="174"/>
      <c r="O52" s="175"/>
      <c r="P52" s="175"/>
      <c r="Q52" s="175"/>
      <c r="R52" s="175"/>
      <c r="S52" s="175"/>
      <c r="T52" s="175"/>
      <c r="U52" s="175"/>
      <c r="V52" s="175"/>
      <c r="W52" s="175"/>
      <c r="X52" s="175"/>
      <c r="Y52" s="175"/>
      <c r="Z52" s="176">
        <f t="shared" ref="Z52:AA52" si="70">B52+D52+F52+H52+J52+L52+N52+P52+R52+T52+V52+X52</f>
        <v>0</v>
      </c>
      <c r="AA52" s="177">
        <f t="shared" si="70"/>
        <v>0</v>
      </c>
      <c r="AB52" s="179"/>
      <c r="AC52" s="179"/>
      <c r="AD52" s="179"/>
      <c r="AE52" s="179"/>
      <c r="AF52" s="179"/>
      <c r="AG52" s="179"/>
      <c r="AH52" s="179"/>
      <c r="AI52" s="179"/>
      <c r="AJ52" s="179"/>
      <c r="AK52" s="179"/>
      <c r="AL52" s="179"/>
      <c r="AM52" s="179"/>
      <c r="AN52" s="165"/>
      <c r="AO52" s="174" t="s">
        <v>239</v>
      </c>
      <c r="AP52" s="174"/>
      <c r="AQ52" s="174"/>
      <c r="AR52" s="174"/>
      <c r="AS52" s="174"/>
      <c r="AT52" s="174"/>
      <c r="AU52" s="174"/>
      <c r="AV52" s="174"/>
      <c r="AW52" s="174"/>
      <c r="AX52" s="174"/>
      <c r="AY52" s="174"/>
      <c r="AZ52" s="174"/>
      <c r="BA52" s="174"/>
      <c r="BB52" s="174"/>
      <c r="BC52" s="175"/>
      <c r="BD52" s="175"/>
      <c r="BE52" s="175"/>
      <c r="BF52" s="175"/>
      <c r="BG52" s="175"/>
      <c r="BH52" s="175"/>
      <c r="BI52" s="175"/>
      <c r="BJ52" s="175"/>
      <c r="BK52" s="175"/>
      <c r="BL52" s="175"/>
      <c r="BM52" s="175"/>
      <c r="BN52" s="176">
        <f t="shared" ref="BN52:BO52" si="71">AP52+AR52+AT52+AV52+AX52+AZ52+BB52+BD52+BF52+BH52+BJ52+BL52</f>
        <v>0</v>
      </c>
      <c r="BO52" s="177">
        <f t="shared" si="71"/>
        <v>0</v>
      </c>
      <c r="BP52" s="178"/>
      <c r="BQ52" s="178"/>
      <c r="BR52" s="178"/>
      <c r="BS52" s="178"/>
      <c r="BT52" s="179"/>
      <c r="BU52" s="179"/>
      <c r="BV52" s="179"/>
      <c r="BW52" s="179"/>
      <c r="BX52" s="179"/>
      <c r="BY52" s="179"/>
      <c r="BZ52" s="179"/>
      <c r="CA52" s="179"/>
    </row>
    <row r="53" spans="1:79" ht="13.5" customHeight="1">
      <c r="A53" s="174" t="s">
        <v>240</v>
      </c>
      <c r="B53" s="174"/>
      <c r="C53" s="174"/>
      <c r="D53" s="174"/>
      <c r="E53" s="174"/>
      <c r="F53" s="174"/>
      <c r="G53" s="174"/>
      <c r="H53" s="174"/>
      <c r="I53" s="174"/>
      <c r="J53" s="174"/>
      <c r="K53" s="174"/>
      <c r="L53" s="174"/>
      <c r="M53" s="174"/>
      <c r="N53" s="174"/>
      <c r="O53" s="175"/>
      <c r="P53" s="175"/>
      <c r="Q53" s="175"/>
      <c r="R53" s="175"/>
      <c r="S53" s="175"/>
      <c r="T53" s="175"/>
      <c r="U53" s="175"/>
      <c r="V53" s="175"/>
      <c r="W53" s="175"/>
      <c r="X53" s="175"/>
      <c r="Y53" s="175"/>
      <c r="Z53" s="176">
        <f t="shared" ref="Z53:AA53" si="72">B53+D53+F53+H53+J53+L53+N53+P53+R53+T53+V53+X53</f>
        <v>0</v>
      </c>
      <c r="AA53" s="177">
        <f t="shared" si="72"/>
        <v>0</v>
      </c>
      <c r="AB53" s="179"/>
      <c r="AC53" s="179"/>
      <c r="AD53" s="179"/>
      <c r="AE53" s="179"/>
      <c r="AF53" s="179"/>
      <c r="AG53" s="179"/>
      <c r="AH53" s="179"/>
      <c r="AI53" s="179"/>
      <c r="AJ53" s="179"/>
      <c r="AK53" s="179"/>
      <c r="AL53" s="179"/>
      <c r="AM53" s="179"/>
      <c r="AN53" s="165"/>
      <c r="AO53" s="174" t="s">
        <v>240</v>
      </c>
      <c r="AP53" s="174"/>
      <c r="AQ53" s="174"/>
      <c r="AR53" s="174"/>
      <c r="AS53" s="174"/>
      <c r="AT53" s="174"/>
      <c r="AU53" s="174"/>
      <c r="AV53" s="174"/>
      <c r="AW53" s="174"/>
      <c r="AX53" s="174"/>
      <c r="AY53" s="174"/>
      <c r="AZ53" s="174"/>
      <c r="BA53" s="174"/>
      <c r="BB53" s="174"/>
      <c r="BC53" s="175"/>
      <c r="BD53" s="175"/>
      <c r="BE53" s="175"/>
      <c r="BF53" s="175"/>
      <c r="BG53" s="175"/>
      <c r="BH53" s="175"/>
      <c r="BI53" s="175"/>
      <c r="BJ53" s="175"/>
      <c r="BK53" s="175"/>
      <c r="BL53" s="175"/>
      <c r="BM53" s="175"/>
      <c r="BN53" s="176">
        <f t="shared" ref="BN53:BO53" si="73">AP53+AR53+AT53+AV53+AX53+AZ53+BB53+BD53+BF53+BH53+BJ53+BL53</f>
        <v>0</v>
      </c>
      <c r="BO53" s="177">
        <f t="shared" si="73"/>
        <v>0</v>
      </c>
      <c r="BP53" s="178"/>
      <c r="BQ53" s="178"/>
      <c r="BR53" s="178"/>
      <c r="BS53" s="178"/>
      <c r="BT53" s="179"/>
      <c r="BU53" s="179"/>
      <c r="BV53" s="179"/>
      <c r="BW53" s="179"/>
      <c r="BX53" s="179"/>
      <c r="BY53" s="179"/>
      <c r="BZ53" s="179"/>
      <c r="CA53" s="179"/>
    </row>
    <row r="54" spans="1:79" ht="13.5" customHeight="1">
      <c r="A54" s="174" t="s">
        <v>241</v>
      </c>
      <c r="B54" s="174"/>
      <c r="C54" s="174"/>
      <c r="D54" s="174"/>
      <c r="E54" s="174"/>
      <c r="F54" s="174"/>
      <c r="G54" s="174"/>
      <c r="H54" s="174"/>
      <c r="I54" s="174"/>
      <c r="J54" s="174"/>
      <c r="K54" s="174"/>
      <c r="L54" s="174"/>
      <c r="M54" s="174"/>
      <c r="N54" s="174"/>
      <c r="O54" s="175"/>
      <c r="P54" s="175"/>
      <c r="Q54" s="175"/>
      <c r="R54" s="175"/>
      <c r="S54" s="175"/>
      <c r="T54" s="175"/>
      <c r="U54" s="175"/>
      <c r="V54" s="175"/>
      <c r="W54" s="175"/>
      <c r="X54" s="175"/>
      <c r="Y54" s="175"/>
      <c r="Z54" s="176">
        <f t="shared" ref="Z54:AA54" si="74">B54+D54+F54+H54+J54+L54+N54+P54+R54+T54+V54+X54</f>
        <v>0</v>
      </c>
      <c r="AA54" s="177">
        <f t="shared" si="74"/>
        <v>0</v>
      </c>
      <c r="AB54" s="179"/>
      <c r="AC54" s="179"/>
      <c r="AD54" s="179"/>
      <c r="AE54" s="179"/>
      <c r="AF54" s="179"/>
      <c r="AG54" s="179"/>
      <c r="AH54" s="179"/>
      <c r="AI54" s="179"/>
      <c r="AJ54" s="179"/>
      <c r="AK54" s="179"/>
      <c r="AL54" s="179"/>
      <c r="AM54" s="179"/>
      <c r="AN54" s="165"/>
      <c r="AO54" s="174" t="s">
        <v>241</v>
      </c>
      <c r="AP54" s="174"/>
      <c r="AQ54" s="174"/>
      <c r="AR54" s="174"/>
      <c r="AS54" s="174"/>
      <c r="AT54" s="174"/>
      <c r="AU54" s="174"/>
      <c r="AV54" s="174"/>
      <c r="AW54" s="174"/>
      <c r="AX54" s="174"/>
      <c r="AY54" s="174"/>
      <c r="AZ54" s="174"/>
      <c r="BA54" s="174"/>
      <c r="BB54" s="174"/>
      <c r="BC54" s="175"/>
      <c r="BD54" s="175"/>
      <c r="BE54" s="175"/>
      <c r="BF54" s="175"/>
      <c r="BG54" s="175"/>
      <c r="BH54" s="175"/>
      <c r="BI54" s="175"/>
      <c r="BJ54" s="175"/>
      <c r="BK54" s="175"/>
      <c r="BL54" s="175"/>
      <c r="BM54" s="175"/>
      <c r="BN54" s="176">
        <f t="shared" ref="BN54:BO54" si="75">AP54+AR54+AT54+AV54+AX54+AZ54+BB54+BD54+BF54+BH54+BJ54+BL54</f>
        <v>0</v>
      </c>
      <c r="BO54" s="177">
        <f t="shared" si="75"/>
        <v>0</v>
      </c>
      <c r="BP54" s="178"/>
      <c r="BQ54" s="178"/>
      <c r="BR54" s="178"/>
      <c r="BS54" s="178"/>
      <c r="BT54" s="179"/>
      <c r="BU54" s="179"/>
      <c r="BV54" s="179"/>
      <c r="BW54" s="179"/>
      <c r="BX54" s="179"/>
      <c r="BY54" s="179"/>
      <c r="BZ54" s="179"/>
      <c r="CA54" s="179"/>
    </row>
    <row r="55" spans="1:79" ht="13.5" customHeight="1">
      <c r="A55" s="174" t="s">
        <v>242</v>
      </c>
      <c r="B55" s="174"/>
      <c r="C55" s="174"/>
      <c r="D55" s="174"/>
      <c r="E55" s="174"/>
      <c r="F55" s="174"/>
      <c r="G55" s="174"/>
      <c r="H55" s="174"/>
      <c r="I55" s="174"/>
      <c r="J55" s="174"/>
      <c r="K55" s="174"/>
      <c r="L55" s="174"/>
      <c r="M55" s="174"/>
      <c r="N55" s="174"/>
      <c r="O55" s="175"/>
      <c r="P55" s="175"/>
      <c r="Q55" s="175"/>
      <c r="R55" s="175"/>
      <c r="S55" s="175"/>
      <c r="T55" s="175"/>
      <c r="U55" s="175"/>
      <c r="V55" s="175"/>
      <c r="W55" s="175"/>
      <c r="X55" s="175"/>
      <c r="Y55" s="175"/>
      <c r="Z55" s="176">
        <f t="shared" ref="Z55:AA55" si="76">B55+D55+F55+H55+J55+L55+N55+P55+R55+T55+V55+X55</f>
        <v>0</v>
      </c>
      <c r="AA55" s="177">
        <f t="shared" si="76"/>
        <v>0</v>
      </c>
      <c r="AB55" s="179"/>
      <c r="AC55" s="179"/>
      <c r="AD55" s="179"/>
      <c r="AE55" s="179"/>
      <c r="AF55" s="179"/>
      <c r="AG55" s="179"/>
      <c r="AH55" s="179"/>
      <c r="AI55" s="179"/>
      <c r="AJ55" s="179"/>
      <c r="AK55" s="179"/>
      <c r="AL55" s="179"/>
      <c r="AM55" s="179"/>
      <c r="AN55" s="165"/>
      <c r="AO55" s="174" t="s">
        <v>242</v>
      </c>
      <c r="AP55" s="174"/>
      <c r="AQ55" s="174"/>
      <c r="AR55" s="174"/>
      <c r="AS55" s="174"/>
      <c r="AT55" s="174"/>
      <c r="AU55" s="174"/>
      <c r="AV55" s="174"/>
      <c r="AW55" s="174"/>
      <c r="AX55" s="174"/>
      <c r="AY55" s="174"/>
      <c r="AZ55" s="174"/>
      <c r="BA55" s="174"/>
      <c r="BB55" s="174"/>
      <c r="BC55" s="175"/>
      <c r="BD55" s="175"/>
      <c r="BE55" s="175"/>
      <c r="BF55" s="175"/>
      <c r="BG55" s="175"/>
      <c r="BH55" s="175"/>
      <c r="BI55" s="175"/>
      <c r="BJ55" s="175"/>
      <c r="BK55" s="175"/>
      <c r="BL55" s="175"/>
      <c r="BM55" s="175"/>
      <c r="BN55" s="176">
        <f t="shared" ref="BN55:BO55" si="77">AP55+AR55+AT55+AV55+AX55+AZ55+BB55+BD55+BF55+BH55+BJ55+BL55</f>
        <v>0</v>
      </c>
      <c r="BO55" s="177">
        <f t="shared" si="77"/>
        <v>0</v>
      </c>
      <c r="BP55" s="178"/>
      <c r="BQ55" s="178"/>
      <c r="BR55" s="178"/>
      <c r="BS55" s="178"/>
      <c r="BT55" s="179"/>
      <c r="BU55" s="179"/>
      <c r="BV55" s="179"/>
      <c r="BW55" s="179"/>
      <c r="BX55" s="179"/>
      <c r="BY55" s="179"/>
      <c r="BZ55" s="179"/>
      <c r="CA55" s="179"/>
    </row>
    <row r="56" spans="1:79" ht="13.5" customHeight="1">
      <c r="A56" s="174" t="s">
        <v>243</v>
      </c>
      <c r="B56" s="174"/>
      <c r="C56" s="174"/>
      <c r="D56" s="174"/>
      <c r="E56" s="174"/>
      <c r="F56" s="174"/>
      <c r="G56" s="174"/>
      <c r="H56" s="174"/>
      <c r="I56" s="174"/>
      <c r="J56" s="174"/>
      <c r="K56" s="174"/>
      <c r="L56" s="174"/>
      <c r="M56" s="174"/>
      <c r="N56" s="174"/>
      <c r="O56" s="175"/>
      <c r="P56" s="175"/>
      <c r="Q56" s="175"/>
      <c r="R56" s="175"/>
      <c r="S56" s="175"/>
      <c r="T56" s="175"/>
      <c r="U56" s="175"/>
      <c r="V56" s="175"/>
      <c r="W56" s="175"/>
      <c r="X56" s="175"/>
      <c r="Y56" s="175"/>
      <c r="Z56" s="176">
        <f t="shared" ref="Z56:AA56" si="78">B56+D56+F56+H56+J56+L56+N56+P56+R56+T56+V56+X56</f>
        <v>0</v>
      </c>
      <c r="AA56" s="177">
        <f t="shared" si="78"/>
        <v>0</v>
      </c>
      <c r="AB56" s="179"/>
      <c r="AC56" s="179"/>
      <c r="AD56" s="179"/>
      <c r="AE56" s="179"/>
      <c r="AF56" s="179"/>
      <c r="AG56" s="179"/>
      <c r="AH56" s="179"/>
      <c r="AI56" s="179"/>
      <c r="AJ56" s="179"/>
      <c r="AK56" s="179"/>
      <c r="AL56" s="179"/>
      <c r="AM56" s="179"/>
      <c r="AN56" s="165"/>
      <c r="AO56" s="174" t="s">
        <v>243</v>
      </c>
      <c r="AP56" s="174"/>
      <c r="AQ56" s="174"/>
      <c r="AR56" s="174"/>
      <c r="AS56" s="174"/>
      <c r="AT56" s="174"/>
      <c r="AU56" s="174"/>
      <c r="AV56" s="174"/>
      <c r="AW56" s="174"/>
      <c r="AX56" s="174"/>
      <c r="AY56" s="174"/>
      <c r="AZ56" s="174"/>
      <c r="BA56" s="174"/>
      <c r="BB56" s="174"/>
      <c r="BC56" s="175"/>
      <c r="BD56" s="175"/>
      <c r="BE56" s="175"/>
      <c r="BF56" s="175"/>
      <c r="BG56" s="175"/>
      <c r="BH56" s="175"/>
      <c r="BI56" s="175"/>
      <c r="BJ56" s="175"/>
      <c r="BK56" s="175"/>
      <c r="BL56" s="175"/>
      <c r="BM56" s="175"/>
      <c r="BN56" s="176">
        <f t="shared" ref="BN56:BO56" si="79">AP56+AR56+AT56+AV56+AX56+AZ56+BB56+BD56+BF56+BH56+BJ56+BL56</f>
        <v>0</v>
      </c>
      <c r="BO56" s="177">
        <f t="shared" si="79"/>
        <v>0</v>
      </c>
      <c r="BP56" s="178"/>
      <c r="BQ56" s="178"/>
      <c r="BR56" s="178"/>
      <c r="BS56" s="178"/>
      <c r="BT56" s="179"/>
      <c r="BU56" s="179"/>
      <c r="BV56" s="179"/>
      <c r="BW56" s="179"/>
      <c r="BX56" s="179"/>
      <c r="BY56" s="179"/>
      <c r="BZ56" s="179"/>
      <c r="CA56" s="179"/>
    </row>
    <row r="57" spans="1:79" ht="13.5" customHeight="1">
      <c r="A57" s="174" t="s">
        <v>244</v>
      </c>
      <c r="B57" s="174"/>
      <c r="C57" s="174"/>
      <c r="D57" s="174"/>
      <c r="E57" s="174"/>
      <c r="F57" s="174"/>
      <c r="G57" s="174"/>
      <c r="H57" s="174"/>
      <c r="I57" s="174"/>
      <c r="J57" s="174"/>
      <c r="K57" s="174"/>
      <c r="L57" s="174"/>
      <c r="M57" s="174"/>
      <c r="N57" s="174"/>
      <c r="O57" s="175"/>
      <c r="P57" s="175"/>
      <c r="Q57" s="175"/>
      <c r="R57" s="175"/>
      <c r="S57" s="175"/>
      <c r="T57" s="175"/>
      <c r="U57" s="175"/>
      <c r="V57" s="175"/>
      <c r="W57" s="175"/>
      <c r="X57" s="175"/>
      <c r="Y57" s="175"/>
      <c r="Z57" s="176">
        <f t="shared" ref="Z57:AA57" si="80">B57+D57+F57+H57+J57+L57+N57+P57+R57+T57+V57+X57</f>
        <v>0</v>
      </c>
      <c r="AA57" s="177">
        <f t="shared" si="80"/>
        <v>0</v>
      </c>
      <c r="AB57" s="179"/>
      <c r="AC57" s="179"/>
      <c r="AD57" s="179"/>
      <c r="AE57" s="179"/>
      <c r="AF57" s="179"/>
      <c r="AG57" s="179"/>
      <c r="AH57" s="179"/>
      <c r="AI57" s="179"/>
      <c r="AJ57" s="179"/>
      <c r="AK57" s="179"/>
      <c r="AL57" s="179"/>
      <c r="AM57" s="179"/>
      <c r="AN57" s="165"/>
      <c r="AO57" s="174" t="s">
        <v>244</v>
      </c>
      <c r="AP57" s="174"/>
      <c r="AQ57" s="174"/>
      <c r="AR57" s="174"/>
      <c r="AS57" s="174"/>
      <c r="AT57" s="174"/>
      <c r="AU57" s="174"/>
      <c r="AV57" s="174"/>
      <c r="AW57" s="174"/>
      <c r="AX57" s="174"/>
      <c r="AY57" s="174"/>
      <c r="AZ57" s="174"/>
      <c r="BA57" s="174"/>
      <c r="BB57" s="174"/>
      <c r="BC57" s="175"/>
      <c r="BD57" s="175"/>
      <c r="BE57" s="175"/>
      <c r="BF57" s="175"/>
      <c r="BG57" s="175"/>
      <c r="BH57" s="175"/>
      <c r="BI57" s="175"/>
      <c r="BJ57" s="175"/>
      <c r="BK57" s="175"/>
      <c r="BL57" s="175"/>
      <c r="BM57" s="175"/>
      <c r="BN57" s="176">
        <f t="shared" ref="BN57:BO57" si="81">AP57+AR57+AT57+AV57+AX57+AZ57+BB57+BD57+BF57+BH57+BJ57+BL57</f>
        <v>0</v>
      </c>
      <c r="BO57" s="177">
        <f t="shared" si="81"/>
        <v>0</v>
      </c>
      <c r="BP57" s="178"/>
      <c r="BQ57" s="178"/>
      <c r="BR57" s="178"/>
      <c r="BS57" s="178"/>
      <c r="BT57" s="179"/>
      <c r="BU57" s="179"/>
      <c r="BV57" s="179"/>
      <c r="BW57" s="179"/>
      <c r="BX57" s="179"/>
      <c r="BY57" s="179"/>
      <c r="BZ57" s="179"/>
      <c r="CA57" s="179"/>
    </row>
    <row r="58" spans="1:79" ht="13.5" customHeight="1">
      <c r="A58" s="174" t="s">
        <v>245</v>
      </c>
      <c r="B58" s="174"/>
      <c r="C58" s="174"/>
      <c r="D58" s="174"/>
      <c r="E58" s="174"/>
      <c r="F58" s="174"/>
      <c r="G58" s="174"/>
      <c r="H58" s="174"/>
      <c r="I58" s="174"/>
      <c r="J58" s="174"/>
      <c r="K58" s="174"/>
      <c r="L58" s="174"/>
      <c r="M58" s="174"/>
      <c r="N58" s="174"/>
      <c r="O58" s="175"/>
      <c r="P58" s="175"/>
      <c r="Q58" s="175"/>
      <c r="R58" s="175"/>
      <c r="S58" s="175"/>
      <c r="T58" s="175"/>
      <c r="U58" s="175"/>
      <c r="V58" s="175"/>
      <c r="W58" s="175"/>
      <c r="X58" s="175"/>
      <c r="Y58" s="175"/>
      <c r="Z58" s="176">
        <f t="shared" ref="Z58:AA58" si="82">B58+D58+F58+H58+J58+L58+N58+P58+R58+T58+V58+X58</f>
        <v>0</v>
      </c>
      <c r="AA58" s="177">
        <f t="shared" si="82"/>
        <v>0</v>
      </c>
      <c r="AB58" s="179"/>
      <c r="AC58" s="179"/>
      <c r="AD58" s="179"/>
      <c r="AE58" s="179"/>
      <c r="AF58" s="179"/>
      <c r="AG58" s="179"/>
      <c r="AH58" s="179"/>
      <c r="AI58" s="179"/>
      <c r="AJ58" s="179"/>
      <c r="AK58" s="179"/>
      <c r="AL58" s="179"/>
      <c r="AM58" s="179"/>
      <c r="AN58" s="165"/>
      <c r="AO58" s="174" t="s">
        <v>245</v>
      </c>
      <c r="AP58" s="174"/>
      <c r="AQ58" s="174"/>
      <c r="AR58" s="174"/>
      <c r="AS58" s="174"/>
      <c r="AT58" s="174"/>
      <c r="AU58" s="174"/>
      <c r="AV58" s="174"/>
      <c r="AW58" s="174"/>
      <c r="AX58" s="174"/>
      <c r="AY58" s="174"/>
      <c r="AZ58" s="174"/>
      <c r="BA58" s="174"/>
      <c r="BB58" s="174"/>
      <c r="BC58" s="175"/>
      <c r="BD58" s="175"/>
      <c r="BE58" s="175"/>
      <c r="BF58" s="175"/>
      <c r="BG58" s="175"/>
      <c r="BH58" s="175"/>
      <c r="BI58" s="175"/>
      <c r="BJ58" s="175"/>
      <c r="BK58" s="175"/>
      <c r="BL58" s="175"/>
      <c r="BM58" s="175"/>
      <c r="BN58" s="176">
        <f t="shared" ref="BN58:BO58" si="83">AP58+AR58+AT58+AV58+AX58+AZ58+BB58+BD58+BF58+BH58+BJ58+BL58</f>
        <v>0</v>
      </c>
      <c r="BO58" s="177">
        <f t="shared" si="83"/>
        <v>0</v>
      </c>
      <c r="BP58" s="178"/>
      <c r="BQ58" s="178"/>
      <c r="BR58" s="178"/>
      <c r="BS58" s="178"/>
      <c r="BT58" s="179"/>
      <c r="BU58" s="179"/>
      <c r="BV58" s="179"/>
      <c r="BW58" s="179"/>
      <c r="BX58" s="179"/>
      <c r="BY58" s="179"/>
      <c r="BZ58" s="179"/>
      <c r="CA58" s="179"/>
    </row>
    <row r="59" spans="1:79" ht="13.5" customHeight="1">
      <c r="A59" s="174" t="s">
        <v>246</v>
      </c>
      <c r="B59" s="174"/>
      <c r="C59" s="174"/>
      <c r="D59" s="174"/>
      <c r="E59" s="174"/>
      <c r="F59" s="174"/>
      <c r="G59" s="174"/>
      <c r="H59" s="174"/>
      <c r="I59" s="174"/>
      <c r="J59" s="174"/>
      <c r="K59" s="174"/>
      <c r="L59" s="174"/>
      <c r="M59" s="174"/>
      <c r="N59" s="174"/>
      <c r="O59" s="175"/>
      <c r="P59" s="175"/>
      <c r="Q59" s="175"/>
      <c r="R59" s="175"/>
      <c r="S59" s="175"/>
      <c r="T59" s="175"/>
      <c r="U59" s="175"/>
      <c r="V59" s="175"/>
      <c r="W59" s="175"/>
      <c r="X59" s="175"/>
      <c r="Y59" s="175"/>
      <c r="Z59" s="176">
        <f t="shared" ref="Z59:AA59" si="84">B59+D59+F59+H59+J59+L59+N59+P59+R59+T59+V59+X59</f>
        <v>0</v>
      </c>
      <c r="AA59" s="177">
        <f t="shared" si="84"/>
        <v>0</v>
      </c>
      <c r="AB59" s="179"/>
      <c r="AC59" s="179"/>
      <c r="AD59" s="179"/>
      <c r="AE59" s="179"/>
      <c r="AF59" s="179"/>
      <c r="AG59" s="179"/>
      <c r="AH59" s="179"/>
      <c r="AI59" s="179"/>
      <c r="AJ59" s="179"/>
      <c r="AK59" s="179"/>
      <c r="AL59" s="179"/>
      <c r="AM59" s="179"/>
      <c r="AN59" s="165"/>
      <c r="AO59" s="174" t="s">
        <v>246</v>
      </c>
      <c r="AP59" s="174"/>
      <c r="AQ59" s="174"/>
      <c r="AR59" s="174"/>
      <c r="AS59" s="174"/>
      <c r="AT59" s="174"/>
      <c r="AU59" s="174"/>
      <c r="AV59" s="174"/>
      <c r="AW59" s="174"/>
      <c r="AX59" s="174"/>
      <c r="AY59" s="174"/>
      <c r="AZ59" s="174"/>
      <c r="BA59" s="174"/>
      <c r="BB59" s="174"/>
      <c r="BC59" s="175"/>
      <c r="BD59" s="175"/>
      <c r="BE59" s="175"/>
      <c r="BF59" s="175"/>
      <c r="BG59" s="175"/>
      <c r="BH59" s="175"/>
      <c r="BI59" s="175"/>
      <c r="BJ59" s="175"/>
      <c r="BK59" s="175"/>
      <c r="BL59" s="175"/>
      <c r="BM59" s="175"/>
      <c r="BN59" s="176">
        <f t="shared" ref="BN59:BO59" si="85">AP59+AR59+AT59+AV59+AX59+AZ59+BB59+BD59+BF59+BH59+BJ59+BL59</f>
        <v>0</v>
      </c>
      <c r="BO59" s="177">
        <f t="shared" si="85"/>
        <v>0</v>
      </c>
      <c r="BP59" s="178"/>
      <c r="BQ59" s="178"/>
      <c r="BR59" s="178"/>
      <c r="BS59" s="178"/>
      <c r="BT59" s="179"/>
      <c r="BU59" s="179"/>
      <c r="BV59" s="179"/>
      <c r="BW59" s="179"/>
      <c r="BX59" s="179"/>
      <c r="BY59" s="179"/>
      <c r="BZ59" s="179"/>
      <c r="CA59" s="179"/>
    </row>
    <row r="60" spans="1:79" ht="13.5" customHeight="1">
      <c r="A60" s="181" t="s">
        <v>247</v>
      </c>
      <c r="B60" s="182">
        <f t="shared" ref="B60:AM60" si="86">SUM(B39:B59)</f>
        <v>0</v>
      </c>
      <c r="C60" s="182">
        <f t="shared" si="86"/>
        <v>0</v>
      </c>
      <c r="D60" s="182">
        <f t="shared" si="86"/>
        <v>0</v>
      </c>
      <c r="E60" s="182">
        <f t="shared" si="86"/>
        <v>0</v>
      </c>
      <c r="F60" s="182">
        <f t="shared" si="86"/>
        <v>0</v>
      </c>
      <c r="G60" s="182">
        <f t="shared" si="86"/>
        <v>0</v>
      </c>
      <c r="H60" s="182">
        <f t="shared" si="86"/>
        <v>0</v>
      </c>
      <c r="I60" s="182">
        <f t="shared" si="86"/>
        <v>0</v>
      </c>
      <c r="J60" s="182">
        <f t="shared" si="86"/>
        <v>0</v>
      </c>
      <c r="K60" s="182">
        <f t="shared" si="86"/>
        <v>0</v>
      </c>
      <c r="L60" s="182">
        <f t="shared" si="86"/>
        <v>0</v>
      </c>
      <c r="M60" s="182">
        <f t="shared" si="86"/>
        <v>0</v>
      </c>
      <c r="N60" s="182">
        <f t="shared" si="86"/>
        <v>0</v>
      </c>
      <c r="O60" s="182">
        <f t="shared" si="86"/>
        <v>0</v>
      </c>
      <c r="P60" s="182">
        <f t="shared" si="86"/>
        <v>0</v>
      </c>
      <c r="Q60" s="182">
        <f t="shared" si="86"/>
        <v>0</v>
      </c>
      <c r="R60" s="182">
        <f t="shared" si="86"/>
        <v>0</v>
      </c>
      <c r="S60" s="182">
        <f t="shared" si="86"/>
        <v>0</v>
      </c>
      <c r="T60" s="182">
        <f t="shared" si="86"/>
        <v>0</v>
      </c>
      <c r="U60" s="182">
        <f t="shared" si="86"/>
        <v>0</v>
      </c>
      <c r="V60" s="182">
        <f t="shared" si="86"/>
        <v>0</v>
      </c>
      <c r="W60" s="182">
        <f t="shared" si="86"/>
        <v>0</v>
      </c>
      <c r="X60" s="182">
        <f t="shared" si="86"/>
        <v>0</v>
      </c>
      <c r="Y60" s="182">
        <f t="shared" si="86"/>
        <v>0</v>
      </c>
      <c r="Z60" s="182">
        <f t="shared" si="86"/>
        <v>0</v>
      </c>
      <c r="AA60" s="177">
        <f t="shared" si="86"/>
        <v>0</v>
      </c>
      <c r="AB60" s="182">
        <f t="shared" si="86"/>
        <v>0</v>
      </c>
      <c r="AC60" s="182">
        <f t="shared" si="86"/>
        <v>0</v>
      </c>
      <c r="AD60" s="182">
        <f t="shared" si="86"/>
        <v>0</v>
      </c>
      <c r="AE60" s="182">
        <f t="shared" si="86"/>
        <v>0</v>
      </c>
      <c r="AF60" s="182">
        <f t="shared" si="86"/>
        <v>0</v>
      </c>
      <c r="AG60" s="182">
        <f t="shared" si="86"/>
        <v>0</v>
      </c>
      <c r="AH60" s="182">
        <f t="shared" si="86"/>
        <v>0</v>
      </c>
      <c r="AI60" s="182">
        <f t="shared" si="86"/>
        <v>0</v>
      </c>
      <c r="AJ60" s="182">
        <f t="shared" si="86"/>
        <v>0</v>
      </c>
      <c r="AK60" s="182">
        <f t="shared" si="86"/>
        <v>0</v>
      </c>
      <c r="AL60" s="182">
        <f t="shared" si="86"/>
        <v>0</v>
      </c>
      <c r="AM60" s="182">
        <f t="shared" si="86"/>
        <v>0</v>
      </c>
      <c r="AN60" s="165"/>
      <c r="AO60" s="181" t="s">
        <v>247</v>
      </c>
      <c r="AP60" s="182">
        <f t="shared" ref="AP60:CA60" si="87">SUM(AP39:AP59)</f>
        <v>0</v>
      </c>
      <c r="AQ60" s="182">
        <f t="shared" si="87"/>
        <v>0</v>
      </c>
      <c r="AR60" s="182">
        <f t="shared" si="87"/>
        <v>0</v>
      </c>
      <c r="AS60" s="182">
        <f t="shared" si="87"/>
        <v>0</v>
      </c>
      <c r="AT60" s="182">
        <f t="shared" si="87"/>
        <v>0</v>
      </c>
      <c r="AU60" s="182">
        <f t="shared" si="87"/>
        <v>0</v>
      </c>
      <c r="AV60" s="182">
        <f t="shared" si="87"/>
        <v>0</v>
      </c>
      <c r="AW60" s="182">
        <f t="shared" si="87"/>
        <v>0</v>
      </c>
      <c r="AX60" s="182">
        <f t="shared" si="87"/>
        <v>0</v>
      </c>
      <c r="AY60" s="182">
        <f t="shared" si="87"/>
        <v>0</v>
      </c>
      <c r="AZ60" s="182">
        <f t="shared" si="87"/>
        <v>0</v>
      </c>
      <c r="BA60" s="182">
        <f t="shared" si="87"/>
        <v>0</v>
      </c>
      <c r="BB60" s="182">
        <f t="shared" si="87"/>
        <v>0</v>
      </c>
      <c r="BC60" s="182">
        <f t="shared" si="87"/>
        <v>0</v>
      </c>
      <c r="BD60" s="182">
        <f t="shared" si="87"/>
        <v>0</v>
      </c>
      <c r="BE60" s="182">
        <f t="shared" si="87"/>
        <v>0</v>
      </c>
      <c r="BF60" s="182">
        <f t="shared" si="87"/>
        <v>0</v>
      </c>
      <c r="BG60" s="182">
        <f t="shared" si="87"/>
        <v>0</v>
      </c>
      <c r="BH60" s="182">
        <f t="shared" si="87"/>
        <v>0</v>
      </c>
      <c r="BI60" s="182">
        <f t="shared" si="87"/>
        <v>0</v>
      </c>
      <c r="BJ60" s="182">
        <f t="shared" si="87"/>
        <v>0</v>
      </c>
      <c r="BK60" s="182">
        <f t="shared" si="87"/>
        <v>0</v>
      </c>
      <c r="BL60" s="182">
        <f t="shared" si="87"/>
        <v>0</v>
      </c>
      <c r="BM60" s="182">
        <f t="shared" si="87"/>
        <v>0</v>
      </c>
      <c r="BN60" s="183">
        <f t="shared" si="87"/>
        <v>0</v>
      </c>
      <c r="BO60" s="177">
        <f t="shared" si="87"/>
        <v>0</v>
      </c>
      <c r="BP60" s="177">
        <f t="shared" si="87"/>
        <v>0</v>
      </c>
      <c r="BQ60" s="177">
        <f t="shared" si="87"/>
        <v>0</v>
      </c>
      <c r="BR60" s="177">
        <f t="shared" si="87"/>
        <v>0</v>
      </c>
      <c r="BS60" s="177">
        <f t="shared" si="87"/>
        <v>0</v>
      </c>
      <c r="BT60" s="182">
        <f t="shared" si="87"/>
        <v>0</v>
      </c>
      <c r="BU60" s="182">
        <f t="shared" si="87"/>
        <v>0</v>
      </c>
      <c r="BV60" s="182">
        <f t="shared" si="87"/>
        <v>0</v>
      </c>
      <c r="BW60" s="182">
        <f t="shared" si="87"/>
        <v>0</v>
      </c>
      <c r="BX60" s="182">
        <f t="shared" si="87"/>
        <v>0</v>
      </c>
      <c r="BY60" s="182">
        <f t="shared" si="87"/>
        <v>0</v>
      </c>
      <c r="BZ60" s="182">
        <f t="shared" si="87"/>
        <v>0</v>
      </c>
      <c r="CA60" s="182">
        <f t="shared" si="87"/>
        <v>0</v>
      </c>
    </row>
    <row r="61" spans="1:79" ht="13.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row>
    <row r="62" spans="1:79" ht="13.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row>
    <row r="63" spans="1:79" ht="13.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row>
    <row r="64" spans="1:79" ht="13.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row>
    <row r="65" spans="1:79"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row>
    <row r="66" spans="1:79" ht="13.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row>
    <row r="67" spans="1:79"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row>
    <row r="68" spans="1:79"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row>
    <row r="69" spans="1:79" ht="13.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row>
    <row r="70" spans="1:79" ht="13.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row>
    <row r="71" spans="1:79"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row>
    <row r="72" spans="1:79"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row>
    <row r="73" spans="1:79" ht="13.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5"/>
      <c r="CA73" s="165"/>
    </row>
    <row r="74" spans="1:79"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row>
    <row r="75" spans="1:79" ht="13.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row>
    <row r="76" spans="1:79"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row>
    <row r="77" spans="1:79" ht="13.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row>
    <row r="78" spans="1:79"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row>
    <row r="79" spans="1:79" ht="13.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row>
    <row r="80" spans="1:79"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row>
    <row r="81" spans="1:79" ht="13.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row>
    <row r="82" spans="1:79" ht="13.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5"/>
      <c r="CA82" s="165"/>
    </row>
    <row r="83" spans="1:79" ht="13.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5"/>
      <c r="CA83" s="165"/>
    </row>
    <row r="84" spans="1:79" ht="13.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5"/>
      <c r="BZ84" s="165"/>
      <c r="CA84" s="165"/>
    </row>
    <row r="85" spans="1:79" ht="13.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5"/>
      <c r="CA85" s="165"/>
    </row>
    <row r="86" spans="1:79" ht="13.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row>
    <row r="87" spans="1:79" ht="13.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5"/>
      <c r="BZ87" s="165"/>
      <c r="CA87" s="165"/>
    </row>
    <row r="88" spans="1:79" ht="13.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5"/>
      <c r="BW88" s="165"/>
      <c r="BX88" s="165"/>
      <c r="BY88" s="165"/>
      <c r="BZ88" s="165"/>
      <c r="CA88" s="165"/>
    </row>
    <row r="89" spans="1:79" ht="13.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165"/>
      <c r="BT89" s="165"/>
      <c r="BU89" s="165"/>
      <c r="BV89" s="165"/>
      <c r="BW89" s="165"/>
      <c r="BX89" s="165"/>
      <c r="BY89" s="165"/>
      <c r="BZ89" s="165"/>
      <c r="CA89" s="165"/>
    </row>
    <row r="90" spans="1:79" ht="13.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165"/>
      <c r="BT90" s="165"/>
      <c r="BU90" s="165"/>
      <c r="BV90" s="165"/>
      <c r="BW90" s="165"/>
      <c r="BX90" s="165"/>
      <c r="BY90" s="165"/>
      <c r="BZ90" s="165"/>
      <c r="CA90" s="165"/>
    </row>
    <row r="91" spans="1:79" ht="13.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row>
    <row r="92" spans="1:79" ht="13.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165"/>
      <c r="BT92" s="165"/>
      <c r="BU92" s="165"/>
      <c r="BV92" s="165"/>
      <c r="BW92" s="165"/>
      <c r="BX92" s="165"/>
      <c r="BY92" s="165"/>
      <c r="BZ92" s="165"/>
      <c r="CA92" s="165"/>
    </row>
    <row r="93" spans="1:79" ht="13.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5"/>
      <c r="BO93" s="165"/>
      <c r="BP93" s="165"/>
      <c r="BQ93" s="165"/>
      <c r="BR93" s="165"/>
      <c r="BS93" s="165"/>
      <c r="BT93" s="165"/>
      <c r="BU93" s="165"/>
      <c r="BV93" s="165"/>
      <c r="BW93" s="165"/>
      <c r="BX93" s="165"/>
      <c r="BY93" s="165"/>
      <c r="BZ93" s="165"/>
      <c r="CA93" s="165"/>
    </row>
    <row r="94" spans="1:79" ht="13.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165"/>
      <c r="BT94" s="165"/>
      <c r="BU94" s="165"/>
      <c r="BV94" s="165"/>
      <c r="BW94" s="165"/>
      <c r="BX94" s="165"/>
      <c r="BY94" s="165"/>
      <c r="BZ94" s="165"/>
      <c r="CA94" s="165"/>
    </row>
    <row r="95" spans="1:79" ht="13.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5"/>
      <c r="BR95" s="165"/>
      <c r="BS95" s="165"/>
      <c r="BT95" s="165"/>
      <c r="BU95" s="165"/>
      <c r="BV95" s="165"/>
      <c r="BW95" s="165"/>
      <c r="BX95" s="165"/>
      <c r="BY95" s="165"/>
      <c r="BZ95" s="165"/>
      <c r="CA95" s="165"/>
    </row>
    <row r="96" spans="1:79" ht="13.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165"/>
      <c r="BT96" s="165"/>
      <c r="BU96" s="165"/>
      <c r="BV96" s="165"/>
      <c r="BW96" s="165"/>
      <c r="BX96" s="165"/>
      <c r="BY96" s="165"/>
      <c r="BZ96" s="165"/>
      <c r="CA96" s="165"/>
    </row>
    <row r="97" spans="1:79" ht="13.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165"/>
      <c r="BT97" s="165"/>
      <c r="BU97" s="165"/>
      <c r="BV97" s="165"/>
      <c r="BW97" s="165"/>
      <c r="BX97" s="165"/>
      <c r="BY97" s="165"/>
      <c r="BZ97" s="165"/>
      <c r="CA97" s="165"/>
    </row>
    <row r="98" spans="1:79" ht="13.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165"/>
      <c r="BT98" s="165"/>
      <c r="BU98" s="165"/>
      <c r="BV98" s="165"/>
      <c r="BW98" s="165"/>
      <c r="BX98" s="165"/>
      <c r="BY98" s="165"/>
      <c r="BZ98" s="165"/>
      <c r="CA98" s="165"/>
    </row>
    <row r="99" spans="1:79" ht="13.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165"/>
      <c r="BT99" s="165"/>
      <c r="BU99" s="165"/>
      <c r="BV99" s="165"/>
      <c r="BW99" s="165"/>
      <c r="BX99" s="165"/>
      <c r="BY99" s="165"/>
      <c r="BZ99" s="165"/>
      <c r="CA99" s="165"/>
    </row>
    <row r="100" spans="1:79" ht="13.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row>
  </sheetData>
  <mergeCells count="78">
    <mergeCell ref="BV37:CA37"/>
    <mergeCell ref="B7:CA7"/>
    <mergeCell ref="AX37:AY37"/>
    <mergeCell ref="AH37:AM37"/>
    <mergeCell ref="BL9:BM9"/>
    <mergeCell ref="BL37:BM37"/>
    <mergeCell ref="AZ37:BA37"/>
    <mergeCell ref="BB37:BC37"/>
    <mergeCell ref="BD37:BE37"/>
    <mergeCell ref="BF37:BG37"/>
    <mergeCell ref="BH37:BI37"/>
    <mergeCell ref="BJ37:BK37"/>
    <mergeCell ref="BN9:BO9"/>
    <mergeCell ref="BV9:CA9"/>
    <mergeCell ref="BP9:BU9"/>
    <mergeCell ref="AR9:AS9"/>
    <mergeCell ref="B35:CA35"/>
    <mergeCell ref="B34:CA34"/>
    <mergeCell ref="BY4:CA4"/>
    <mergeCell ref="A4:BX4"/>
    <mergeCell ref="BY1:CA1"/>
    <mergeCell ref="BY2:CA2"/>
    <mergeCell ref="BY3:CA3"/>
    <mergeCell ref="A1:BX1"/>
    <mergeCell ref="A2:BX2"/>
    <mergeCell ref="A3:BX3"/>
    <mergeCell ref="AO5:CA5"/>
    <mergeCell ref="B6:CA6"/>
    <mergeCell ref="A5:AM5"/>
    <mergeCell ref="AT9:AU9"/>
    <mergeCell ref="AV9:AW9"/>
    <mergeCell ref="AX9:AY9"/>
    <mergeCell ref="BH9:BI9"/>
    <mergeCell ref="BJ9:BK9"/>
    <mergeCell ref="AP9:AQ9"/>
    <mergeCell ref="A9:A10"/>
    <mergeCell ref="B9:C9"/>
    <mergeCell ref="AZ9:BA9"/>
    <mergeCell ref="BB9:BC9"/>
    <mergeCell ref="AH9:AM9"/>
    <mergeCell ref="AO9:AO10"/>
    <mergeCell ref="AB9:AG9"/>
    <mergeCell ref="N9:O9"/>
    <mergeCell ref="P9:Q9"/>
    <mergeCell ref="R9:S9"/>
    <mergeCell ref="T9:U9"/>
    <mergeCell ref="V9:W9"/>
    <mergeCell ref="X9:Y9"/>
    <mergeCell ref="BD9:BE9"/>
    <mergeCell ref="BF9:BG9"/>
    <mergeCell ref="D9:E9"/>
    <mergeCell ref="F9:G9"/>
    <mergeCell ref="H9:I9"/>
    <mergeCell ref="J9:K9"/>
    <mergeCell ref="L9:M9"/>
    <mergeCell ref="Z9:AA9"/>
    <mergeCell ref="A37:A38"/>
    <mergeCell ref="B37:C37"/>
    <mergeCell ref="BN37:BO37"/>
    <mergeCell ref="BP37:BU37"/>
    <mergeCell ref="AP37:AQ37"/>
    <mergeCell ref="AR37:AS37"/>
    <mergeCell ref="AO37:AO38"/>
    <mergeCell ref="AT37:AU37"/>
    <mergeCell ref="AV37:AW37"/>
    <mergeCell ref="D37:E37"/>
    <mergeCell ref="F37:G37"/>
    <mergeCell ref="J37:K37"/>
    <mergeCell ref="L37:M37"/>
    <mergeCell ref="AB37:AG37"/>
    <mergeCell ref="H37:I37"/>
    <mergeCell ref="N37:O37"/>
    <mergeCell ref="P37:Q37"/>
    <mergeCell ref="Z37:AA37"/>
    <mergeCell ref="R37:S37"/>
    <mergeCell ref="T37:U37"/>
    <mergeCell ref="V37:W37"/>
    <mergeCell ref="X37:Y37"/>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workbookViewId="0">
      <selection sqref="A1:B1"/>
    </sheetView>
  </sheetViews>
  <sheetFormatPr baseColWidth="10" defaultColWidth="14.42578125" defaultRowHeight="15" customHeight="1"/>
  <cols>
    <col min="1" max="1" width="48.42578125" customWidth="1"/>
    <col min="2" max="2" width="73.42578125" customWidth="1"/>
    <col min="3" max="3" width="10.85546875" customWidth="1"/>
    <col min="4" max="4" width="31.140625" customWidth="1"/>
    <col min="5" max="5" width="70.140625" customWidth="1"/>
    <col min="6" max="6" width="17.42578125" customWidth="1"/>
    <col min="7" max="11" width="10" customWidth="1"/>
  </cols>
  <sheetData>
    <row r="1" spans="1:11" ht="25.5" customHeight="1">
      <c r="A1" s="665" t="s">
        <v>133</v>
      </c>
      <c r="B1" s="473"/>
      <c r="C1" s="184"/>
      <c r="D1" s="184"/>
      <c r="E1" s="184"/>
      <c r="F1" s="184"/>
      <c r="G1" s="184"/>
      <c r="H1" s="184"/>
      <c r="I1" s="184"/>
      <c r="J1" s="184"/>
      <c r="K1" s="184"/>
    </row>
    <row r="2" spans="1:11" ht="25.5" customHeight="1">
      <c r="A2" s="654" t="s">
        <v>248</v>
      </c>
      <c r="B2" s="473"/>
      <c r="C2" s="184"/>
      <c r="D2" s="184"/>
      <c r="E2" s="184"/>
      <c r="F2" s="184"/>
      <c r="G2" s="184"/>
      <c r="H2" s="184"/>
      <c r="I2" s="184"/>
      <c r="J2" s="184"/>
      <c r="K2" s="184"/>
    </row>
    <row r="3" spans="1:11" ht="13.5" customHeight="1">
      <c r="A3" s="185" t="s">
        <v>249</v>
      </c>
      <c r="B3" s="185" t="s">
        <v>250</v>
      </c>
      <c r="C3" s="184"/>
      <c r="D3" s="184"/>
      <c r="E3" s="184"/>
      <c r="F3" s="184"/>
      <c r="G3" s="184"/>
      <c r="H3" s="184"/>
      <c r="I3" s="184"/>
      <c r="J3" s="184"/>
      <c r="K3" s="184"/>
    </row>
    <row r="4" spans="1:11" ht="13.5" customHeight="1">
      <c r="A4" s="186" t="s">
        <v>8</v>
      </c>
      <c r="B4" s="187" t="s">
        <v>251</v>
      </c>
      <c r="C4" s="184"/>
      <c r="D4" s="184"/>
      <c r="E4" s="184"/>
      <c r="F4" s="184"/>
      <c r="G4" s="184"/>
      <c r="H4" s="184"/>
      <c r="I4" s="184"/>
      <c r="J4" s="184"/>
      <c r="K4" s="184"/>
    </row>
    <row r="5" spans="1:11" ht="97.5" customHeight="1">
      <c r="A5" s="186" t="s">
        <v>10</v>
      </c>
      <c r="B5" s="188" t="s">
        <v>252</v>
      </c>
      <c r="C5" s="184"/>
      <c r="D5" s="184"/>
      <c r="E5" s="184"/>
      <c r="F5" s="184"/>
      <c r="G5" s="184"/>
      <c r="H5" s="184"/>
      <c r="I5" s="184"/>
      <c r="J5" s="184"/>
      <c r="K5" s="184"/>
    </row>
    <row r="6" spans="1:11" ht="13.5" customHeight="1">
      <c r="A6" s="186" t="s">
        <v>14</v>
      </c>
      <c r="B6" s="666" t="s">
        <v>253</v>
      </c>
      <c r="C6" s="184"/>
      <c r="D6" s="184"/>
      <c r="E6" s="184"/>
      <c r="F6" s="184"/>
      <c r="G6" s="184"/>
      <c r="H6" s="184"/>
      <c r="I6" s="184"/>
      <c r="J6" s="184"/>
      <c r="K6" s="184"/>
    </row>
    <row r="7" spans="1:11" ht="13.5" customHeight="1">
      <c r="A7" s="186" t="s">
        <v>16</v>
      </c>
      <c r="B7" s="652"/>
      <c r="C7" s="184"/>
      <c r="D7" s="184"/>
      <c r="E7" s="184"/>
      <c r="F7" s="184"/>
      <c r="G7" s="184"/>
      <c r="H7" s="184"/>
      <c r="I7" s="184"/>
      <c r="J7" s="184"/>
      <c r="K7" s="184"/>
    </row>
    <row r="8" spans="1:11" ht="13.5" customHeight="1">
      <c r="A8" s="186" t="s">
        <v>17</v>
      </c>
      <c r="B8" s="652"/>
      <c r="C8" s="184"/>
      <c r="D8" s="184"/>
      <c r="E8" s="184"/>
      <c r="F8" s="184"/>
      <c r="G8" s="184"/>
      <c r="H8" s="184"/>
      <c r="I8" s="184"/>
      <c r="J8" s="184"/>
      <c r="K8" s="184"/>
    </row>
    <row r="9" spans="1:11" ht="13.5" customHeight="1">
      <c r="A9" s="186" t="s">
        <v>254</v>
      </c>
      <c r="B9" s="507"/>
      <c r="C9" s="184"/>
      <c r="D9" s="184"/>
      <c r="E9" s="184"/>
      <c r="F9" s="184"/>
      <c r="G9" s="184"/>
      <c r="H9" s="184"/>
      <c r="I9" s="184"/>
      <c r="J9" s="184"/>
      <c r="K9" s="184"/>
    </row>
    <row r="10" spans="1:11" ht="27.75" customHeight="1">
      <c r="A10" s="186" t="s">
        <v>7</v>
      </c>
      <c r="B10" s="189" t="s">
        <v>255</v>
      </c>
      <c r="C10" s="184"/>
      <c r="D10" s="184"/>
      <c r="E10" s="184"/>
      <c r="F10" s="184"/>
      <c r="G10" s="184"/>
      <c r="H10" s="184"/>
      <c r="I10" s="184"/>
      <c r="J10" s="184"/>
      <c r="K10" s="184"/>
    </row>
    <row r="11" spans="1:11" ht="27.75" customHeight="1">
      <c r="A11" s="186" t="s">
        <v>25</v>
      </c>
      <c r="B11" s="189" t="s">
        <v>256</v>
      </c>
      <c r="C11" s="184"/>
      <c r="D11" s="184"/>
      <c r="E11" s="184"/>
      <c r="F11" s="184"/>
      <c r="G11" s="184"/>
      <c r="H11" s="184"/>
      <c r="I11" s="184"/>
      <c r="J11" s="184"/>
      <c r="K11" s="184"/>
    </row>
    <row r="12" spans="1:11" ht="55.5" customHeight="1">
      <c r="A12" s="186" t="s">
        <v>24</v>
      </c>
      <c r="B12" s="150" t="s">
        <v>257</v>
      </c>
      <c r="C12" s="184"/>
      <c r="D12" s="184"/>
      <c r="E12" s="184"/>
      <c r="F12" s="184"/>
      <c r="G12" s="184"/>
      <c r="H12" s="184"/>
      <c r="I12" s="184"/>
      <c r="J12" s="184"/>
      <c r="K12" s="184"/>
    </row>
    <row r="13" spans="1:11" ht="27.75" customHeight="1">
      <c r="A13" s="186" t="s">
        <v>258</v>
      </c>
      <c r="B13" s="150" t="s">
        <v>259</v>
      </c>
      <c r="C13" s="184"/>
      <c r="D13" s="184"/>
      <c r="E13" s="184"/>
      <c r="F13" s="184"/>
      <c r="G13" s="184"/>
      <c r="H13" s="184"/>
      <c r="I13" s="184"/>
      <c r="J13" s="184"/>
      <c r="K13" s="184"/>
    </row>
    <row r="14" spans="1:11" ht="27.75" customHeight="1">
      <c r="A14" s="186" t="s">
        <v>260</v>
      </c>
      <c r="B14" s="150" t="s">
        <v>261</v>
      </c>
      <c r="C14" s="184"/>
      <c r="D14" s="184"/>
      <c r="E14" s="184"/>
      <c r="F14" s="184"/>
      <c r="G14" s="184"/>
      <c r="H14" s="184"/>
      <c r="I14" s="184"/>
      <c r="J14" s="184"/>
      <c r="K14" s="184"/>
    </row>
    <row r="15" spans="1:11" ht="72" customHeight="1">
      <c r="A15" s="190" t="s">
        <v>262</v>
      </c>
      <c r="B15" s="147" t="s">
        <v>263</v>
      </c>
      <c r="C15" s="184"/>
      <c r="D15" s="184"/>
      <c r="E15" s="184"/>
      <c r="F15" s="184"/>
      <c r="G15" s="184"/>
      <c r="H15" s="184"/>
      <c r="I15" s="184"/>
      <c r="J15" s="184"/>
      <c r="K15" s="184"/>
    </row>
    <row r="16" spans="1:11" ht="168" customHeight="1">
      <c r="A16" s="190" t="s">
        <v>264</v>
      </c>
      <c r="B16" s="191" t="s">
        <v>265</v>
      </c>
      <c r="C16" s="184"/>
      <c r="D16" s="184"/>
      <c r="E16" s="184"/>
      <c r="F16" s="184"/>
      <c r="G16" s="184"/>
      <c r="H16" s="184"/>
      <c r="I16" s="184"/>
      <c r="J16" s="184"/>
      <c r="K16" s="184"/>
    </row>
    <row r="17" spans="1:11" ht="25.5" customHeight="1">
      <c r="A17" s="654" t="s">
        <v>266</v>
      </c>
      <c r="B17" s="473"/>
      <c r="C17" s="184"/>
      <c r="D17" s="184"/>
      <c r="E17" s="184"/>
      <c r="F17" s="184"/>
      <c r="G17" s="184"/>
      <c r="H17" s="184"/>
      <c r="I17" s="184"/>
      <c r="J17" s="184"/>
      <c r="K17" s="184"/>
    </row>
    <row r="18" spans="1:11" ht="13.5" customHeight="1">
      <c r="A18" s="185" t="s">
        <v>249</v>
      </c>
      <c r="B18" s="185" t="s">
        <v>250</v>
      </c>
      <c r="C18" s="184"/>
      <c r="D18" s="184"/>
      <c r="E18" s="184"/>
      <c r="F18" s="184"/>
      <c r="G18" s="184"/>
      <c r="H18" s="184"/>
      <c r="I18" s="184"/>
      <c r="J18" s="184"/>
      <c r="K18" s="184"/>
    </row>
    <row r="19" spans="1:11" ht="13.5" customHeight="1">
      <c r="A19" s="186" t="s">
        <v>8</v>
      </c>
      <c r="B19" s="187" t="s">
        <v>251</v>
      </c>
      <c r="C19" s="184"/>
      <c r="D19" s="184"/>
      <c r="E19" s="184"/>
      <c r="F19" s="184"/>
      <c r="G19" s="184"/>
      <c r="H19" s="184"/>
      <c r="I19" s="184"/>
      <c r="J19" s="184"/>
      <c r="K19" s="184"/>
    </row>
    <row r="20" spans="1:11" ht="97.5" customHeight="1">
      <c r="A20" s="186" t="s">
        <v>10</v>
      </c>
      <c r="B20" s="188" t="s">
        <v>267</v>
      </c>
      <c r="C20" s="184"/>
      <c r="D20" s="184"/>
      <c r="E20" s="184"/>
      <c r="F20" s="184"/>
      <c r="G20" s="184"/>
      <c r="H20" s="184"/>
      <c r="I20" s="184"/>
      <c r="J20" s="184"/>
      <c r="K20" s="184"/>
    </row>
    <row r="21" spans="1:11" ht="27.75" customHeight="1">
      <c r="A21" s="186" t="s">
        <v>268</v>
      </c>
      <c r="B21" s="150" t="s">
        <v>269</v>
      </c>
      <c r="C21" s="184"/>
      <c r="D21" s="184"/>
      <c r="E21" s="184"/>
      <c r="F21" s="184"/>
      <c r="G21" s="184"/>
      <c r="H21" s="184"/>
      <c r="I21" s="184"/>
      <c r="J21" s="184"/>
      <c r="K21" s="184"/>
    </row>
    <row r="22" spans="1:11" ht="42" customHeight="1">
      <c r="A22" s="186" t="s">
        <v>270</v>
      </c>
      <c r="B22" s="150" t="s">
        <v>271</v>
      </c>
      <c r="C22" s="184"/>
      <c r="D22" s="184"/>
      <c r="E22" s="184"/>
      <c r="F22" s="184"/>
      <c r="G22" s="184"/>
      <c r="H22" s="184"/>
      <c r="I22" s="184"/>
      <c r="J22" s="184"/>
      <c r="K22" s="184"/>
    </row>
    <row r="23" spans="1:11" ht="55.5" customHeight="1">
      <c r="A23" s="186" t="s">
        <v>272</v>
      </c>
      <c r="B23" s="150" t="s">
        <v>273</v>
      </c>
      <c r="C23" s="184"/>
      <c r="D23" s="184"/>
      <c r="E23" s="184"/>
      <c r="F23" s="184"/>
      <c r="G23" s="184"/>
      <c r="H23" s="184"/>
      <c r="I23" s="184"/>
      <c r="J23" s="184"/>
      <c r="K23" s="184"/>
    </row>
    <row r="24" spans="1:11" ht="27.75" customHeight="1">
      <c r="A24" s="186" t="s">
        <v>274</v>
      </c>
      <c r="B24" s="150" t="s">
        <v>275</v>
      </c>
      <c r="C24" s="184"/>
      <c r="D24" s="184"/>
      <c r="E24" s="184"/>
      <c r="F24" s="184"/>
      <c r="G24" s="184"/>
      <c r="H24" s="184"/>
      <c r="I24" s="184"/>
      <c r="J24" s="184"/>
      <c r="K24" s="184"/>
    </row>
    <row r="25" spans="1:11" ht="27.75" customHeight="1">
      <c r="A25" s="186" t="s">
        <v>276</v>
      </c>
      <c r="B25" s="150" t="s">
        <v>277</v>
      </c>
      <c r="C25" s="184"/>
      <c r="D25" s="184"/>
      <c r="E25" s="184"/>
      <c r="F25" s="184"/>
      <c r="G25" s="184"/>
      <c r="H25" s="184"/>
      <c r="I25" s="184"/>
      <c r="J25" s="184"/>
      <c r="K25" s="184"/>
    </row>
    <row r="26" spans="1:11" ht="45.75" customHeight="1">
      <c r="A26" s="186" t="s">
        <v>278</v>
      </c>
      <c r="B26" s="192" t="s">
        <v>279</v>
      </c>
      <c r="C26" s="184"/>
      <c r="D26" s="184"/>
      <c r="E26" s="184"/>
      <c r="F26" s="184"/>
      <c r="G26" s="184"/>
      <c r="H26" s="184"/>
      <c r="I26" s="184"/>
      <c r="J26" s="184"/>
      <c r="K26" s="184"/>
    </row>
    <row r="27" spans="1:11" ht="55.5" customHeight="1">
      <c r="A27" s="186" t="s">
        <v>145</v>
      </c>
      <c r="B27" s="192" t="s">
        <v>280</v>
      </c>
      <c r="C27" s="184"/>
      <c r="D27" s="184"/>
      <c r="E27" s="184"/>
      <c r="F27" s="184"/>
      <c r="G27" s="184"/>
      <c r="H27" s="184"/>
      <c r="I27" s="184"/>
      <c r="J27" s="184"/>
      <c r="K27" s="184"/>
    </row>
    <row r="28" spans="1:11" ht="42" customHeight="1">
      <c r="A28" s="186" t="s">
        <v>281</v>
      </c>
      <c r="B28" s="192" t="s">
        <v>282</v>
      </c>
      <c r="C28" s="184"/>
      <c r="D28" s="184"/>
      <c r="E28" s="184"/>
      <c r="F28" s="184"/>
      <c r="G28" s="184"/>
      <c r="H28" s="184"/>
      <c r="I28" s="184"/>
      <c r="J28" s="184"/>
      <c r="K28" s="184"/>
    </row>
    <row r="29" spans="1:11" ht="42" customHeight="1">
      <c r="A29" s="186" t="s">
        <v>283</v>
      </c>
      <c r="B29" s="192" t="s">
        <v>284</v>
      </c>
      <c r="C29" s="184"/>
      <c r="D29" s="184"/>
      <c r="E29" s="184"/>
      <c r="F29" s="184"/>
      <c r="G29" s="184"/>
      <c r="H29" s="184"/>
      <c r="I29" s="184"/>
      <c r="J29" s="184"/>
      <c r="K29" s="184"/>
    </row>
    <row r="30" spans="1:11" ht="42" customHeight="1">
      <c r="A30" s="186" t="s">
        <v>285</v>
      </c>
      <c r="B30" s="192" t="s">
        <v>286</v>
      </c>
      <c r="C30" s="184"/>
      <c r="D30" s="184"/>
      <c r="E30" s="184"/>
      <c r="F30" s="184"/>
      <c r="G30" s="184"/>
      <c r="H30" s="184"/>
      <c r="I30" s="184"/>
      <c r="J30" s="184"/>
      <c r="K30" s="184"/>
    </row>
    <row r="31" spans="1:11" ht="144" customHeight="1">
      <c r="A31" s="186" t="s">
        <v>287</v>
      </c>
      <c r="B31" s="192" t="s">
        <v>288</v>
      </c>
      <c r="C31" s="184"/>
      <c r="D31" s="184"/>
      <c r="E31" s="184"/>
      <c r="F31" s="184"/>
      <c r="G31" s="184"/>
      <c r="H31" s="184"/>
      <c r="I31" s="184"/>
      <c r="J31" s="184"/>
      <c r="K31" s="184"/>
    </row>
    <row r="32" spans="1:11" ht="27.75" customHeight="1">
      <c r="A32" s="186" t="s">
        <v>289</v>
      </c>
      <c r="B32" s="192" t="s">
        <v>290</v>
      </c>
      <c r="C32" s="184"/>
      <c r="D32" s="184"/>
      <c r="E32" s="184"/>
      <c r="F32" s="184"/>
      <c r="G32" s="184"/>
      <c r="H32" s="184"/>
      <c r="I32" s="184"/>
      <c r="J32" s="184"/>
      <c r="K32" s="184"/>
    </row>
    <row r="33" spans="1:11" ht="27.75" customHeight="1">
      <c r="A33" s="186" t="s">
        <v>291</v>
      </c>
      <c r="B33" s="192" t="s">
        <v>292</v>
      </c>
      <c r="C33" s="184"/>
      <c r="D33" s="184"/>
      <c r="E33" s="184"/>
      <c r="F33" s="184"/>
      <c r="G33" s="184"/>
      <c r="H33" s="184"/>
      <c r="I33" s="184"/>
      <c r="J33" s="184"/>
      <c r="K33" s="184"/>
    </row>
    <row r="34" spans="1:11" ht="27.75" customHeight="1">
      <c r="A34" s="186" t="s">
        <v>293</v>
      </c>
      <c r="B34" s="192" t="s">
        <v>294</v>
      </c>
      <c r="C34" s="184"/>
      <c r="D34" s="184"/>
      <c r="E34" s="184"/>
      <c r="F34" s="184"/>
      <c r="G34" s="184"/>
      <c r="H34" s="184"/>
      <c r="I34" s="184"/>
      <c r="J34" s="184"/>
      <c r="K34" s="184"/>
    </row>
    <row r="35" spans="1:11" ht="27.75" customHeight="1">
      <c r="A35" s="186" t="s">
        <v>295</v>
      </c>
      <c r="B35" s="192" t="s">
        <v>296</v>
      </c>
      <c r="C35" s="184"/>
      <c r="D35" s="184"/>
      <c r="E35" s="184"/>
      <c r="F35" s="184"/>
      <c r="G35" s="184"/>
      <c r="H35" s="184"/>
      <c r="I35" s="184"/>
      <c r="J35" s="184"/>
      <c r="K35" s="184"/>
    </row>
    <row r="36" spans="1:11" ht="84" customHeight="1">
      <c r="A36" s="186" t="s">
        <v>136</v>
      </c>
      <c r="B36" s="192" t="s">
        <v>297</v>
      </c>
      <c r="C36" s="184"/>
      <c r="D36" s="184"/>
      <c r="E36" s="184"/>
      <c r="F36" s="184"/>
      <c r="G36" s="184"/>
      <c r="H36" s="184"/>
      <c r="I36" s="184"/>
      <c r="J36" s="184"/>
      <c r="K36" s="184"/>
    </row>
    <row r="37" spans="1:11" ht="42" customHeight="1">
      <c r="A37" s="186" t="s">
        <v>298</v>
      </c>
      <c r="B37" s="192" t="s">
        <v>299</v>
      </c>
      <c r="C37" s="184"/>
      <c r="D37" s="184"/>
      <c r="E37" s="184"/>
      <c r="F37" s="184"/>
      <c r="G37" s="184"/>
      <c r="H37" s="184"/>
      <c r="I37" s="184"/>
      <c r="J37" s="184"/>
      <c r="K37" s="184"/>
    </row>
    <row r="38" spans="1:11" ht="42" customHeight="1">
      <c r="A38" s="190" t="s">
        <v>138</v>
      </c>
      <c r="B38" s="192" t="s">
        <v>300</v>
      </c>
      <c r="C38" s="184"/>
      <c r="D38" s="184"/>
      <c r="E38" s="184"/>
      <c r="F38" s="184"/>
      <c r="G38" s="184"/>
      <c r="H38" s="184"/>
      <c r="I38" s="184"/>
      <c r="J38" s="184"/>
      <c r="K38" s="184"/>
    </row>
    <row r="39" spans="1:11" ht="25.5" customHeight="1">
      <c r="A39" s="654" t="s">
        <v>301</v>
      </c>
      <c r="B39" s="473"/>
      <c r="C39" s="184"/>
      <c r="D39" s="184"/>
      <c r="E39" s="184"/>
      <c r="F39" s="184"/>
      <c r="G39" s="184"/>
      <c r="H39" s="184"/>
      <c r="I39" s="184"/>
      <c r="J39" s="184"/>
      <c r="K39" s="184"/>
    </row>
    <row r="40" spans="1:11" ht="13.5" customHeight="1">
      <c r="A40" s="665" t="s">
        <v>302</v>
      </c>
      <c r="B40" s="473"/>
      <c r="C40" s="184"/>
      <c r="D40" s="184"/>
      <c r="E40" s="184"/>
      <c r="F40" s="184"/>
      <c r="G40" s="184"/>
      <c r="H40" s="184"/>
      <c r="I40" s="184"/>
      <c r="J40" s="184"/>
      <c r="K40" s="184"/>
    </row>
    <row r="41" spans="1:11" ht="72" customHeight="1">
      <c r="A41" s="470" t="s">
        <v>303</v>
      </c>
      <c r="B41" s="473"/>
      <c r="C41" s="184"/>
      <c r="D41" s="184"/>
      <c r="E41" s="184"/>
      <c r="F41" s="184"/>
      <c r="G41" s="184"/>
      <c r="H41" s="184"/>
      <c r="I41" s="184"/>
      <c r="J41" s="184"/>
      <c r="K41" s="184"/>
    </row>
    <row r="42" spans="1:11" ht="13.5" customHeight="1">
      <c r="A42" s="184"/>
      <c r="B42" s="184"/>
      <c r="C42" s="184"/>
      <c r="D42" s="184"/>
      <c r="E42" s="184"/>
      <c r="F42" s="184"/>
      <c r="G42" s="184"/>
      <c r="H42" s="184"/>
      <c r="I42" s="184"/>
      <c r="J42" s="184"/>
      <c r="K42" s="184"/>
    </row>
    <row r="43" spans="1:11" ht="13.5" customHeight="1">
      <c r="A43" s="184"/>
      <c r="B43" s="184"/>
      <c r="C43" s="184"/>
      <c r="D43" s="184"/>
      <c r="E43" s="184"/>
      <c r="F43" s="184"/>
      <c r="G43" s="184"/>
      <c r="H43" s="184"/>
      <c r="I43" s="184"/>
      <c r="J43" s="184"/>
      <c r="K43" s="184"/>
    </row>
    <row r="44" spans="1:11" ht="13.5" customHeight="1">
      <c r="A44" s="184"/>
      <c r="B44" s="184"/>
      <c r="C44" s="184"/>
      <c r="D44" s="184"/>
      <c r="E44" s="184"/>
      <c r="F44" s="184"/>
      <c r="G44" s="184"/>
      <c r="H44" s="184"/>
      <c r="I44" s="184"/>
      <c r="J44" s="184"/>
      <c r="K44" s="184"/>
    </row>
    <row r="45" spans="1:11" ht="13.5" customHeight="1">
      <c r="A45" s="184"/>
      <c r="B45" s="184"/>
      <c r="C45" s="184"/>
      <c r="D45" s="184"/>
      <c r="E45" s="184"/>
      <c r="F45" s="184"/>
      <c r="G45" s="184"/>
      <c r="H45" s="184"/>
      <c r="I45" s="184"/>
      <c r="J45" s="184"/>
      <c r="K45" s="184"/>
    </row>
    <row r="46" spans="1:11" ht="13.5" customHeight="1">
      <c r="A46" s="184"/>
      <c r="B46" s="184"/>
      <c r="C46" s="184"/>
      <c r="D46" s="184"/>
      <c r="E46" s="184"/>
      <c r="F46" s="184"/>
      <c r="G46" s="184"/>
      <c r="H46" s="184"/>
      <c r="I46" s="184"/>
      <c r="J46" s="184"/>
      <c r="K46" s="184"/>
    </row>
    <row r="47" spans="1:11" ht="13.5" customHeight="1">
      <c r="A47" s="184"/>
      <c r="B47" s="184"/>
      <c r="C47" s="184"/>
      <c r="D47" s="184"/>
      <c r="E47" s="184"/>
      <c r="F47" s="184"/>
      <c r="G47" s="184"/>
      <c r="H47" s="184"/>
      <c r="I47" s="184"/>
      <c r="J47" s="184"/>
      <c r="K47" s="184"/>
    </row>
    <row r="48" spans="1:11" ht="13.5" customHeight="1">
      <c r="A48" s="184"/>
      <c r="B48" s="184"/>
      <c r="C48" s="184"/>
      <c r="D48" s="184"/>
      <c r="E48" s="184"/>
      <c r="F48" s="184"/>
      <c r="G48" s="184"/>
      <c r="H48" s="184"/>
      <c r="I48" s="184"/>
      <c r="J48" s="184"/>
      <c r="K48" s="184"/>
    </row>
    <row r="49" spans="1:11" ht="13.5" customHeight="1">
      <c r="A49" s="184"/>
      <c r="B49" s="184"/>
      <c r="C49" s="184"/>
      <c r="D49" s="184"/>
      <c r="E49" s="184"/>
      <c r="F49" s="184"/>
      <c r="G49" s="184"/>
      <c r="H49" s="184"/>
      <c r="I49" s="184"/>
      <c r="J49" s="184"/>
      <c r="K49" s="184"/>
    </row>
    <row r="50" spans="1:11" ht="13.5" customHeight="1">
      <c r="A50" s="184"/>
      <c r="B50" s="184"/>
      <c r="C50" s="184"/>
      <c r="D50" s="184"/>
      <c r="E50" s="184"/>
      <c r="F50" s="184"/>
      <c r="G50" s="184"/>
      <c r="H50" s="184"/>
      <c r="I50" s="184"/>
      <c r="J50" s="184"/>
      <c r="K50" s="184"/>
    </row>
    <row r="51" spans="1:11" ht="13.5" customHeight="1">
      <c r="A51" s="184"/>
      <c r="B51" s="184"/>
      <c r="C51" s="184"/>
      <c r="D51" s="184"/>
      <c r="E51" s="184"/>
      <c r="F51" s="184"/>
      <c r="G51" s="184"/>
      <c r="H51" s="184"/>
      <c r="I51" s="184"/>
      <c r="J51" s="184"/>
      <c r="K51" s="184"/>
    </row>
    <row r="52" spans="1:11" ht="13.5" customHeight="1">
      <c r="A52" s="184"/>
      <c r="B52" s="184"/>
      <c r="C52" s="184"/>
      <c r="D52" s="184"/>
      <c r="E52" s="184"/>
      <c r="F52" s="184"/>
      <c r="G52" s="184"/>
      <c r="H52" s="184"/>
      <c r="I52" s="184"/>
      <c r="J52" s="184"/>
      <c r="K52" s="184"/>
    </row>
    <row r="53" spans="1:11" ht="13.5" customHeight="1">
      <c r="A53" s="184"/>
      <c r="B53" s="184"/>
      <c r="C53" s="184"/>
      <c r="D53" s="184"/>
      <c r="E53" s="184"/>
      <c r="F53" s="184"/>
      <c r="G53" s="184"/>
      <c r="H53" s="184"/>
      <c r="I53" s="184"/>
      <c r="J53" s="184"/>
      <c r="K53" s="184"/>
    </row>
    <row r="54" spans="1:11" ht="13.5" customHeight="1">
      <c r="A54" s="184"/>
      <c r="B54" s="184"/>
      <c r="C54" s="184"/>
      <c r="D54" s="184"/>
      <c r="E54" s="184"/>
      <c r="F54" s="184"/>
      <c r="G54" s="184"/>
      <c r="H54" s="184"/>
      <c r="I54" s="184"/>
      <c r="J54" s="184"/>
      <c r="K54" s="184"/>
    </row>
    <row r="55" spans="1:11" ht="13.5" customHeight="1">
      <c r="A55" s="184"/>
      <c r="B55" s="184"/>
      <c r="C55" s="184"/>
      <c r="D55" s="184"/>
      <c r="E55" s="184"/>
      <c r="F55" s="184"/>
      <c r="G55" s="184"/>
      <c r="H55" s="184"/>
      <c r="I55" s="184"/>
      <c r="J55" s="184"/>
      <c r="K55" s="184"/>
    </row>
    <row r="56" spans="1:11" ht="13.5" customHeight="1">
      <c r="A56" s="184"/>
      <c r="B56" s="184"/>
      <c r="C56" s="184"/>
      <c r="D56" s="184"/>
      <c r="E56" s="184"/>
      <c r="F56" s="184"/>
      <c r="G56" s="184"/>
      <c r="H56" s="184"/>
      <c r="I56" s="184"/>
      <c r="J56" s="184"/>
      <c r="K56" s="184"/>
    </row>
    <row r="57" spans="1:11" ht="13.5" customHeight="1">
      <c r="A57" s="184"/>
      <c r="B57" s="184"/>
      <c r="C57" s="184"/>
      <c r="D57" s="184"/>
      <c r="E57" s="184"/>
      <c r="F57" s="184"/>
      <c r="G57" s="184"/>
      <c r="H57" s="184"/>
      <c r="I57" s="184"/>
      <c r="J57" s="184"/>
      <c r="K57" s="184"/>
    </row>
    <row r="58" spans="1:11" ht="13.5" customHeight="1">
      <c r="A58" s="184"/>
      <c r="B58" s="184"/>
      <c r="C58" s="184"/>
      <c r="D58" s="184"/>
      <c r="E58" s="184"/>
      <c r="F58" s="184"/>
      <c r="G58" s="184"/>
      <c r="H58" s="184"/>
      <c r="I58" s="184"/>
      <c r="J58" s="184"/>
      <c r="K58" s="184"/>
    </row>
    <row r="59" spans="1:11" ht="13.5" customHeight="1">
      <c r="A59" s="184"/>
      <c r="B59" s="184"/>
      <c r="C59" s="184"/>
      <c r="D59" s="184"/>
      <c r="E59" s="184"/>
      <c r="F59" s="184"/>
      <c r="G59" s="184"/>
      <c r="H59" s="184"/>
      <c r="I59" s="184"/>
      <c r="J59" s="184"/>
      <c r="K59" s="184"/>
    </row>
    <row r="60" spans="1:11" ht="13.5" customHeight="1">
      <c r="A60" s="184"/>
      <c r="B60" s="184"/>
      <c r="C60" s="184"/>
      <c r="D60" s="184"/>
      <c r="E60" s="184"/>
      <c r="F60" s="184"/>
      <c r="G60" s="184"/>
      <c r="H60" s="184"/>
      <c r="I60" s="184"/>
      <c r="J60" s="184"/>
      <c r="K60" s="184"/>
    </row>
    <row r="61" spans="1:11" ht="13.5" customHeight="1">
      <c r="A61" s="184"/>
      <c r="B61" s="184"/>
      <c r="C61" s="184"/>
      <c r="D61" s="184"/>
      <c r="E61" s="184"/>
      <c r="F61" s="184"/>
      <c r="G61" s="184"/>
      <c r="H61" s="184"/>
      <c r="I61" s="184"/>
      <c r="J61" s="184"/>
      <c r="K61" s="184"/>
    </row>
    <row r="62" spans="1:11" ht="13.5" customHeight="1">
      <c r="A62" s="184"/>
      <c r="B62" s="184"/>
      <c r="C62" s="184"/>
      <c r="D62" s="184"/>
      <c r="E62" s="184"/>
      <c r="F62" s="184"/>
      <c r="G62" s="184"/>
      <c r="H62" s="184"/>
      <c r="I62" s="184"/>
      <c r="J62" s="184"/>
      <c r="K62" s="184"/>
    </row>
    <row r="63" spans="1:11" ht="13.5" customHeight="1">
      <c r="A63" s="184"/>
      <c r="B63" s="184"/>
      <c r="C63" s="184"/>
      <c r="D63" s="184"/>
      <c r="E63" s="184"/>
      <c r="F63" s="184"/>
      <c r="G63" s="184"/>
      <c r="H63" s="184"/>
      <c r="I63" s="184"/>
      <c r="J63" s="184"/>
      <c r="K63" s="184"/>
    </row>
    <row r="64" spans="1:11" ht="13.5" customHeight="1">
      <c r="A64" s="184"/>
      <c r="B64" s="184"/>
      <c r="C64" s="184"/>
      <c r="D64" s="184"/>
      <c r="E64" s="184"/>
      <c r="F64" s="184"/>
      <c r="G64" s="184"/>
      <c r="H64" s="184"/>
      <c r="I64" s="184"/>
      <c r="J64" s="184"/>
      <c r="K64" s="184"/>
    </row>
    <row r="65" spans="1:11" ht="13.5" customHeight="1">
      <c r="A65" s="184"/>
      <c r="B65" s="184"/>
      <c r="C65" s="184"/>
      <c r="D65" s="184"/>
      <c r="E65" s="184"/>
      <c r="F65" s="184"/>
      <c r="G65" s="184"/>
      <c r="H65" s="184"/>
      <c r="I65" s="184"/>
      <c r="J65" s="184"/>
      <c r="K65" s="184"/>
    </row>
    <row r="66" spans="1:11" ht="13.5" customHeight="1">
      <c r="A66" s="184"/>
      <c r="B66" s="184"/>
      <c r="C66" s="184"/>
      <c r="D66" s="184"/>
      <c r="E66" s="184"/>
      <c r="F66" s="184"/>
      <c r="G66" s="184"/>
      <c r="H66" s="184"/>
      <c r="I66" s="184"/>
      <c r="J66" s="184"/>
      <c r="K66" s="184"/>
    </row>
    <row r="67" spans="1:11" ht="13.5" customHeight="1">
      <c r="A67" s="184"/>
      <c r="B67" s="184"/>
      <c r="C67" s="184"/>
      <c r="D67" s="184"/>
      <c r="E67" s="184"/>
      <c r="F67" s="184"/>
      <c r="G67" s="184"/>
      <c r="H67" s="184"/>
      <c r="I67" s="184"/>
      <c r="J67" s="184"/>
      <c r="K67" s="184"/>
    </row>
    <row r="68" spans="1:11" ht="13.5" customHeight="1">
      <c r="A68" s="184"/>
      <c r="B68" s="184"/>
      <c r="C68" s="184"/>
      <c r="D68" s="184"/>
      <c r="E68" s="184"/>
      <c r="F68" s="184"/>
      <c r="G68" s="184"/>
      <c r="H68" s="184"/>
      <c r="I68" s="184"/>
      <c r="J68" s="184"/>
      <c r="K68" s="184"/>
    </row>
    <row r="69" spans="1:11" ht="13.5" customHeight="1">
      <c r="A69" s="184"/>
      <c r="B69" s="184"/>
      <c r="C69" s="184"/>
      <c r="D69" s="184"/>
      <c r="E69" s="184"/>
      <c r="F69" s="184"/>
      <c r="G69" s="184"/>
      <c r="H69" s="184"/>
      <c r="I69" s="184"/>
      <c r="J69" s="184"/>
      <c r="K69" s="184"/>
    </row>
    <row r="70" spans="1:11" ht="13.5" customHeight="1">
      <c r="A70" s="184"/>
      <c r="B70" s="184"/>
      <c r="C70" s="184"/>
      <c r="D70" s="184"/>
      <c r="E70" s="184"/>
      <c r="F70" s="184"/>
      <c r="G70" s="184"/>
      <c r="H70" s="184"/>
      <c r="I70" s="184"/>
      <c r="J70" s="184"/>
      <c r="K70" s="184"/>
    </row>
    <row r="71" spans="1:11" ht="13.5" customHeight="1">
      <c r="A71" s="184"/>
      <c r="B71" s="184"/>
      <c r="C71" s="184"/>
      <c r="D71" s="184"/>
      <c r="E71" s="184"/>
      <c r="F71" s="184"/>
      <c r="G71" s="184"/>
      <c r="H71" s="184"/>
      <c r="I71" s="184"/>
      <c r="J71" s="184"/>
      <c r="K71" s="184"/>
    </row>
    <row r="72" spans="1:11" ht="13.5" customHeight="1">
      <c r="A72" s="184"/>
      <c r="B72" s="184"/>
      <c r="C72" s="184"/>
      <c r="D72" s="184"/>
      <c r="E72" s="184"/>
      <c r="F72" s="184"/>
      <c r="G72" s="184"/>
      <c r="H72" s="184"/>
      <c r="I72" s="184"/>
      <c r="J72" s="184"/>
      <c r="K72" s="184"/>
    </row>
    <row r="73" spans="1:11" ht="13.5" customHeight="1">
      <c r="A73" s="184"/>
      <c r="B73" s="184"/>
      <c r="C73" s="184"/>
      <c r="D73" s="184"/>
      <c r="E73" s="184"/>
      <c r="F73" s="184"/>
      <c r="G73" s="184"/>
      <c r="H73" s="184"/>
      <c r="I73" s="184"/>
      <c r="J73" s="184"/>
      <c r="K73" s="184"/>
    </row>
    <row r="74" spans="1:11" ht="13.5" customHeight="1">
      <c r="A74" s="184"/>
      <c r="B74" s="184"/>
      <c r="C74" s="184"/>
      <c r="D74" s="184"/>
      <c r="E74" s="184"/>
      <c r="F74" s="184"/>
      <c r="G74" s="184"/>
      <c r="H74" s="184"/>
      <c r="I74" s="184"/>
      <c r="J74" s="184"/>
      <c r="K74" s="184"/>
    </row>
    <row r="75" spans="1:11" ht="13.5" customHeight="1">
      <c r="A75" s="184"/>
      <c r="B75" s="184"/>
      <c r="C75" s="184"/>
      <c r="D75" s="184"/>
      <c r="E75" s="184"/>
      <c r="F75" s="184"/>
      <c r="G75" s="184"/>
      <c r="H75" s="184"/>
      <c r="I75" s="184"/>
      <c r="J75" s="184"/>
      <c r="K75" s="184"/>
    </row>
    <row r="76" spans="1:11" ht="13.5" customHeight="1">
      <c r="A76" s="184"/>
      <c r="B76" s="184"/>
      <c r="C76" s="184"/>
      <c r="D76" s="184"/>
      <c r="E76" s="184"/>
      <c r="F76" s="184"/>
      <c r="G76" s="184"/>
      <c r="H76" s="184"/>
      <c r="I76" s="184"/>
      <c r="J76" s="184"/>
      <c r="K76" s="184"/>
    </row>
    <row r="77" spans="1:11" ht="13.5" customHeight="1">
      <c r="A77" s="184"/>
      <c r="B77" s="184"/>
      <c r="C77" s="184"/>
      <c r="D77" s="184"/>
      <c r="E77" s="184"/>
      <c r="F77" s="184"/>
      <c r="G77" s="184"/>
      <c r="H77" s="184"/>
      <c r="I77" s="184"/>
      <c r="J77" s="184"/>
      <c r="K77" s="184"/>
    </row>
    <row r="78" spans="1:11" ht="13.5" customHeight="1">
      <c r="A78" s="184"/>
      <c r="B78" s="184"/>
      <c r="C78" s="184"/>
      <c r="D78" s="184"/>
      <c r="E78" s="184"/>
      <c r="F78" s="184"/>
      <c r="G78" s="184"/>
      <c r="H78" s="184"/>
      <c r="I78" s="184"/>
      <c r="J78" s="184"/>
      <c r="K78" s="184"/>
    </row>
    <row r="79" spans="1:11" ht="13.5" customHeight="1">
      <c r="A79" s="184"/>
      <c r="B79" s="184"/>
      <c r="C79" s="184"/>
      <c r="D79" s="184"/>
      <c r="E79" s="184"/>
      <c r="F79" s="184"/>
      <c r="G79" s="184"/>
      <c r="H79" s="184"/>
      <c r="I79" s="184"/>
      <c r="J79" s="184"/>
      <c r="K79" s="184"/>
    </row>
    <row r="80" spans="1:11" ht="13.5" customHeight="1">
      <c r="A80" s="184"/>
      <c r="B80" s="184"/>
      <c r="C80" s="184"/>
      <c r="D80" s="184"/>
      <c r="E80" s="184"/>
      <c r="F80" s="184"/>
      <c r="G80" s="184"/>
      <c r="H80" s="184"/>
      <c r="I80" s="184"/>
      <c r="J80" s="184"/>
      <c r="K80" s="184"/>
    </row>
    <row r="81" spans="1:11" ht="13.5" customHeight="1">
      <c r="A81" s="184"/>
      <c r="B81" s="184"/>
      <c r="C81" s="184"/>
      <c r="D81" s="184"/>
      <c r="E81" s="184"/>
      <c r="F81" s="184"/>
      <c r="G81" s="184"/>
      <c r="H81" s="184"/>
      <c r="I81" s="184"/>
      <c r="J81" s="184"/>
      <c r="K81" s="184"/>
    </row>
    <row r="82" spans="1:11" ht="13.5" customHeight="1">
      <c r="A82" s="184"/>
      <c r="B82" s="184"/>
      <c r="C82" s="184"/>
      <c r="D82" s="184"/>
      <c r="E82" s="184"/>
      <c r="F82" s="184"/>
      <c r="G82" s="184"/>
      <c r="H82" s="184"/>
      <c r="I82" s="184"/>
      <c r="J82" s="184"/>
      <c r="K82" s="184"/>
    </row>
    <row r="83" spans="1:11" ht="13.5" customHeight="1">
      <c r="A83" s="184"/>
      <c r="B83" s="184"/>
      <c r="C83" s="184"/>
      <c r="D83" s="184"/>
      <c r="E83" s="184"/>
      <c r="F83" s="184"/>
      <c r="G83" s="184"/>
      <c r="H83" s="184"/>
      <c r="I83" s="184"/>
      <c r="J83" s="184"/>
      <c r="K83" s="184"/>
    </row>
    <row r="84" spans="1:11" ht="13.5" customHeight="1">
      <c r="A84" s="184"/>
      <c r="B84" s="184"/>
      <c r="C84" s="184"/>
      <c r="D84" s="184"/>
      <c r="E84" s="184"/>
      <c r="F84" s="184"/>
      <c r="G84" s="184"/>
      <c r="H84" s="184"/>
      <c r="I84" s="184"/>
      <c r="J84" s="184"/>
      <c r="K84" s="184"/>
    </row>
    <row r="85" spans="1:11" ht="13.5" customHeight="1">
      <c r="A85" s="184"/>
      <c r="B85" s="184"/>
      <c r="C85" s="184"/>
      <c r="D85" s="184"/>
      <c r="E85" s="184"/>
      <c r="F85" s="184"/>
      <c r="G85" s="184"/>
      <c r="H85" s="184"/>
      <c r="I85" s="184"/>
      <c r="J85" s="184"/>
      <c r="K85" s="184"/>
    </row>
    <row r="86" spans="1:11" ht="13.5" customHeight="1">
      <c r="A86" s="184"/>
      <c r="B86" s="184"/>
      <c r="C86" s="184"/>
      <c r="D86" s="184"/>
      <c r="E86" s="184"/>
      <c r="F86" s="184"/>
      <c r="G86" s="184"/>
      <c r="H86" s="184"/>
      <c r="I86" s="184"/>
      <c r="J86" s="184"/>
      <c r="K86" s="184"/>
    </row>
    <row r="87" spans="1:11" ht="13.5" customHeight="1">
      <c r="A87" s="184"/>
      <c r="B87" s="184"/>
      <c r="C87" s="184"/>
      <c r="D87" s="184"/>
      <c r="E87" s="184"/>
      <c r="F87" s="184"/>
      <c r="G87" s="184"/>
      <c r="H87" s="184"/>
      <c r="I87" s="184"/>
      <c r="J87" s="184"/>
      <c r="K87" s="184"/>
    </row>
    <row r="88" spans="1:11" ht="13.5" customHeight="1">
      <c r="A88" s="184"/>
      <c r="B88" s="184"/>
      <c r="C88" s="184"/>
      <c r="D88" s="184"/>
      <c r="E88" s="184"/>
      <c r="F88" s="184"/>
      <c r="G88" s="184"/>
      <c r="H88" s="184"/>
      <c r="I88" s="184"/>
      <c r="J88" s="184"/>
      <c r="K88" s="184"/>
    </row>
    <row r="89" spans="1:11" ht="13.5" customHeight="1">
      <c r="A89" s="184"/>
      <c r="B89" s="184"/>
      <c r="C89" s="184"/>
      <c r="D89" s="184"/>
      <c r="E89" s="184"/>
      <c r="F89" s="184"/>
      <c r="G89" s="184"/>
      <c r="H89" s="184"/>
      <c r="I89" s="184"/>
      <c r="J89" s="184"/>
      <c r="K89" s="184"/>
    </row>
    <row r="90" spans="1:11" ht="13.5" customHeight="1">
      <c r="A90" s="184"/>
      <c r="B90" s="184"/>
      <c r="C90" s="184"/>
      <c r="D90" s="184"/>
      <c r="E90" s="184"/>
      <c r="F90" s="184"/>
      <c r="G90" s="184"/>
      <c r="H90" s="184"/>
      <c r="I90" s="184"/>
      <c r="J90" s="184"/>
      <c r="K90" s="184"/>
    </row>
    <row r="91" spans="1:11" ht="13.5" customHeight="1">
      <c r="A91" s="184"/>
      <c r="B91" s="184"/>
      <c r="C91" s="184"/>
      <c r="D91" s="184"/>
      <c r="E91" s="184"/>
      <c r="F91" s="184"/>
      <c r="G91" s="184"/>
      <c r="H91" s="184"/>
      <c r="I91" s="184"/>
      <c r="J91" s="184"/>
      <c r="K91" s="184"/>
    </row>
    <row r="92" spans="1:11" ht="13.5" customHeight="1">
      <c r="A92" s="184"/>
      <c r="B92" s="184"/>
      <c r="C92" s="184"/>
      <c r="D92" s="184"/>
      <c r="E92" s="184"/>
      <c r="F92" s="184"/>
      <c r="G92" s="184"/>
      <c r="H92" s="184"/>
      <c r="I92" s="184"/>
      <c r="J92" s="184"/>
      <c r="K92" s="184"/>
    </row>
    <row r="93" spans="1:11" ht="13.5" customHeight="1">
      <c r="A93" s="184"/>
      <c r="B93" s="184"/>
      <c r="C93" s="184"/>
      <c r="D93" s="184"/>
      <c r="E93" s="184"/>
      <c r="F93" s="184"/>
      <c r="G93" s="184"/>
      <c r="H93" s="184"/>
      <c r="I93" s="184"/>
      <c r="J93" s="184"/>
      <c r="K93" s="184"/>
    </row>
    <row r="94" spans="1:11" ht="13.5" customHeight="1">
      <c r="A94" s="184"/>
      <c r="B94" s="184"/>
      <c r="C94" s="184"/>
      <c r="D94" s="184"/>
      <c r="E94" s="184"/>
      <c r="F94" s="184"/>
      <c r="G94" s="184"/>
      <c r="H94" s="184"/>
      <c r="I94" s="184"/>
      <c r="J94" s="184"/>
      <c r="K94" s="184"/>
    </row>
    <row r="95" spans="1:11" ht="13.5" customHeight="1">
      <c r="A95" s="184"/>
      <c r="B95" s="184"/>
      <c r="C95" s="184"/>
      <c r="D95" s="184"/>
      <c r="E95" s="184"/>
      <c r="F95" s="184"/>
      <c r="G95" s="184"/>
      <c r="H95" s="184"/>
      <c r="I95" s="184"/>
      <c r="J95" s="184"/>
      <c r="K95" s="184"/>
    </row>
    <row r="96" spans="1:11" ht="13.5" customHeight="1">
      <c r="A96" s="184"/>
      <c r="B96" s="184"/>
      <c r="C96" s="184"/>
      <c r="D96" s="184"/>
      <c r="E96" s="184"/>
      <c r="F96" s="184"/>
      <c r="G96" s="184"/>
      <c r="H96" s="184"/>
      <c r="I96" s="184"/>
      <c r="J96" s="184"/>
      <c r="K96" s="184"/>
    </row>
    <row r="97" spans="1:11" ht="13.5" customHeight="1">
      <c r="A97" s="184"/>
      <c r="B97" s="184"/>
      <c r="C97" s="184"/>
      <c r="D97" s="184"/>
      <c r="E97" s="184"/>
      <c r="F97" s="184"/>
      <c r="G97" s="184"/>
      <c r="H97" s="184"/>
      <c r="I97" s="184"/>
      <c r="J97" s="184"/>
      <c r="K97" s="184"/>
    </row>
    <row r="98" spans="1:11" ht="13.5" customHeight="1">
      <c r="A98" s="184"/>
      <c r="B98" s="184"/>
      <c r="C98" s="184"/>
      <c r="D98" s="184"/>
      <c r="E98" s="184"/>
      <c r="F98" s="184"/>
      <c r="G98" s="184"/>
      <c r="H98" s="184"/>
      <c r="I98" s="184"/>
      <c r="J98" s="184"/>
      <c r="K98" s="184"/>
    </row>
    <row r="99" spans="1:11" ht="13.5" customHeight="1">
      <c r="A99" s="184"/>
      <c r="B99" s="184"/>
      <c r="C99" s="184"/>
      <c r="D99" s="184"/>
      <c r="E99" s="184"/>
      <c r="F99" s="184"/>
      <c r="G99" s="184"/>
      <c r="H99" s="184"/>
      <c r="I99" s="184"/>
      <c r="J99" s="184"/>
      <c r="K99" s="184"/>
    </row>
    <row r="100" spans="1:11" ht="13.5" customHeight="1">
      <c r="A100" s="184"/>
      <c r="B100" s="184"/>
      <c r="C100" s="184"/>
      <c r="D100" s="184"/>
      <c r="E100" s="184"/>
      <c r="F100" s="184"/>
      <c r="G100" s="184"/>
      <c r="H100" s="184"/>
      <c r="I100" s="184"/>
      <c r="J100" s="184"/>
      <c r="K100" s="184"/>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140625" customWidth="1"/>
    <col min="2" max="2" width="61.85546875" customWidth="1"/>
    <col min="3" max="3" width="61.140625" customWidth="1"/>
    <col min="4" max="4" width="81" customWidth="1"/>
    <col min="5" max="5" width="32.85546875" customWidth="1"/>
    <col min="6" max="6" width="19" customWidth="1"/>
    <col min="7" max="7" width="29.42578125" customWidth="1"/>
    <col min="8" max="8" width="36.42578125" customWidth="1"/>
    <col min="9" max="9" width="40" customWidth="1"/>
    <col min="10" max="11" width="10" customWidth="1"/>
  </cols>
  <sheetData>
    <row r="1" spans="1:11" ht="13.5" customHeight="1">
      <c r="A1" s="193" t="s">
        <v>304</v>
      </c>
      <c r="B1" s="193" t="s">
        <v>305</v>
      </c>
      <c r="C1" s="193" t="s">
        <v>306</v>
      </c>
      <c r="D1" s="193" t="s">
        <v>307</v>
      </c>
      <c r="E1" s="193" t="s">
        <v>285</v>
      </c>
      <c r="F1" s="193" t="s">
        <v>308</v>
      </c>
      <c r="G1" s="193" t="s">
        <v>309</v>
      </c>
      <c r="H1" s="193" t="s">
        <v>210</v>
      </c>
      <c r="I1" s="193" t="s">
        <v>276</v>
      </c>
      <c r="J1" s="194"/>
      <c r="K1" s="194"/>
    </row>
    <row r="2" spans="1:11" ht="13.5" customHeight="1">
      <c r="A2" s="174" t="s">
        <v>310</v>
      </c>
      <c r="B2" s="148" t="s">
        <v>311</v>
      </c>
      <c r="C2" s="174" t="s">
        <v>312</v>
      </c>
      <c r="D2" s="195" t="s">
        <v>313</v>
      </c>
      <c r="E2" s="196" t="s">
        <v>314</v>
      </c>
      <c r="F2" s="197" t="s">
        <v>315</v>
      </c>
      <c r="G2" s="143" t="s">
        <v>316</v>
      </c>
      <c r="H2" s="143" t="s">
        <v>317</v>
      </c>
      <c r="I2" s="197" t="s">
        <v>318</v>
      </c>
      <c r="J2" s="194"/>
      <c r="K2" s="194"/>
    </row>
    <row r="3" spans="1:11" ht="13.5" customHeight="1">
      <c r="A3" s="174" t="s">
        <v>319</v>
      </c>
      <c r="B3" s="148" t="s">
        <v>320</v>
      </c>
      <c r="C3" s="174" t="s">
        <v>321</v>
      </c>
      <c r="D3" s="198" t="s">
        <v>322</v>
      </c>
      <c r="E3" s="196" t="s">
        <v>323</v>
      </c>
      <c r="F3" s="197" t="s">
        <v>324</v>
      </c>
      <c r="G3" s="143" t="s">
        <v>325</v>
      </c>
      <c r="H3" s="143" t="s">
        <v>219</v>
      </c>
      <c r="I3" s="197" t="s">
        <v>326</v>
      </c>
      <c r="J3" s="165"/>
      <c r="K3" s="165"/>
    </row>
    <row r="4" spans="1:11" ht="13.5" customHeight="1">
      <c r="A4" s="174" t="s">
        <v>327</v>
      </c>
      <c r="B4" s="148" t="s">
        <v>328</v>
      </c>
      <c r="C4" s="174" t="s">
        <v>329</v>
      </c>
      <c r="D4" s="198" t="s">
        <v>330</v>
      </c>
      <c r="E4" s="196" t="s">
        <v>331</v>
      </c>
      <c r="F4" s="197" t="s">
        <v>332</v>
      </c>
      <c r="G4" s="143" t="s">
        <v>333</v>
      </c>
      <c r="H4" s="143" t="s">
        <v>214</v>
      </c>
      <c r="I4" s="197" t="s">
        <v>334</v>
      </c>
      <c r="J4" s="165"/>
      <c r="K4" s="165"/>
    </row>
    <row r="5" spans="1:11" ht="13.5" customHeight="1">
      <c r="A5" s="174" t="s">
        <v>335</v>
      </c>
      <c r="B5" s="148" t="s">
        <v>336</v>
      </c>
      <c r="C5" s="174" t="s">
        <v>337</v>
      </c>
      <c r="D5" s="198" t="s">
        <v>338</v>
      </c>
      <c r="E5" s="196" t="s">
        <v>339</v>
      </c>
      <c r="F5" s="197" t="s">
        <v>340</v>
      </c>
      <c r="G5" s="143" t="s">
        <v>341</v>
      </c>
      <c r="H5" s="143" t="s">
        <v>215</v>
      </c>
      <c r="I5" s="197" t="s">
        <v>342</v>
      </c>
      <c r="J5" s="165"/>
      <c r="K5" s="165"/>
    </row>
    <row r="6" spans="1:11" ht="27.75" customHeight="1">
      <c r="A6" s="174" t="s">
        <v>343</v>
      </c>
      <c r="B6" s="148" t="s">
        <v>344</v>
      </c>
      <c r="C6" s="174" t="s">
        <v>345</v>
      </c>
      <c r="D6" s="198" t="s">
        <v>346</v>
      </c>
      <c r="E6" s="196" t="s">
        <v>347</v>
      </c>
      <c r="F6" s="165"/>
      <c r="G6" s="143" t="s">
        <v>348</v>
      </c>
      <c r="H6" s="143" t="s">
        <v>216</v>
      </c>
      <c r="I6" s="197" t="s">
        <v>349</v>
      </c>
      <c r="J6" s="165"/>
      <c r="K6" s="165"/>
    </row>
    <row r="7" spans="1:11" ht="13.5" customHeight="1">
      <c r="A7" s="165"/>
      <c r="B7" s="148" t="s">
        <v>350</v>
      </c>
      <c r="C7" s="174" t="s">
        <v>351</v>
      </c>
      <c r="D7" s="198" t="s">
        <v>352</v>
      </c>
      <c r="E7" s="197" t="s">
        <v>353</v>
      </c>
      <c r="F7" s="165"/>
      <c r="G7" s="196" t="s">
        <v>225</v>
      </c>
      <c r="H7" s="143" t="s">
        <v>217</v>
      </c>
      <c r="I7" s="197" t="s">
        <v>354</v>
      </c>
      <c r="J7" s="165"/>
      <c r="K7" s="165"/>
    </row>
    <row r="8" spans="1:11" ht="27.75" customHeight="1">
      <c r="A8" s="199"/>
      <c r="B8" s="148" t="s">
        <v>355</v>
      </c>
      <c r="C8" s="174" t="s">
        <v>356</v>
      </c>
      <c r="D8" s="198" t="s">
        <v>357</v>
      </c>
      <c r="E8" s="197" t="s">
        <v>358</v>
      </c>
      <c r="F8" s="165"/>
      <c r="G8" s="165"/>
      <c r="H8" s="165"/>
      <c r="I8" s="197" t="s">
        <v>359</v>
      </c>
      <c r="J8" s="165"/>
      <c r="K8" s="165"/>
    </row>
    <row r="9" spans="1:11" ht="31.5" customHeight="1">
      <c r="A9" s="199"/>
      <c r="B9" s="148" t="s">
        <v>360</v>
      </c>
      <c r="C9" s="174" t="s">
        <v>361</v>
      </c>
      <c r="D9" s="198" t="s">
        <v>362</v>
      </c>
      <c r="E9" s="197" t="s">
        <v>363</v>
      </c>
      <c r="F9" s="165"/>
      <c r="G9" s="165"/>
      <c r="H9" s="165"/>
      <c r="I9" s="197" t="s">
        <v>364</v>
      </c>
      <c r="J9" s="165"/>
      <c r="K9" s="165"/>
    </row>
    <row r="10" spans="1:11" ht="13.5" customHeight="1">
      <c r="A10" s="199"/>
      <c r="B10" s="148" t="s">
        <v>365</v>
      </c>
      <c r="C10" s="174" t="s">
        <v>366</v>
      </c>
      <c r="D10" s="198" t="s">
        <v>367</v>
      </c>
      <c r="E10" s="197" t="s">
        <v>368</v>
      </c>
      <c r="F10" s="165"/>
      <c r="G10" s="165"/>
      <c r="H10" s="165"/>
      <c r="I10" s="197" t="s">
        <v>369</v>
      </c>
      <c r="J10" s="165"/>
      <c r="K10" s="165"/>
    </row>
    <row r="11" spans="1:11" ht="13.5" customHeight="1">
      <c r="A11" s="199"/>
      <c r="B11" s="148" t="s">
        <v>370</v>
      </c>
      <c r="C11" s="174" t="s">
        <v>371</v>
      </c>
      <c r="D11" s="198" t="s">
        <v>372</v>
      </c>
      <c r="E11" s="197" t="s">
        <v>373</v>
      </c>
      <c r="F11" s="165"/>
      <c r="G11" s="165"/>
      <c r="H11" s="165"/>
      <c r="I11" s="197" t="s">
        <v>374</v>
      </c>
      <c r="J11" s="165"/>
      <c r="K11" s="165"/>
    </row>
    <row r="12" spans="1:11" ht="27.75" customHeight="1">
      <c r="A12" s="199"/>
      <c r="B12" s="148" t="s">
        <v>375</v>
      </c>
      <c r="C12" s="174" t="s">
        <v>376</v>
      </c>
      <c r="D12" s="198" t="s">
        <v>377</v>
      </c>
      <c r="E12" s="197" t="s">
        <v>378</v>
      </c>
      <c r="F12" s="165"/>
      <c r="G12" s="165"/>
      <c r="H12" s="165"/>
      <c r="I12" s="197" t="s">
        <v>379</v>
      </c>
      <c r="J12" s="165"/>
      <c r="K12" s="165"/>
    </row>
    <row r="13" spans="1:11" ht="13.5" customHeight="1">
      <c r="A13" s="199"/>
      <c r="B13" s="200" t="s">
        <v>380</v>
      </c>
      <c r="C13" s="165"/>
      <c r="D13" s="198" t="s">
        <v>381</v>
      </c>
      <c r="E13" s="197" t="s">
        <v>382</v>
      </c>
      <c r="F13" s="165"/>
      <c r="G13" s="165"/>
      <c r="H13" s="165"/>
      <c r="I13" s="197" t="s">
        <v>383</v>
      </c>
      <c r="J13" s="165"/>
      <c r="K13" s="165"/>
    </row>
    <row r="14" spans="1:11" ht="13.5" customHeight="1">
      <c r="A14" s="199"/>
      <c r="B14" s="148" t="s">
        <v>384</v>
      </c>
      <c r="C14" s="199"/>
      <c r="D14" s="198" t="s">
        <v>385</v>
      </c>
      <c r="E14" s="197" t="s">
        <v>386</v>
      </c>
      <c r="F14" s="165"/>
      <c r="G14" s="165"/>
      <c r="H14" s="165"/>
      <c r="I14" s="165"/>
      <c r="J14" s="165"/>
      <c r="K14" s="165"/>
    </row>
    <row r="15" spans="1:11" ht="13.5" customHeight="1">
      <c r="A15" s="199"/>
      <c r="B15" s="148" t="s">
        <v>387</v>
      </c>
      <c r="C15" s="199"/>
      <c r="D15" s="198" t="s">
        <v>388</v>
      </c>
      <c r="E15" s="197" t="s">
        <v>389</v>
      </c>
      <c r="F15" s="165"/>
      <c r="G15" s="165"/>
      <c r="H15" s="165"/>
      <c r="I15" s="165"/>
      <c r="J15" s="165"/>
      <c r="K15" s="165"/>
    </row>
    <row r="16" spans="1:11" ht="13.5" customHeight="1">
      <c r="A16" s="199"/>
      <c r="B16" s="148" t="s">
        <v>390</v>
      </c>
      <c r="C16" s="199"/>
      <c r="D16" s="198" t="s">
        <v>391</v>
      </c>
      <c r="E16" s="201"/>
      <c r="F16" s="165"/>
      <c r="G16" s="165"/>
      <c r="H16" s="165"/>
      <c r="I16" s="165"/>
      <c r="J16" s="165"/>
      <c r="K16" s="165"/>
    </row>
    <row r="17" spans="1:11" ht="13.5" customHeight="1">
      <c r="A17" s="199"/>
      <c r="B17" s="148" t="s">
        <v>392</v>
      </c>
      <c r="C17" s="199"/>
      <c r="D17" s="198" t="s">
        <v>393</v>
      </c>
      <c r="E17" s="201"/>
      <c r="F17" s="165"/>
      <c r="G17" s="165"/>
      <c r="H17" s="165"/>
      <c r="I17" s="165"/>
      <c r="J17" s="165"/>
      <c r="K17" s="165"/>
    </row>
    <row r="18" spans="1:11" ht="13.5" customHeight="1">
      <c r="A18" s="199"/>
      <c r="B18" s="148" t="s">
        <v>394</v>
      </c>
      <c r="C18" s="199"/>
      <c r="D18" s="198" t="s">
        <v>395</v>
      </c>
      <c r="E18" s="201"/>
      <c r="F18" s="165"/>
      <c r="G18" s="165"/>
      <c r="H18" s="165"/>
      <c r="I18" s="165"/>
      <c r="J18" s="165"/>
      <c r="K18" s="165"/>
    </row>
    <row r="19" spans="1:11" ht="13.5" customHeight="1">
      <c r="A19" s="199"/>
      <c r="B19" s="148" t="s">
        <v>396</v>
      </c>
      <c r="C19" s="199"/>
      <c r="D19" s="198" t="s">
        <v>397</v>
      </c>
      <c r="E19" s="201"/>
      <c r="F19" s="165"/>
      <c r="G19" s="165"/>
      <c r="H19" s="165"/>
      <c r="I19" s="165"/>
      <c r="J19" s="165"/>
      <c r="K19" s="165"/>
    </row>
    <row r="20" spans="1:11" ht="13.5" customHeight="1">
      <c r="A20" s="199"/>
      <c r="B20" s="148" t="s">
        <v>398</v>
      </c>
      <c r="C20" s="199"/>
      <c r="D20" s="198" t="s">
        <v>399</v>
      </c>
      <c r="E20" s="201"/>
      <c r="F20" s="165"/>
      <c r="G20" s="165"/>
      <c r="H20" s="165"/>
      <c r="I20" s="165"/>
      <c r="J20" s="165"/>
      <c r="K20" s="165"/>
    </row>
    <row r="21" spans="1:11" ht="13.5" customHeight="1">
      <c r="A21" s="165"/>
      <c r="B21" s="148" t="s">
        <v>400</v>
      </c>
      <c r="C21" s="165"/>
      <c r="D21" s="198" t="s">
        <v>401</v>
      </c>
      <c r="E21" s="201"/>
      <c r="F21" s="165"/>
      <c r="G21" s="165"/>
      <c r="H21" s="165"/>
      <c r="I21" s="165"/>
      <c r="J21" s="165"/>
      <c r="K21" s="165"/>
    </row>
    <row r="22" spans="1:11" ht="13.5" customHeight="1">
      <c r="A22" s="165"/>
      <c r="B22" s="148" t="s">
        <v>402</v>
      </c>
      <c r="C22" s="165"/>
      <c r="D22" s="198" t="s">
        <v>403</v>
      </c>
      <c r="E22" s="201"/>
      <c r="F22" s="165"/>
      <c r="G22" s="165"/>
      <c r="H22" s="165"/>
      <c r="I22" s="165"/>
      <c r="J22" s="165"/>
      <c r="K22" s="165"/>
    </row>
    <row r="23" spans="1:11" ht="13.5" customHeight="1">
      <c r="A23" s="165"/>
      <c r="B23" s="148" t="s">
        <v>404</v>
      </c>
      <c r="C23" s="165"/>
      <c r="D23" s="198" t="s">
        <v>405</v>
      </c>
      <c r="E23" s="201"/>
      <c r="F23" s="165"/>
      <c r="G23" s="165"/>
      <c r="H23" s="165"/>
      <c r="I23" s="165"/>
      <c r="J23" s="165"/>
      <c r="K23" s="165"/>
    </row>
    <row r="24" spans="1:11" ht="13.5" customHeight="1">
      <c r="A24" s="165"/>
      <c r="B24" s="165"/>
      <c r="C24" s="165"/>
      <c r="D24" s="202" t="s">
        <v>406</v>
      </c>
      <c r="E24" s="202" t="s">
        <v>407</v>
      </c>
      <c r="F24" s="165"/>
      <c r="G24" s="165"/>
      <c r="H24" s="165"/>
      <c r="I24" s="165"/>
      <c r="J24" s="165"/>
      <c r="K24" s="165"/>
    </row>
    <row r="25" spans="1:11" ht="13.5" customHeight="1">
      <c r="A25" s="165"/>
      <c r="B25" s="165"/>
      <c r="C25" s="165"/>
      <c r="D25" s="203" t="s">
        <v>408</v>
      </c>
      <c r="E25" s="197" t="s">
        <v>409</v>
      </c>
      <c r="F25" s="165"/>
      <c r="G25" s="165"/>
      <c r="H25" s="165"/>
      <c r="I25" s="165"/>
      <c r="J25" s="165"/>
      <c r="K25" s="165"/>
    </row>
    <row r="26" spans="1:11" ht="13.5" customHeight="1">
      <c r="A26" s="165"/>
      <c r="B26" s="165"/>
      <c r="C26" s="165"/>
      <c r="D26" s="203" t="s">
        <v>410</v>
      </c>
      <c r="E26" s="197" t="s">
        <v>411</v>
      </c>
      <c r="F26" s="165"/>
      <c r="G26" s="165"/>
      <c r="H26" s="165"/>
      <c r="I26" s="165"/>
      <c r="J26" s="165"/>
      <c r="K26" s="165"/>
    </row>
    <row r="27" spans="1:11" ht="13.5" customHeight="1">
      <c r="A27" s="165"/>
      <c r="B27" s="165"/>
      <c r="C27" s="165"/>
      <c r="D27" s="667" t="s">
        <v>412</v>
      </c>
      <c r="E27" s="197" t="s">
        <v>413</v>
      </c>
      <c r="F27" s="165"/>
      <c r="G27" s="165"/>
      <c r="H27" s="165"/>
      <c r="I27" s="165"/>
      <c r="J27" s="165"/>
      <c r="K27" s="165"/>
    </row>
    <row r="28" spans="1:11" ht="13.5" customHeight="1">
      <c r="A28" s="165"/>
      <c r="B28" s="165"/>
      <c r="C28" s="165"/>
      <c r="D28" s="543"/>
      <c r="E28" s="197" t="s">
        <v>414</v>
      </c>
      <c r="F28" s="165"/>
      <c r="G28" s="165"/>
      <c r="H28" s="165"/>
      <c r="I28" s="165"/>
      <c r="J28" s="165"/>
      <c r="K28" s="165"/>
    </row>
    <row r="29" spans="1:11" ht="13.5" customHeight="1">
      <c r="A29" s="165"/>
      <c r="B29" s="165"/>
      <c r="C29" s="165"/>
      <c r="D29" s="543"/>
      <c r="E29" s="197" t="s">
        <v>415</v>
      </c>
      <c r="F29" s="165"/>
      <c r="G29" s="165"/>
      <c r="H29" s="165"/>
      <c r="I29" s="165"/>
      <c r="J29" s="165"/>
      <c r="K29" s="165"/>
    </row>
    <row r="30" spans="1:11" ht="13.5" customHeight="1">
      <c r="A30" s="165"/>
      <c r="B30" s="165"/>
      <c r="C30" s="165"/>
      <c r="D30" s="511"/>
      <c r="E30" s="197" t="s">
        <v>416</v>
      </c>
      <c r="F30" s="165"/>
      <c r="G30" s="165"/>
      <c r="H30" s="165"/>
      <c r="I30" s="165"/>
      <c r="J30" s="165"/>
      <c r="K30" s="165"/>
    </row>
    <row r="31" spans="1:11" ht="13.5" customHeight="1">
      <c r="A31" s="165"/>
      <c r="B31" s="165"/>
      <c r="C31" s="165"/>
      <c r="D31" s="203" t="s">
        <v>417</v>
      </c>
      <c r="E31" s="197" t="s">
        <v>418</v>
      </c>
      <c r="F31" s="165"/>
      <c r="G31" s="165"/>
      <c r="H31" s="165"/>
      <c r="I31" s="165"/>
      <c r="J31" s="165"/>
      <c r="K31" s="165"/>
    </row>
    <row r="32" spans="1:11" ht="13.5" customHeight="1">
      <c r="A32" s="165"/>
      <c r="B32" s="165"/>
      <c r="C32" s="165"/>
      <c r="D32" s="203" t="s">
        <v>419</v>
      </c>
      <c r="E32" s="197" t="s">
        <v>420</v>
      </c>
      <c r="F32" s="165"/>
      <c r="G32" s="165"/>
      <c r="H32" s="165"/>
      <c r="I32" s="165"/>
      <c r="J32" s="165"/>
      <c r="K32" s="165"/>
    </row>
    <row r="33" spans="1:11" ht="13.5" customHeight="1">
      <c r="A33" s="165"/>
      <c r="B33" s="165"/>
      <c r="C33" s="165"/>
      <c r="D33" s="203" t="s">
        <v>421</v>
      </c>
      <c r="E33" s="197" t="s">
        <v>422</v>
      </c>
      <c r="F33" s="165"/>
      <c r="G33" s="165"/>
      <c r="H33" s="165"/>
      <c r="I33" s="165"/>
      <c r="J33" s="165"/>
      <c r="K33" s="165"/>
    </row>
    <row r="34" spans="1:11" ht="13.5" customHeight="1">
      <c r="A34" s="165"/>
      <c r="B34" s="165"/>
      <c r="C34" s="165"/>
      <c r="D34" s="203" t="s">
        <v>423</v>
      </c>
      <c r="E34" s="197" t="s">
        <v>424</v>
      </c>
      <c r="F34" s="165"/>
      <c r="G34" s="165"/>
      <c r="H34" s="165"/>
      <c r="I34" s="165"/>
      <c r="J34" s="165"/>
      <c r="K34" s="165"/>
    </row>
    <row r="35" spans="1:11" ht="13.5" customHeight="1">
      <c r="A35" s="165"/>
      <c r="B35" s="165"/>
      <c r="C35" s="165"/>
      <c r="D35" s="203" t="s">
        <v>425</v>
      </c>
      <c r="E35" s="197" t="s">
        <v>426</v>
      </c>
      <c r="F35" s="165"/>
      <c r="G35" s="165"/>
      <c r="H35" s="165"/>
      <c r="I35" s="165"/>
      <c r="J35" s="165"/>
      <c r="K35" s="165"/>
    </row>
    <row r="36" spans="1:11" ht="13.5" customHeight="1">
      <c r="A36" s="165"/>
      <c r="B36" s="165"/>
      <c r="C36" s="165"/>
      <c r="D36" s="203" t="s">
        <v>427</v>
      </c>
      <c r="E36" s="197" t="s">
        <v>428</v>
      </c>
      <c r="F36" s="165"/>
      <c r="G36" s="165"/>
      <c r="H36" s="165"/>
      <c r="I36" s="165"/>
      <c r="J36" s="165"/>
      <c r="K36" s="165"/>
    </row>
    <row r="37" spans="1:11" ht="13.5" customHeight="1">
      <c r="A37" s="165"/>
      <c r="B37" s="165"/>
      <c r="C37" s="165"/>
      <c r="D37" s="203" t="s">
        <v>429</v>
      </c>
      <c r="E37" s="197" t="s">
        <v>430</v>
      </c>
      <c r="F37" s="165"/>
      <c r="G37" s="165"/>
      <c r="H37" s="165"/>
      <c r="I37" s="165"/>
      <c r="J37" s="165"/>
      <c r="K37" s="165"/>
    </row>
    <row r="38" spans="1:11" ht="13.5" customHeight="1">
      <c r="A38" s="165"/>
      <c r="B38" s="165"/>
      <c r="C38" s="165"/>
      <c r="D38" s="203" t="s">
        <v>431</v>
      </c>
      <c r="E38" s="197" t="s">
        <v>432</v>
      </c>
      <c r="F38" s="165"/>
      <c r="G38" s="165"/>
      <c r="H38" s="165"/>
      <c r="I38" s="165"/>
      <c r="J38" s="165"/>
      <c r="K38" s="165"/>
    </row>
    <row r="39" spans="1:11" ht="13.5" customHeight="1">
      <c r="A39" s="165"/>
      <c r="B39" s="165"/>
      <c r="C39" s="165"/>
      <c r="D39" s="204" t="s">
        <v>433</v>
      </c>
      <c r="E39" s="197" t="s">
        <v>434</v>
      </c>
      <c r="F39" s="165"/>
      <c r="G39" s="165"/>
      <c r="H39" s="165"/>
      <c r="I39" s="165"/>
      <c r="J39" s="165"/>
      <c r="K39" s="165"/>
    </row>
    <row r="40" spans="1:11" ht="13.5" customHeight="1">
      <c r="A40" s="165"/>
      <c r="B40" s="165"/>
      <c r="C40" s="165"/>
      <c r="D40" s="204" t="s">
        <v>435</v>
      </c>
      <c r="E40" s="197" t="s">
        <v>436</v>
      </c>
      <c r="F40" s="165"/>
      <c r="G40" s="165"/>
      <c r="H40" s="165"/>
      <c r="I40" s="165"/>
      <c r="J40" s="165"/>
      <c r="K40" s="165"/>
    </row>
    <row r="41" spans="1:11" ht="13.5" customHeight="1">
      <c r="A41" s="165"/>
      <c r="B41" s="165"/>
      <c r="C41" s="165"/>
      <c r="D41" s="203" t="s">
        <v>437</v>
      </c>
      <c r="E41" s="197" t="s">
        <v>438</v>
      </c>
      <c r="F41" s="165"/>
      <c r="G41" s="165"/>
      <c r="H41" s="165"/>
      <c r="I41" s="165"/>
      <c r="J41" s="165"/>
      <c r="K41" s="165"/>
    </row>
    <row r="42" spans="1:11" ht="13.5" customHeight="1">
      <c r="A42" s="165"/>
      <c r="B42" s="165"/>
      <c r="C42" s="165"/>
      <c r="D42" s="203" t="s">
        <v>439</v>
      </c>
      <c r="E42" s="197" t="s">
        <v>440</v>
      </c>
      <c r="F42" s="165"/>
      <c r="G42" s="165"/>
      <c r="H42" s="165"/>
      <c r="I42" s="165"/>
      <c r="J42" s="165"/>
      <c r="K42" s="165"/>
    </row>
    <row r="43" spans="1:11" ht="13.5" customHeight="1">
      <c r="A43" s="165"/>
      <c r="B43" s="165"/>
      <c r="C43" s="165"/>
      <c r="D43" s="204" t="s">
        <v>441</v>
      </c>
      <c r="E43" s="197" t="s">
        <v>442</v>
      </c>
      <c r="F43" s="165"/>
      <c r="G43" s="165"/>
      <c r="H43" s="165"/>
      <c r="I43" s="165"/>
      <c r="J43" s="165"/>
      <c r="K43" s="165"/>
    </row>
    <row r="44" spans="1:11" ht="13.5" customHeight="1">
      <c r="A44" s="165"/>
      <c r="B44" s="165"/>
      <c r="C44" s="165"/>
      <c r="D44" s="205" t="s">
        <v>443</v>
      </c>
      <c r="E44" s="197" t="s">
        <v>444</v>
      </c>
      <c r="F44" s="165"/>
      <c r="G44" s="165"/>
      <c r="H44" s="165"/>
      <c r="I44" s="165"/>
      <c r="J44" s="165"/>
      <c r="K44" s="165"/>
    </row>
    <row r="45" spans="1:11" ht="13.5" customHeight="1">
      <c r="A45" s="165"/>
      <c r="B45" s="165"/>
      <c r="C45" s="165"/>
      <c r="D45" s="198" t="s">
        <v>445</v>
      </c>
      <c r="E45" s="197" t="s">
        <v>446</v>
      </c>
      <c r="F45" s="165"/>
      <c r="G45" s="165"/>
      <c r="H45" s="165"/>
      <c r="I45" s="165"/>
      <c r="J45" s="165"/>
      <c r="K45" s="165"/>
    </row>
    <row r="46" spans="1:11" ht="13.5" customHeight="1">
      <c r="A46" s="165"/>
      <c r="B46" s="165"/>
      <c r="C46" s="165"/>
      <c r="D46" s="198" t="s">
        <v>447</v>
      </c>
      <c r="E46" s="197" t="s">
        <v>448</v>
      </c>
      <c r="F46" s="165"/>
      <c r="G46" s="165"/>
      <c r="H46" s="165"/>
      <c r="I46" s="165"/>
      <c r="J46" s="165"/>
      <c r="K46" s="165"/>
    </row>
    <row r="47" spans="1:11" ht="13.5" customHeight="1">
      <c r="A47" s="165"/>
      <c r="B47" s="165"/>
      <c r="C47" s="165"/>
      <c r="D47" s="198" t="s">
        <v>449</v>
      </c>
      <c r="E47" s="197" t="s">
        <v>450</v>
      </c>
      <c r="F47" s="165"/>
      <c r="G47" s="165"/>
      <c r="H47" s="165"/>
      <c r="I47" s="165"/>
      <c r="J47" s="165"/>
      <c r="K47" s="165"/>
    </row>
    <row r="48" spans="1:11" ht="13.5" customHeight="1">
      <c r="A48" s="165"/>
      <c r="B48" s="165"/>
      <c r="C48" s="165"/>
      <c r="D48" s="198" t="s">
        <v>451</v>
      </c>
      <c r="E48" s="197" t="s">
        <v>452</v>
      </c>
      <c r="F48" s="165"/>
      <c r="G48" s="165"/>
      <c r="H48" s="165"/>
      <c r="I48" s="165"/>
      <c r="J48" s="165"/>
      <c r="K48" s="165"/>
    </row>
    <row r="49" spans="1:11" ht="13.5" customHeight="1">
      <c r="A49" s="165"/>
      <c r="B49" s="165"/>
      <c r="C49" s="165"/>
      <c r="D49" s="202" t="s">
        <v>453</v>
      </c>
      <c r="E49" s="184"/>
      <c r="F49" s="165"/>
      <c r="G49" s="165"/>
      <c r="H49" s="165"/>
      <c r="I49" s="165"/>
      <c r="J49" s="165"/>
      <c r="K49" s="165"/>
    </row>
    <row r="50" spans="1:11" ht="13.5" customHeight="1">
      <c r="A50" s="165"/>
      <c r="B50" s="165"/>
      <c r="C50" s="165"/>
      <c r="D50" s="198" t="s">
        <v>454</v>
      </c>
      <c r="E50" s="184"/>
      <c r="F50" s="165"/>
      <c r="G50" s="165"/>
      <c r="H50" s="165"/>
      <c r="I50" s="165"/>
      <c r="J50" s="165"/>
      <c r="K50" s="165"/>
    </row>
    <row r="51" spans="1:11" ht="13.5" customHeight="1">
      <c r="A51" s="165"/>
      <c r="B51" s="165"/>
      <c r="C51" s="165"/>
      <c r="D51" s="198" t="s">
        <v>455</v>
      </c>
      <c r="E51" s="184"/>
      <c r="F51" s="165"/>
      <c r="G51" s="165"/>
      <c r="H51" s="165"/>
      <c r="I51" s="165"/>
      <c r="J51" s="165"/>
      <c r="K51" s="165"/>
    </row>
    <row r="52" spans="1:11" ht="13.5" customHeight="1">
      <c r="A52" s="165"/>
      <c r="B52" s="165"/>
      <c r="C52" s="165"/>
      <c r="D52" s="202" t="s">
        <v>456</v>
      </c>
      <c r="E52" s="184"/>
      <c r="F52" s="165"/>
      <c r="G52" s="165"/>
      <c r="H52" s="165"/>
      <c r="I52" s="165"/>
      <c r="J52" s="165"/>
      <c r="K52" s="165"/>
    </row>
    <row r="53" spans="1:11" ht="13.5" customHeight="1">
      <c r="A53" s="165"/>
      <c r="B53" s="165"/>
      <c r="C53" s="165"/>
      <c r="D53" s="205" t="s">
        <v>181</v>
      </c>
      <c r="E53" s="184"/>
      <c r="F53" s="165"/>
      <c r="G53" s="165"/>
      <c r="H53" s="165"/>
      <c r="I53" s="165"/>
      <c r="J53" s="165"/>
      <c r="K53" s="165"/>
    </row>
    <row r="54" spans="1:11" ht="13.5" customHeight="1">
      <c r="A54" s="165"/>
      <c r="B54" s="165"/>
      <c r="C54" s="165"/>
      <c r="D54" s="205" t="s">
        <v>184</v>
      </c>
      <c r="E54" s="184"/>
      <c r="F54" s="165"/>
      <c r="G54" s="165"/>
      <c r="H54" s="165"/>
      <c r="I54" s="165"/>
      <c r="J54" s="165"/>
      <c r="K54" s="165"/>
    </row>
    <row r="55" spans="1:11" ht="13.5" customHeight="1">
      <c r="A55" s="165"/>
      <c r="B55" s="165"/>
      <c r="C55" s="165"/>
      <c r="D55" s="205" t="s">
        <v>457</v>
      </c>
      <c r="E55" s="184"/>
      <c r="F55" s="165"/>
      <c r="G55" s="165"/>
      <c r="H55" s="165"/>
      <c r="I55" s="165"/>
      <c r="J55" s="165"/>
      <c r="K55" s="165"/>
    </row>
    <row r="56" spans="1:11" ht="13.5" customHeight="1">
      <c r="A56" s="165"/>
      <c r="B56" s="165"/>
      <c r="C56" s="165"/>
      <c r="D56" s="205" t="s">
        <v>458</v>
      </c>
      <c r="E56" s="184"/>
      <c r="F56" s="165"/>
      <c r="G56" s="165"/>
      <c r="H56" s="165"/>
      <c r="I56" s="165"/>
      <c r="J56" s="165"/>
      <c r="K56" s="165"/>
    </row>
    <row r="57" spans="1:11" ht="13.5" customHeight="1">
      <c r="A57" s="165"/>
      <c r="B57" s="165"/>
      <c r="C57" s="165"/>
      <c r="D57" s="165"/>
      <c r="E57" s="184"/>
      <c r="F57" s="165"/>
      <c r="G57" s="165"/>
      <c r="H57" s="165"/>
      <c r="I57" s="165"/>
      <c r="J57" s="165"/>
      <c r="K57" s="165"/>
    </row>
    <row r="58" spans="1:11" ht="13.5" customHeight="1">
      <c r="A58" s="165"/>
      <c r="B58" s="165"/>
      <c r="C58" s="165"/>
      <c r="D58" s="165"/>
      <c r="E58" s="184"/>
      <c r="F58" s="165"/>
      <c r="G58" s="165"/>
      <c r="H58" s="165"/>
      <c r="I58" s="165"/>
      <c r="J58" s="165"/>
      <c r="K58" s="165"/>
    </row>
    <row r="59" spans="1:11" ht="13.5" customHeight="1">
      <c r="A59" s="165"/>
      <c r="B59" s="165"/>
      <c r="C59" s="165"/>
      <c r="D59" s="165"/>
      <c r="E59" s="184"/>
      <c r="F59" s="165"/>
      <c r="G59" s="165"/>
      <c r="H59" s="165"/>
      <c r="I59" s="165"/>
      <c r="J59" s="165"/>
      <c r="K59" s="165"/>
    </row>
    <row r="60" spans="1:11" ht="13.5" customHeight="1">
      <c r="A60" s="165"/>
      <c r="B60" s="165"/>
      <c r="C60" s="165"/>
      <c r="D60" s="165"/>
      <c r="E60" s="184"/>
      <c r="F60" s="165"/>
      <c r="G60" s="165"/>
      <c r="H60" s="165"/>
      <c r="I60" s="165"/>
      <c r="J60" s="165"/>
      <c r="K60" s="165"/>
    </row>
    <row r="61" spans="1:11" ht="13.5" customHeight="1">
      <c r="A61" s="165"/>
      <c r="B61" s="165"/>
      <c r="C61" s="165"/>
      <c r="D61" s="165"/>
      <c r="E61" s="184"/>
      <c r="F61" s="165"/>
      <c r="G61" s="165"/>
      <c r="H61" s="165"/>
      <c r="I61" s="165"/>
      <c r="J61" s="165"/>
      <c r="K61" s="165"/>
    </row>
    <row r="62" spans="1:11" ht="13.5" customHeight="1">
      <c r="A62" s="165"/>
      <c r="B62" s="165"/>
      <c r="C62" s="165"/>
      <c r="D62" s="165"/>
      <c r="E62" s="184"/>
      <c r="F62" s="165"/>
      <c r="G62" s="165"/>
      <c r="H62" s="165"/>
      <c r="I62" s="165"/>
      <c r="J62" s="165"/>
      <c r="K62" s="165"/>
    </row>
    <row r="63" spans="1:11" ht="13.5" customHeight="1">
      <c r="A63" s="165"/>
      <c r="B63" s="165"/>
      <c r="C63" s="165"/>
      <c r="D63" s="165"/>
      <c r="E63" s="184"/>
      <c r="F63" s="165"/>
      <c r="G63" s="165"/>
      <c r="H63" s="165"/>
      <c r="I63" s="165"/>
      <c r="J63" s="165"/>
      <c r="K63" s="165"/>
    </row>
    <row r="64" spans="1:11" ht="13.5" customHeight="1">
      <c r="A64" s="165"/>
      <c r="B64" s="165"/>
      <c r="C64" s="165"/>
      <c r="D64" s="165"/>
      <c r="E64" s="184"/>
      <c r="F64" s="165"/>
      <c r="G64" s="165"/>
      <c r="H64" s="165"/>
      <c r="I64" s="165"/>
      <c r="J64" s="165"/>
      <c r="K64" s="165"/>
    </row>
    <row r="65" spans="1:11" ht="13.5" customHeight="1">
      <c r="A65" s="165"/>
      <c r="B65" s="165"/>
      <c r="C65" s="165"/>
      <c r="D65" s="165"/>
      <c r="E65" s="184"/>
      <c r="F65" s="165"/>
      <c r="G65" s="165"/>
      <c r="H65" s="165"/>
      <c r="I65" s="165"/>
      <c r="J65" s="165"/>
      <c r="K65" s="165"/>
    </row>
    <row r="66" spans="1:11" ht="13.5" customHeight="1">
      <c r="A66" s="165"/>
      <c r="B66" s="165"/>
      <c r="C66" s="165"/>
      <c r="D66" s="165"/>
      <c r="E66" s="184"/>
      <c r="F66" s="165"/>
      <c r="G66" s="165"/>
      <c r="H66" s="165"/>
      <c r="I66" s="165"/>
      <c r="J66" s="165"/>
      <c r="K66" s="165"/>
    </row>
    <row r="67" spans="1:11" ht="13.5" customHeight="1">
      <c r="A67" s="165"/>
      <c r="B67" s="165"/>
      <c r="C67" s="165"/>
      <c r="D67" s="165"/>
      <c r="E67" s="184"/>
      <c r="F67" s="165"/>
      <c r="G67" s="165"/>
      <c r="H67" s="165"/>
      <c r="I67" s="165"/>
      <c r="J67" s="165"/>
      <c r="K67" s="165"/>
    </row>
    <row r="68" spans="1:11" ht="13.5" customHeight="1">
      <c r="A68" s="165"/>
      <c r="B68" s="165"/>
      <c r="C68" s="165"/>
      <c r="D68" s="165"/>
      <c r="E68" s="184"/>
      <c r="F68" s="165"/>
      <c r="G68" s="165"/>
      <c r="H68" s="165"/>
      <c r="I68" s="165"/>
      <c r="J68" s="165"/>
      <c r="K68" s="165"/>
    </row>
    <row r="69" spans="1:11" ht="13.5" customHeight="1">
      <c r="A69" s="165"/>
      <c r="B69" s="165"/>
      <c r="C69" s="165"/>
      <c r="D69" s="165"/>
      <c r="E69" s="184"/>
      <c r="F69" s="165"/>
      <c r="G69" s="165"/>
      <c r="H69" s="165"/>
      <c r="I69" s="165"/>
      <c r="J69" s="165"/>
      <c r="K69" s="165"/>
    </row>
    <row r="70" spans="1:11" ht="13.5" customHeight="1">
      <c r="A70" s="165"/>
      <c r="B70" s="165"/>
      <c r="C70" s="165"/>
      <c r="D70" s="165"/>
      <c r="E70" s="184"/>
      <c r="F70" s="165"/>
      <c r="G70" s="165"/>
      <c r="H70" s="165"/>
      <c r="I70" s="165"/>
      <c r="J70" s="165"/>
      <c r="K70" s="165"/>
    </row>
    <row r="71" spans="1:11" ht="13.5" customHeight="1">
      <c r="A71" s="165"/>
      <c r="B71" s="165"/>
      <c r="C71" s="165"/>
      <c r="D71" s="165"/>
      <c r="E71" s="184"/>
      <c r="F71" s="165"/>
      <c r="G71" s="165"/>
      <c r="H71" s="165"/>
      <c r="I71" s="165"/>
      <c r="J71" s="165"/>
      <c r="K71" s="165"/>
    </row>
    <row r="72" spans="1:11" ht="13.5" customHeight="1">
      <c r="A72" s="165"/>
      <c r="B72" s="165"/>
      <c r="C72" s="165"/>
      <c r="D72" s="165"/>
      <c r="E72" s="184"/>
      <c r="F72" s="165"/>
      <c r="G72" s="165"/>
      <c r="H72" s="165"/>
      <c r="I72" s="165"/>
      <c r="J72" s="165"/>
      <c r="K72" s="165"/>
    </row>
    <row r="73" spans="1:11" ht="13.5" customHeight="1">
      <c r="A73" s="165"/>
      <c r="B73" s="165"/>
      <c r="C73" s="165"/>
      <c r="D73" s="165"/>
      <c r="E73" s="184"/>
      <c r="F73" s="165"/>
      <c r="G73" s="165"/>
      <c r="H73" s="165"/>
      <c r="I73" s="165"/>
      <c r="J73" s="165"/>
      <c r="K73" s="165"/>
    </row>
    <row r="74" spans="1:11" ht="13.5" customHeight="1">
      <c r="A74" s="165"/>
      <c r="B74" s="165"/>
      <c r="C74" s="165"/>
      <c r="D74" s="165"/>
      <c r="E74" s="184"/>
      <c r="F74" s="165"/>
      <c r="G74" s="165"/>
      <c r="H74" s="165"/>
      <c r="I74" s="165"/>
      <c r="J74" s="165"/>
      <c r="K74" s="165"/>
    </row>
    <row r="75" spans="1:11" ht="13.5" customHeight="1">
      <c r="A75" s="165"/>
      <c r="B75" s="165"/>
      <c r="C75" s="165"/>
      <c r="D75" s="165"/>
      <c r="E75" s="184"/>
      <c r="F75" s="165"/>
      <c r="G75" s="165"/>
      <c r="H75" s="165"/>
      <c r="I75" s="165"/>
      <c r="J75" s="165"/>
      <c r="K75" s="165"/>
    </row>
    <row r="76" spans="1:11" ht="13.5" customHeight="1">
      <c r="A76" s="165"/>
      <c r="B76" s="165"/>
      <c r="C76" s="165"/>
      <c r="D76" s="165"/>
      <c r="E76" s="184"/>
      <c r="F76" s="165"/>
      <c r="G76" s="165"/>
      <c r="H76" s="165"/>
      <c r="I76" s="165"/>
      <c r="J76" s="165"/>
      <c r="K76" s="165"/>
    </row>
    <row r="77" spans="1:11" ht="13.5" customHeight="1">
      <c r="A77" s="165"/>
      <c r="B77" s="165"/>
      <c r="C77" s="165"/>
      <c r="D77" s="165"/>
      <c r="E77" s="184"/>
      <c r="F77" s="165"/>
      <c r="G77" s="165"/>
      <c r="H77" s="165"/>
      <c r="I77" s="165"/>
      <c r="J77" s="165"/>
      <c r="K77" s="165"/>
    </row>
    <row r="78" spans="1:11" ht="13.5" customHeight="1">
      <c r="A78" s="165"/>
      <c r="B78" s="165"/>
      <c r="C78" s="165"/>
      <c r="D78" s="165"/>
      <c r="E78" s="184"/>
      <c r="F78" s="165"/>
      <c r="G78" s="165"/>
      <c r="H78" s="165"/>
      <c r="I78" s="165"/>
      <c r="J78" s="165"/>
      <c r="K78" s="165"/>
    </row>
    <row r="79" spans="1:11" ht="13.5" customHeight="1">
      <c r="A79" s="165"/>
      <c r="B79" s="165"/>
      <c r="C79" s="165"/>
      <c r="D79" s="165"/>
      <c r="E79" s="184"/>
      <c r="F79" s="165"/>
      <c r="G79" s="165"/>
      <c r="H79" s="165"/>
      <c r="I79" s="165"/>
      <c r="J79" s="165"/>
      <c r="K79" s="165"/>
    </row>
    <row r="80" spans="1:11" ht="13.5" customHeight="1">
      <c r="A80" s="165"/>
      <c r="B80" s="165"/>
      <c r="C80" s="165"/>
      <c r="D80" s="165"/>
      <c r="E80" s="184"/>
      <c r="F80" s="165"/>
      <c r="G80" s="165"/>
      <c r="H80" s="165"/>
      <c r="I80" s="165"/>
      <c r="J80" s="165"/>
      <c r="K80" s="165"/>
    </row>
    <row r="81" spans="1:11" ht="13.5" customHeight="1">
      <c r="A81" s="165"/>
      <c r="B81" s="165"/>
      <c r="C81" s="165"/>
      <c r="D81" s="165"/>
      <c r="E81" s="184"/>
      <c r="F81" s="165"/>
      <c r="G81" s="165"/>
      <c r="H81" s="165"/>
      <c r="I81" s="165"/>
      <c r="J81" s="165"/>
      <c r="K81" s="165"/>
    </row>
    <row r="82" spans="1:11" ht="13.5" customHeight="1">
      <c r="A82" s="165"/>
      <c r="B82" s="165"/>
      <c r="C82" s="165"/>
      <c r="D82" s="165"/>
      <c r="E82" s="184"/>
      <c r="F82" s="165"/>
      <c r="G82" s="165"/>
      <c r="H82" s="165"/>
      <c r="I82" s="165"/>
      <c r="J82" s="165"/>
      <c r="K82" s="165"/>
    </row>
    <row r="83" spans="1:11" ht="13.5" customHeight="1">
      <c r="A83" s="165"/>
      <c r="B83" s="165"/>
      <c r="C83" s="165"/>
      <c r="D83" s="165"/>
      <c r="E83" s="184"/>
      <c r="F83" s="165"/>
      <c r="G83" s="165"/>
      <c r="H83" s="165"/>
      <c r="I83" s="165"/>
      <c r="J83" s="165"/>
      <c r="K83" s="165"/>
    </row>
    <row r="84" spans="1:11" ht="13.5" customHeight="1">
      <c r="A84" s="165"/>
      <c r="B84" s="165"/>
      <c r="C84" s="165"/>
      <c r="D84" s="165"/>
      <c r="E84" s="184"/>
      <c r="F84" s="165"/>
      <c r="G84" s="165"/>
      <c r="H84" s="165"/>
      <c r="I84" s="165"/>
      <c r="J84" s="165"/>
      <c r="K84" s="165"/>
    </row>
    <row r="85" spans="1:11" ht="13.5" customHeight="1">
      <c r="A85" s="165"/>
      <c r="B85" s="165"/>
      <c r="C85" s="165"/>
      <c r="D85" s="165"/>
      <c r="E85" s="184"/>
      <c r="F85" s="165"/>
      <c r="G85" s="165"/>
      <c r="H85" s="165"/>
      <c r="I85" s="165"/>
      <c r="J85" s="165"/>
      <c r="K85" s="165"/>
    </row>
    <row r="86" spans="1:11" ht="13.5" customHeight="1">
      <c r="A86" s="165"/>
      <c r="B86" s="165"/>
      <c r="C86" s="165"/>
      <c r="D86" s="165"/>
      <c r="E86" s="184"/>
      <c r="F86" s="165"/>
      <c r="G86" s="165"/>
      <c r="H86" s="165"/>
      <c r="I86" s="165"/>
      <c r="J86" s="165"/>
      <c r="K86" s="165"/>
    </row>
    <row r="87" spans="1:11" ht="13.5" customHeight="1">
      <c r="A87" s="165"/>
      <c r="B87" s="165"/>
      <c r="C87" s="165"/>
      <c r="D87" s="165"/>
      <c r="E87" s="184"/>
      <c r="F87" s="165"/>
      <c r="G87" s="165"/>
      <c r="H87" s="165"/>
      <c r="I87" s="165"/>
      <c r="J87" s="165"/>
      <c r="K87" s="165"/>
    </row>
    <row r="88" spans="1:11" ht="13.5" customHeight="1">
      <c r="A88" s="165"/>
      <c r="B88" s="165"/>
      <c r="C88" s="165"/>
      <c r="D88" s="165"/>
      <c r="E88" s="184"/>
      <c r="F88" s="165"/>
      <c r="G88" s="165"/>
      <c r="H88" s="165"/>
      <c r="I88" s="165"/>
      <c r="J88" s="165"/>
      <c r="K88" s="165"/>
    </row>
    <row r="89" spans="1:11" ht="13.5" customHeight="1">
      <c r="A89" s="165"/>
      <c r="B89" s="165"/>
      <c r="C89" s="165"/>
      <c r="D89" s="165"/>
      <c r="E89" s="184"/>
      <c r="F89" s="165"/>
      <c r="G89" s="165"/>
      <c r="H89" s="165"/>
      <c r="I89" s="165"/>
      <c r="J89" s="165"/>
      <c r="K89" s="165"/>
    </row>
    <row r="90" spans="1:11" ht="13.5" customHeight="1">
      <c r="A90" s="165"/>
      <c r="B90" s="165"/>
      <c r="C90" s="165"/>
      <c r="D90" s="165"/>
      <c r="E90" s="184"/>
      <c r="F90" s="165"/>
      <c r="G90" s="165"/>
      <c r="H90" s="165"/>
      <c r="I90" s="165"/>
      <c r="J90" s="165"/>
      <c r="K90" s="165"/>
    </row>
    <row r="91" spans="1:11" ht="13.5" customHeight="1">
      <c r="A91" s="165"/>
      <c r="B91" s="165"/>
      <c r="C91" s="165"/>
      <c r="D91" s="165"/>
      <c r="E91" s="184"/>
      <c r="F91" s="165"/>
      <c r="G91" s="165"/>
      <c r="H91" s="165"/>
      <c r="I91" s="165"/>
      <c r="J91" s="165"/>
      <c r="K91" s="165"/>
    </row>
    <row r="92" spans="1:11" ht="13.5" customHeight="1">
      <c r="A92" s="165"/>
      <c r="B92" s="165"/>
      <c r="C92" s="165"/>
      <c r="D92" s="165"/>
      <c r="E92" s="184"/>
      <c r="F92" s="165"/>
      <c r="G92" s="165"/>
      <c r="H92" s="165"/>
      <c r="I92" s="165"/>
      <c r="J92" s="165"/>
      <c r="K92" s="165"/>
    </row>
    <row r="93" spans="1:11" ht="13.5" customHeight="1">
      <c r="A93" s="165"/>
      <c r="B93" s="165"/>
      <c r="C93" s="165"/>
      <c r="D93" s="165"/>
      <c r="E93" s="184"/>
      <c r="F93" s="165"/>
      <c r="G93" s="165"/>
      <c r="H93" s="165"/>
      <c r="I93" s="165"/>
      <c r="J93" s="165"/>
      <c r="K93" s="165"/>
    </row>
    <row r="94" spans="1:11" ht="13.5" customHeight="1">
      <c r="A94" s="165"/>
      <c r="B94" s="165"/>
      <c r="C94" s="165"/>
      <c r="D94" s="165"/>
      <c r="E94" s="184"/>
      <c r="F94" s="165"/>
      <c r="G94" s="165"/>
      <c r="H94" s="165"/>
      <c r="I94" s="165"/>
      <c r="J94" s="165"/>
      <c r="K94" s="165"/>
    </row>
    <row r="95" spans="1:11" ht="13.5" customHeight="1">
      <c r="A95" s="165"/>
      <c r="B95" s="165"/>
      <c r="C95" s="165"/>
      <c r="D95" s="165"/>
      <c r="E95" s="184"/>
      <c r="F95" s="165"/>
      <c r="G95" s="165"/>
      <c r="H95" s="165"/>
      <c r="I95" s="165"/>
      <c r="J95" s="165"/>
      <c r="K95" s="165"/>
    </row>
    <row r="96" spans="1:11" ht="13.5" customHeight="1">
      <c r="A96" s="165"/>
      <c r="B96" s="165"/>
      <c r="C96" s="165"/>
      <c r="D96" s="165"/>
      <c r="E96" s="184"/>
      <c r="F96" s="165"/>
      <c r="G96" s="165"/>
      <c r="H96" s="165"/>
      <c r="I96" s="165"/>
      <c r="J96" s="165"/>
      <c r="K96" s="165"/>
    </row>
    <row r="97" spans="1:11" ht="13.5" customHeight="1">
      <c r="A97" s="165"/>
      <c r="B97" s="165"/>
      <c r="C97" s="165"/>
      <c r="D97" s="165"/>
      <c r="E97" s="184"/>
      <c r="F97" s="165"/>
      <c r="G97" s="165"/>
      <c r="H97" s="165"/>
      <c r="I97" s="165"/>
      <c r="J97" s="165"/>
      <c r="K97" s="165"/>
    </row>
    <row r="98" spans="1:11" ht="13.5" customHeight="1">
      <c r="A98" s="165"/>
      <c r="B98" s="165"/>
      <c r="C98" s="165"/>
      <c r="D98" s="165"/>
      <c r="E98" s="184"/>
      <c r="F98" s="165"/>
      <c r="G98" s="165"/>
      <c r="H98" s="165"/>
      <c r="I98" s="165"/>
      <c r="J98" s="165"/>
      <c r="K98" s="165"/>
    </row>
    <row r="99" spans="1:11" ht="13.5" customHeight="1">
      <c r="A99" s="165"/>
      <c r="B99" s="165"/>
      <c r="C99" s="165"/>
      <c r="D99" s="165"/>
      <c r="E99" s="184"/>
      <c r="F99" s="165"/>
      <c r="G99" s="165"/>
      <c r="H99" s="165"/>
      <c r="I99" s="165"/>
      <c r="J99" s="165"/>
      <c r="K99" s="165"/>
    </row>
    <row r="100" spans="1:11" ht="13.5" customHeight="1">
      <c r="A100" s="165"/>
      <c r="B100" s="165"/>
      <c r="C100" s="165"/>
      <c r="D100" s="165"/>
      <c r="E100" s="184"/>
      <c r="F100" s="165"/>
      <c r="G100" s="165"/>
      <c r="H100" s="165"/>
      <c r="I100" s="165"/>
      <c r="J100" s="165"/>
      <c r="K100" s="165"/>
    </row>
  </sheetData>
  <mergeCells count="1">
    <mergeCell ref="D27:D30"/>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85546875" customWidth="1"/>
    <col min="4" max="4" width="8.85546875" customWidth="1"/>
    <col min="5" max="5" width="10.85546875" customWidth="1"/>
    <col min="6" max="14" width="10" customWidth="1"/>
  </cols>
  <sheetData>
    <row r="1" spans="1:14" ht="14.25" customHeight="1">
      <c r="B1" t="s">
        <v>459</v>
      </c>
      <c r="C1" s="674" t="s">
        <v>460</v>
      </c>
      <c r="D1" s="512"/>
      <c r="E1" s="512"/>
      <c r="F1" s="512"/>
      <c r="G1" s="675" t="s">
        <v>461</v>
      </c>
      <c r="H1" s="437"/>
      <c r="I1" s="437"/>
      <c r="J1" s="438"/>
      <c r="K1" s="673" t="s">
        <v>462</v>
      </c>
      <c r="L1" s="440"/>
      <c r="M1" s="440"/>
      <c r="N1" s="440"/>
    </row>
    <row r="2" spans="1:14" ht="14.25" customHeight="1">
      <c r="C2" s="206"/>
      <c r="D2" s="206"/>
      <c r="E2" s="206"/>
      <c r="F2" s="206" t="s">
        <v>463</v>
      </c>
      <c r="G2" s="207"/>
      <c r="H2" s="206"/>
      <c r="I2" s="206"/>
      <c r="J2" s="208" t="s">
        <v>463</v>
      </c>
      <c r="K2" s="206"/>
      <c r="L2" s="206"/>
      <c r="M2" s="206"/>
      <c r="N2" s="206" t="s">
        <v>463</v>
      </c>
    </row>
    <row r="3" spans="1:14" ht="14.25" customHeight="1">
      <c r="A3" s="668" t="s">
        <v>464</v>
      </c>
      <c r="B3" s="209">
        <v>1</v>
      </c>
      <c r="C3" s="210">
        <v>0.05</v>
      </c>
      <c r="D3" s="210">
        <v>0.05</v>
      </c>
      <c r="E3" s="210">
        <v>0.1</v>
      </c>
      <c r="F3" s="211">
        <f t="shared" ref="F3:F7" si="0">(C3+D3+E3)</f>
        <v>0.2</v>
      </c>
      <c r="G3" s="212">
        <v>0.1</v>
      </c>
      <c r="H3" s="210">
        <v>0.1</v>
      </c>
      <c r="I3" s="210">
        <v>0.1</v>
      </c>
      <c r="J3" s="213">
        <f t="shared" ref="J3:J7" si="1">(G3+H3+I3)</f>
        <v>0.30000000000000004</v>
      </c>
      <c r="K3" s="214">
        <v>0.1</v>
      </c>
      <c r="L3" s="214">
        <v>0.1</v>
      </c>
      <c r="M3" s="214">
        <v>0.1</v>
      </c>
      <c r="N3" s="215">
        <f t="shared" ref="N3:N4" si="2">K3+L3+M3</f>
        <v>0.30000000000000004</v>
      </c>
    </row>
    <row r="4" spans="1:14" ht="14.25" customHeight="1">
      <c r="A4" s="637"/>
      <c r="B4" s="209">
        <v>2</v>
      </c>
      <c r="C4" s="210">
        <v>0.05</v>
      </c>
      <c r="D4" s="210">
        <v>0.05</v>
      </c>
      <c r="E4" s="210">
        <v>0.1</v>
      </c>
      <c r="F4" s="211">
        <f t="shared" si="0"/>
        <v>0.2</v>
      </c>
      <c r="G4" s="212">
        <v>0.1</v>
      </c>
      <c r="H4" s="210">
        <v>0.1</v>
      </c>
      <c r="I4" s="210">
        <v>0.1</v>
      </c>
      <c r="J4" s="213">
        <f t="shared" si="1"/>
        <v>0.30000000000000004</v>
      </c>
      <c r="K4" s="214">
        <v>0.1</v>
      </c>
      <c r="L4" s="214">
        <v>0.1</v>
      </c>
      <c r="M4" s="214">
        <v>0.1</v>
      </c>
      <c r="N4" s="215">
        <f t="shared" si="2"/>
        <v>0.30000000000000004</v>
      </c>
    </row>
    <row r="5" spans="1:14" ht="14.25" customHeight="1">
      <c r="A5" s="637"/>
      <c r="B5" s="209">
        <v>3</v>
      </c>
      <c r="C5" s="210">
        <v>0.05</v>
      </c>
      <c r="D5" s="210">
        <v>0.05</v>
      </c>
      <c r="E5" s="210">
        <v>0.1</v>
      </c>
      <c r="F5" s="211">
        <f t="shared" si="0"/>
        <v>0.2</v>
      </c>
      <c r="G5" s="212">
        <v>0.1</v>
      </c>
      <c r="H5" s="210">
        <v>0.1</v>
      </c>
      <c r="I5" s="210">
        <v>0.1</v>
      </c>
      <c r="J5" s="213">
        <f t="shared" si="1"/>
        <v>0.30000000000000004</v>
      </c>
      <c r="K5" s="216"/>
      <c r="L5" s="209"/>
      <c r="M5" s="209"/>
      <c r="N5" s="209"/>
    </row>
    <row r="6" spans="1:14" ht="14.25" customHeight="1">
      <c r="A6" s="637"/>
      <c r="B6" s="209">
        <v>4</v>
      </c>
      <c r="C6" s="210">
        <v>0.1</v>
      </c>
      <c r="D6" s="210">
        <v>0.1</v>
      </c>
      <c r="E6" s="210">
        <v>0.2</v>
      </c>
      <c r="F6" s="211">
        <f t="shared" si="0"/>
        <v>0.4</v>
      </c>
      <c r="G6" s="212">
        <v>0</v>
      </c>
      <c r="H6" s="210">
        <v>0</v>
      </c>
      <c r="I6" s="210">
        <v>0.1</v>
      </c>
      <c r="J6" s="213">
        <f t="shared" si="1"/>
        <v>0.1</v>
      </c>
      <c r="K6" s="216"/>
      <c r="L6" s="209"/>
      <c r="M6" s="209"/>
      <c r="N6" s="209"/>
    </row>
    <row r="7" spans="1:14" ht="14.25" customHeight="1">
      <c r="A7" s="637"/>
      <c r="B7" s="209">
        <v>5</v>
      </c>
      <c r="C7" s="210">
        <v>0</v>
      </c>
      <c r="D7" s="210">
        <v>0</v>
      </c>
      <c r="E7" s="210">
        <v>0</v>
      </c>
      <c r="F7" s="211">
        <f t="shared" si="0"/>
        <v>0</v>
      </c>
      <c r="G7" s="212">
        <v>0</v>
      </c>
      <c r="H7" s="210">
        <v>0</v>
      </c>
      <c r="I7" s="210">
        <v>0</v>
      </c>
      <c r="J7" s="213">
        <f t="shared" si="1"/>
        <v>0</v>
      </c>
      <c r="K7" s="216"/>
      <c r="L7" s="209"/>
      <c r="M7" s="209"/>
      <c r="N7" s="209"/>
    </row>
    <row r="8" spans="1:14" ht="14.25" customHeight="1">
      <c r="A8" s="668" t="s">
        <v>465</v>
      </c>
      <c r="B8" s="217">
        <v>6</v>
      </c>
      <c r="C8" s="218">
        <v>0.1</v>
      </c>
      <c r="D8" s="218">
        <v>0.1</v>
      </c>
      <c r="E8" s="218">
        <v>0.1</v>
      </c>
      <c r="F8" s="219">
        <f>C8+D8+E8</f>
        <v>0.30000000000000004</v>
      </c>
      <c r="G8" s="220"/>
      <c r="H8" s="217"/>
      <c r="I8" s="217"/>
      <c r="J8" s="221"/>
      <c r="K8" s="222"/>
      <c r="L8" s="217"/>
      <c r="M8" s="217"/>
      <c r="N8" s="217"/>
    </row>
    <row r="9" spans="1:14" ht="14.25" customHeight="1">
      <c r="A9" s="637"/>
      <c r="B9" s="217">
        <v>7</v>
      </c>
      <c r="C9" s="217"/>
      <c r="D9" s="217"/>
      <c r="E9" s="217"/>
      <c r="F9" s="223"/>
      <c r="G9" s="224"/>
      <c r="H9" s="217"/>
      <c r="I9" s="217"/>
      <c r="J9" s="221"/>
      <c r="K9" s="222"/>
      <c r="L9" s="217"/>
      <c r="M9" s="217"/>
      <c r="N9" s="217"/>
    </row>
    <row r="10" spans="1:14" ht="14.25" customHeight="1">
      <c r="A10" s="637"/>
      <c r="B10" s="217">
        <v>8</v>
      </c>
      <c r="C10" s="217"/>
      <c r="D10" s="217"/>
      <c r="E10" s="217"/>
      <c r="F10" s="223"/>
      <c r="G10" s="224"/>
      <c r="H10" s="217"/>
      <c r="I10" s="217"/>
      <c r="J10" s="221"/>
      <c r="K10" s="222"/>
      <c r="L10" s="217"/>
      <c r="M10" s="217"/>
      <c r="N10" s="217"/>
    </row>
    <row r="11" spans="1:14" ht="14.25" customHeight="1">
      <c r="A11" s="637"/>
      <c r="B11" s="217">
        <v>9</v>
      </c>
      <c r="C11" s="217"/>
      <c r="D11" s="217"/>
      <c r="E11" s="217"/>
      <c r="F11" s="223"/>
      <c r="G11" s="224"/>
      <c r="H11" s="217"/>
      <c r="I11" s="217"/>
      <c r="J11" s="221"/>
      <c r="K11" s="222"/>
      <c r="L11" s="217"/>
      <c r="M11" s="217"/>
      <c r="N11" s="217"/>
    </row>
    <row r="12" spans="1:14" ht="14.25" customHeight="1">
      <c r="A12" s="668" t="s">
        <v>466</v>
      </c>
      <c r="B12" s="225">
        <v>10</v>
      </c>
      <c r="C12" s="225"/>
      <c r="D12" s="225"/>
      <c r="E12" s="225"/>
      <c r="F12" s="226"/>
      <c r="G12" s="227"/>
      <c r="H12" s="225"/>
      <c r="I12" s="225"/>
      <c r="J12" s="228"/>
      <c r="K12" s="229"/>
      <c r="L12" s="225"/>
      <c r="M12" s="225"/>
      <c r="N12" s="225"/>
    </row>
    <row r="13" spans="1:14" ht="14.25" customHeight="1">
      <c r="A13" s="637"/>
      <c r="B13" s="225">
        <v>11</v>
      </c>
      <c r="C13" s="225"/>
      <c r="D13" s="225"/>
      <c r="E13" s="225"/>
      <c r="F13" s="226"/>
      <c r="G13" s="227"/>
      <c r="H13" s="225"/>
      <c r="I13" s="225"/>
      <c r="J13" s="228"/>
      <c r="K13" s="229"/>
      <c r="L13" s="225"/>
      <c r="M13" s="225"/>
      <c r="N13" s="225"/>
    </row>
    <row r="14" spans="1:14" ht="14.25" customHeight="1">
      <c r="A14" s="637"/>
      <c r="B14" s="225">
        <v>12</v>
      </c>
      <c r="C14" s="225"/>
      <c r="D14" s="225"/>
      <c r="E14" s="225"/>
      <c r="F14" s="226"/>
      <c r="G14" s="227"/>
      <c r="H14" s="225"/>
      <c r="I14" s="225"/>
      <c r="J14" s="228"/>
      <c r="K14" s="229"/>
      <c r="L14" s="225"/>
      <c r="M14" s="225"/>
      <c r="N14" s="225"/>
    </row>
    <row r="15" spans="1:14" ht="14.25" customHeight="1">
      <c r="A15" s="637"/>
      <c r="B15" s="225">
        <v>13</v>
      </c>
      <c r="C15" s="225"/>
      <c r="D15" s="225"/>
      <c r="E15" s="225"/>
      <c r="F15" s="226"/>
      <c r="G15" s="227"/>
      <c r="H15" s="225"/>
      <c r="I15" s="225"/>
      <c r="J15" s="228"/>
      <c r="K15" s="229"/>
      <c r="L15" s="225"/>
      <c r="M15" s="225"/>
      <c r="N15" s="225"/>
    </row>
    <row r="16" spans="1:14" ht="14.25" customHeight="1">
      <c r="A16" s="668" t="s">
        <v>467</v>
      </c>
      <c r="B16" s="230">
        <v>14</v>
      </c>
      <c r="C16" s="230"/>
      <c r="D16" s="230"/>
      <c r="E16" s="230"/>
      <c r="F16" s="231"/>
      <c r="G16" s="232"/>
      <c r="H16" s="230"/>
      <c r="I16" s="230"/>
      <c r="J16" s="233"/>
      <c r="K16" s="234"/>
      <c r="L16" s="230"/>
      <c r="M16" s="230"/>
      <c r="N16" s="230"/>
    </row>
    <row r="17" spans="1:14" ht="14.25" customHeight="1">
      <c r="A17" s="637"/>
      <c r="B17" s="230">
        <v>15</v>
      </c>
      <c r="C17" s="230"/>
      <c r="D17" s="230"/>
      <c r="E17" s="230"/>
      <c r="F17" s="231"/>
      <c r="G17" s="232"/>
      <c r="H17" s="230"/>
      <c r="I17" s="230"/>
      <c r="J17" s="233"/>
      <c r="K17" s="234"/>
      <c r="L17" s="230"/>
      <c r="M17" s="230"/>
      <c r="N17" s="230"/>
    </row>
    <row r="18" spans="1:14" ht="14.25" customHeight="1">
      <c r="A18" s="637"/>
      <c r="B18" s="230">
        <v>16</v>
      </c>
      <c r="C18" s="230"/>
      <c r="D18" s="230"/>
      <c r="E18" s="230"/>
      <c r="F18" s="231"/>
      <c r="G18" s="232"/>
      <c r="H18" s="230"/>
      <c r="I18" s="230"/>
      <c r="J18" s="233"/>
      <c r="K18" s="234"/>
      <c r="L18" s="230"/>
      <c r="M18" s="230"/>
      <c r="N18" s="230"/>
    </row>
    <row r="19" spans="1:14" ht="14.25" customHeight="1">
      <c r="A19" s="668" t="s">
        <v>468</v>
      </c>
      <c r="B19" s="235">
        <v>17</v>
      </c>
      <c r="C19" s="235"/>
      <c r="D19" s="235"/>
      <c r="E19" s="235"/>
      <c r="F19" s="236"/>
      <c r="G19" s="237"/>
      <c r="H19" s="235"/>
      <c r="I19" s="235"/>
      <c r="J19" s="238"/>
      <c r="K19" s="239"/>
      <c r="L19" s="235"/>
      <c r="M19" s="235"/>
      <c r="N19" s="235"/>
    </row>
    <row r="20" spans="1:14" ht="14.25" customHeight="1">
      <c r="A20" s="637"/>
      <c r="B20" s="235">
        <v>18</v>
      </c>
      <c r="C20" s="235"/>
      <c r="D20" s="235"/>
      <c r="E20" s="235"/>
      <c r="F20" s="236"/>
      <c r="G20" s="237"/>
      <c r="H20" s="235"/>
      <c r="I20" s="235"/>
      <c r="J20" s="238"/>
      <c r="K20" s="239"/>
      <c r="L20" s="235"/>
      <c r="M20" s="235"/>
      <c r="N20" s="235"/>
    </row>
    <row r="21" spans="1:14" ht="14.25" customHeight="1">
      <c r="A21" s="637"/>
      <c r="B21" s="235">
        <v>19</v>
      </c>
      <c r="C21" s="235"/>
      <c r="D21" s="235"/>
      <c r="E21" s="235"/>
      <c r="F21" s="236"/>
      <c r="G21" s="237"/>
      <c r="H21" s="235"/>
      <c r="I21" s="235"/>
      <c r="J21" s="238"/>
      <c r="K21" s="239"/>
      <c r="L21" s="235"/>
      <c r="M21" s="235"/>
      <c r="N21" s="235"/>
    </row>
    <row r="22" spans="1:14" ht="14.25" customHeight="1">
      <c r="A22" s="637"/>
      <c r="B22" s="235">
        <v>20</v>
      </c>
      <c r="C22" s="235"/>
      <c r="D22" s="235"/>
      <c r="E22" s="235"/>
      <c r="F22" s="236"/>
      <c r="G22" s="237"/>
      <c r="H22" s="235"/>
      <c r="I22" s="235"/>
      <c r="J22" s="238"/>
      <c r="K22" s="239"/>
      <c r="L22" s="235"/>
      <c r="M22" s="235"/>
      <c r="N22" s="235"/>
    </row>
    <row r="23" spans="1:14" ht="14.25" customHeight="1">
      <c r="A23" s="668" t="s">
        <v>469</v>
      </c>
      <c r="B23" s="240">
        <v>21</v>
      </c>
      <c r="C23" s="240"/>
      <c r="D23" s="240"/>
      <c r="E23" s="240"/>
      <c r="F23" s="241"/>
      <c r="G23" s="242"/>
      <c r="H23" s="240"/>
      <c r="I23" s="240"/>
      <c r="J23" s="243"/>
      <c r="K23" s="244"/>
      <c r="L23" s="240"/>
      <c r="M23" s="240"/>
      <c r="N23" s="240"/>
    </row>
    <row r="24" spans="1:14" ht="14.25" customHeight="1">
      <c r="A24" s="637"/>
      <c r="B24" s="240">
        <v>22</v>
      </c>
      <c r="C24" s="240"/>
      <c r="D24" s="240"/>
      <c r="E24" s="240"/>
      <c r="F24" s="241"/>
      <c r="G24" s="242"/>
      <c r="H24" s="240"/>
      <c r="I24" s="240"/>
      <c r="J24" s="243"/>
      <c r="K24" s="244"/>
      <c r="L24" s="240"/>
      <c r="M24" s="240"/>
      <c r="N24" s="240"/>
    </row>
    <row r="25" spans="1:14" ht="14.25" customHeight="1">
      <c r="A25" s="637"/>
      <c r="B25" s="240">
        <v>23</v>
      </c>
      <c r="C25" s="240"/>
      <c r="D25" s="240"/>
      <c r="E25" s="240"/>
      <c r="F25" s="241"/>
      <c r="G25" s="242"/>
      <c r="H25" s="240"/>
      <c r="I25" s="240"/>
      <c r="J25" s="243"/>
      <c r="K25" s="244"/>
      <c r="L25" s="240"/>
      <c r="M25" s="240"/>
      <c r="N25" s="240"/>
    </row>
    <row r="26" spans="1:14" ht="14.25" customHeight="1">
      <c r="A26" s="637"/>
      <c r="B26" s="240">
        <v>24</v>
      </c>
      <c r="C26" s="240"/>
      <c r="D26" s="240"/>
      <c r="E26" s="240"/>
      <c r="F26" s="241"/>
      <c r="G26" s="242"/>
      <c r="H26" s="240"/>
      <c r="I26" s="240"/>
      <c r="J26" s="243"/>
      <c r="K26" s="244"/>
      <c r="L26" s="240"/>
      <c r="M26" s="240"/>
      <c r="N26" s="240"/>
    </row>
    <row r="27" spans="1:14" ht="14.25" customHeight="1">
      <c r="A27" s="668" t="s">
        <v>470</v>
      </c>
      <c r="B27" s="217">
        <v>25</v>
      </c>
      <c r="C27" s="217"/>
      <c r="D27" s="217"/>
      <c r="E27" s="217"/>
      <c r="F27" s="217"/>
      <c r="G27" s="217"/>
      <c r="H27" s="217"/>
      <c r="I27" s="217"/>
      <c r="J27" s="217"/>
      <c r="K27" s="217"/>
      <c r="L27" s="217"/>
      <c r="M27" s="217"/>
      <c r="N27" s="217"/>
    </row>
    <row r="28" spans="1:14" ht="14.25" customHeight="1">
      <c r="A28" s="637"/>
      <c r="B28" s="217">
        <v>26</v>
      </c>
      <c r="C28" s="217"/>
      <c r="D28" s="217"/>
      <c r="E28" s="217"/>
      <c r="F28" s="217"/>
      <c r="G28" s="217"/>
      <c r="H28" s="217"/>
      <c r="I28" s="217"/>
      <c r="J28" s="217"/>
      <c r="K28" s="217"/>
      <c r="L28" s="217"/>
      <c r="M28" s="217"/>
      <c r="N28" s="217"/>
    </row>
    <row r="29" spans="1:14" ht="14.25" customHeight="1">
      <c r="A29" s="637"/>
      <c r="B29" s="217">
        <v>27</v>
      </c>
      <c r="C29" s="217"/>
      <c r="D29" s="217"/>
      <c r="E29" s="217"/>
      <c r="F29" s="217"/>
      <c r="G29" s="217"/>
      <c r="H29" s="217"/>
      <c r="I29" s="217"/>
      <c r="J29" s="217"/>
      <c r="K29" s="217"/>
      <c r="L29" s="217"/>
      <c r="M29" s="217"/>
      <c r="N29" s="217"/>
    </row>
    <row r="30" spans="1:14" ht="14.25" customHeight="1">
      <c r="A30" s="637"/>
      <c r="B30" s="217">
        <v>28</v>
      </c>
      <c r="C30" s="217"/>
      <c r="D30" s="217"/>
      <c r="E30" s="217"/>
      <c r="F30" s="217"/>
      <c r="G30" s="217"/>
      <c r="H30" s="217"/>
      <c r="I30" s="217"/>
      <c r="J30" s="217"/>
      <c r="K30" s="217"/>
      <c r="L30" s="217"/>
      <c r="M30" s="217"/>
      <c r="N30" s="217"/>
    </row>
    <row r="31" spans="1:14" ht="14.25" customHeight="1">
      <c r="A31" s="637"/>
      <c r="B31" s="217">
        <v>29</v>
      </c>
      <c r="C31" s="217"/>
      <c r="D31" s="217"/>
      <c r="E31" s="217"/>
      <c r="F31" s="217"/>
      <c r="G31" s="217"/>
      <c r="H31" s="217"/>
      <c r="I31" s="217"/>
      <c r="J31" s="217"/>
      <c r="K31" s="217"/>
      <c r="L31" s="217"/>
      <c r="M31" s="217"/>
      <c r="N31" s="217"/>
    </row>
    <row r="32" spans="1:14" ht="14.25" customHeight="1">
      <c r="A32" s="668" t="s">
        <v>471</v>
      </c>
      <c r="B32" s="245">
        <v>30</v>
      </c>
      <c r="C32" s="245"/>
      <c r="D32" s="245"/>
      <c r="E32" s="245"/>
      <c r="F32" s="245"/>
      <c r="G32" s="245"/>
      <c r="H32" s="245"/>
      <c r="I32" s="245"/>
      <c r="J32" s="245"/>
      <c r="K32" s="245"/>
      <c r="L32" s="245"/>
      <c r="M32" s="245"/>
      <c r="N32" s="245"/>
    </row>
    <row r="33" spans="1:14" ht="14.25" customHeight="1">
      <c r="A33" s="637"/>
      <c r="B33" s="245">
        <v>31</v>
      </c>
      <c r="C33" s="245"/>
      <c r="D33" s="245"/>
      <c r="E33" s="245"/>
      <c r="F33" s="245"/>
      <c r="G33" s="245"/>
      <c r="H33" s="245"/>
      <c r="I33" s="245"/>
      <c r="J33" s="245"/>
      <c r="K33" s="245"/>
      <c r="L33" s="245"/>
      <c r="M33" s="245"/>
      <c r="N33" s="245"/>
    </row>
    <row r="34" spans="1:14" ht="14.25" customHeight="1">
      <c r="A34" s="637"/>
      <c r="B34" s="245">
        <v>32</v>
      </c>
      <c r="C34" s="245"/>
      <c r="D34" s="245"/>
      <c r="E34" s="245"/>
      <c r="F34" s="245"/>
      <c r="G34" s="245"/>
      <c r="H34" s="245"/>
      <c r="I34" s="245"/>
      <c r="J34" s="245"/>
      <c r="K34" s="245"/>
      <c r="L34" s="245"/>
      <c r="M34" s="245"/>
      <c r="N34" s="245"/>
    </row>
    <row r="35" spans="1:14" ht="14.25" customHeight="1">
      <c r="A35" s="668" t="s">
        <v>472</v>
      </c>
      <c r="B35" s="246">
        <v>33</v>
      </c>
      <c r="C35" s="225"/>
      <c r="D35" s="225"/>
      <c r="E35" s="225"/>
      <c r="F35" s="225"/>
      <c r="G35" s="225"/>
      <c r="H35" s="225"/>
      <c r="I35" s="225"/>
      <c r="J35" s="225"/>
      <c r="K35" s="225"/>
      <c r="L35" s="225"/>
      <c r="M35" s="225"/>
      <c r="N35" s="225"/>
    </row>
    <row r="36" spans="1:14" ht="14.25" customHeight="1">
      <c r="A36" s="637"/>
      <c r="B36" s="225">
        <v>34</v>
      </c>
      <c r="C36" s="225"/>
      <c r="D36" s="225"/>
      <c r="E36" s="225"/>
      <c r="F36" s="225"/>
      <c r="G36" s="225"/>
      <c r="H36" s="225"/>
      <c r="I36" s="225"/>
      <c r="J36" s="225"/>
      <c r="K36" s="225"/>
      <c r="L36" s="225"/>
      <c r="M36" s="225"/>
      <c r="N36" s="225"/>
    </row>
    <row r="37" spans="1:14" ht="14.25" customHeight="1">
      <c r="A37" s="637"/>
      <c r="B37" s="247">
        <v>35</v>
      </c>
      <c r="C37" s="225"/>
      <c r="D37" s="225"/>
      <c r="E37" s="225"/>
      <c r="F37" s="225"/>
      <c r="G37" s="225"/>
      <c r="H37" s="225"/>
      <c r="I37" s="225"/>
      <c r="J37" s="225"/>
      <c r="K37" s="225"/>
      <c r="L37" s="225"/>
      <c r="M37" s="225"/>
      <c r="N37" s="225"/>
    </row>
    <row r="38" spans="1:14" ht="14.25" customHeight="1">
      <c r="A38" s="668" t="s">
        <v>473</v>
      </c>
      <c r="B38" s="248">
        <v>36</v>
      </c>
      <c r="C38" s="248"/>
      <c r="D38" s="248"/>
      <c r="E38" s="248"/>
      <c r="F38" s="248"/>
      <c r="G38" s="248"/>
      <c r="H38" s="248"/>
      <c r="I38" s="248"/>
      <c r="J38" s="248"/>
      <c r="K38" s="248"/>
      <c r="L38" s="248"/>
      <c r="M38" s="248"/>
      <c r="N38" s="248"/>
    </row>
    <row r="39" spans="1:14" ht="14.25" customHeight="1">
      <c r="A39" s="637"/>
      <c r="B39" s="248">
        <v>37</v>
      </c>
      <c r="C39" s="248"/>
      <c r="D39" s="248"/>
      <c r="E39" s="248"/>
      <c r="F39" s="248"/>
      <c r="G39" s="248"/>
      <c r="H39" s="248"/>
      <c r="I39" s="248"/>
      <c r="J39" s="248"/>
      <c r="K39" s="248"/>
      <c r="L39" s="248"/>
      <c r="M39" s="248"/>
      <c r="N39" s="248"/>
    </row>
    <row r="40" spans="1:14" ht="14.25" customHeight="1">
      <c r="A40" s="637"/>
      <c r="B40" s="248">
        <v>38</v>
      </c>
      <c r="C40" s="248"/>
      <c r="D40" s="248"/>
      <c r="E40" s="248"/>
      <c r="F40" s="248"/>
      <c r="G40" s="248"/>
      <c r="H40" s="248"/>
      <c r="I40" s="248"/>
      <c r="J40" s="248"/>
      <c r="K40" s="248"/>
      <c r="L40" s="248"/>
      <c r="M40" s="248"/>
      <c r="N40" s="248"/>
    </row>
    <row r="41" spans="1:14" ht="14.25" customHeight="1">
      <c r="A41" s="669" t="s">
        <v>474</v>
      </c>
      <c r="B41" s="249">
        <v>39</v>
      </c>
      <c r="C41" s="250"/>
      <c r="D41" s="250"/>
      <c r="E41" s="250"/>
      <c r="F41" s="250"/>
      <c r="G41" s="250"/>
      <c r="H41" s="250"/>
      <c r="I41" s="250"/>
      <c r="J41" s="250"/>
      <c r="K41" s="250"/>
      <c r="L41" s="250"/>
      <c r="M41" s="250"/>
      <c r="N41" s="250"/>
    </row>
    <row r="42" spans="1:14" ht="14.25" customHeight="1">
      <c r="A42" s="670"/>
      <c r="B42" s="250">
        <v>40</v>
      </c>
      <c r="C42" s="250"/>
      <c r="D42" s="250"/>
      <c r="E42" s="250"/>
      <c r="F42" s="250"/>
      <c r="G42" s="250"/>
      <c r="H42" s="250"/>
      <c r="I42" s="250"/>
      <c r="J42" s="250"/>
      <c r="K42" s="250"/>
      <c r="L42" s="250"/>
      <c r="M42" s="250"/>
      <c r="N42" s="250"/>
    </row>
    <row r="43" spans="1:14" ht="14.25" customHeight="1">
      <c r="A43" s="670"/>
      <c r="B43" s="250">
        <v>41</v>
      </c>
      <c r="C43" s="250"/>
      <c r="D43" s="250"/>
      <c r="E43" s="250"/>
      <c r="F43" s="250"/>
      <c r="G43" s="250"/>
      <c r="H43" s="250"/>
      <c r="I43" s="250"/>
      <c r="J43" s="250"/>
      <c r="K43" s="250"/>
      <c r="L43" s="250"/>
      <c r="M43" s="250"/>
      <c r="N43" s="250"/>
    </row>
    <row r="44" spans="1:14" ht="14.25" customHeight="1">
      <c r="A44" s="671"/>
      <c r="B44" s="251">
        <v>42</v>
      </c>
      <c r="C44" s="250"/>
      <c r="D44" s="250"/>
      <c r="E44" s="250"/>
      <c r="F44" s="250"/>
      <c r="G44" s="250"/>
      <c r="H44" s="250"/>
      <c r="I44" s="250"/>
      <c r="J44" s="250"/>
      <c r="K44" s="250"/>
      <c r="L44" s="250"/>
      <c r="M44" s="250"/>
      <c r="N44" s="250"/>
    </row>
    <row r="45" spans="1:14" ht="14.25" customHeight="1">
      <c r="A45" s="672" t="s">
        <v>475</v>
      </c>
      <c r="B45" s="252">
        <v>43</v>
      </c>
      <c r="C45" s="252"/>
      <c r="D45" s="252"/>
      <c r="E45" s="252"/>
      <c r="F45" s="252"/>
      <c r="G45" s="252"/>
      <c r="H45" s="252"/>
      <c r="I45" s="252"/>
      <c r="J45" s="252"/>
      <c r="K45" s="252"/>
      <c r="L45" s="252"/>
      <c r="M45" s="252"/>
      <c r="N45" s="252"/>
    </row>
    <row r="46" spans="1:14" ht="14.25" customHeight="1">
      <c r="A46" s="507"/>
      <c r="B46" s="252">
        <v>44</v>
      </c>
      <c r="C46" s="252"/>
      <c r="D46" s="252"/>
      <c r="E46" s="252"/>
      <c r="F46" s="252"/>
      <c r="G46" s="252"/>
      <c r="H46" s="252"/>
      <c r="I46" s="252"/>
      <c r="J46" s="252"/>
      <c r="K46" s="252"/>
      <c r="L46" s="252"/>
      <c r="M46" s="252"/>
      <c r="N46" s="252"/>
    </row>
    <row r="47" spans="1:14" ht="14.25" customHeight="1">
      <c r="A47" s="253"/>
      <c r="B47" s="253"/>
      <c r="C47" s="253"/>
      <c r="D47" s="253"/>
      <c r="E47" s="253"/>
      <c r="F47" s="253"/>
      <c r="G47" s="253"/>
      <c r="H47" s="253"/>
      <c r="I47" s="253"/>
      <c r="J47" s="253"/>
      <c r="K47" s="253"/>
      <c r="L47" s="253"/>
      <c r="M47" s="253"/>
      <c r="N47" s="253"/>
    </row>
    <row r="48" spans="1:14" ht="14.25" customHeight="1">
      <c r="A48" s="253"/>
      <c r="B48" s="253"/>
      <c r="C48" s="253"/>
      <c r="D48" s="253"/>
      <c r="E48" s="253"/>
      <c r="F48" s="253"/>
      <c r="G48" s="253"/>
      <c r="H48" s="253"/>
      <c r="I48" s="253"/>
      <c r="J48" s="253"/>
      <c r="K48" s="253"/>
      <c r="L48" s="253"/>
      <c r="M48" s="253"/>
      <c r="N48" s="253"/>
    </row>
    <row r="49" spans="1:14" ht="14.25" customHeight="1">
      <c r="A49" s="253"/>
      <c r="B49" s="253"/>
      <c r="C49" s="253"/>
      <c r="D49" s="253"/>
      <c r="E49" s="253"/>
      <c r="F49" s="253"/>
      <c r="G49" s="253"/>
      <c r="H49" s="253"/>
      <c r="I49" s="253"/>
      <c r="J49" s="253"/>
      <c r="K49" s="253"/>
      <c r="L49" s="253"/>
      <c r="M49" s="253"/>
      <c r="N49" s="253"/>
    </row>
    <row r="50" spans="1:14" ht="14.25" customHeight="1">
      <c r="A50" s="253"/>
      <c r="B50" s="253"/>
      <c r="C50" s="253"/>
      <c r="D50" s="253"/>
      <c r="E50" s="253"/>
      <c r="F50" s="253"/>
      <c r="G50" s="253"/>
      <c r="H50" s="253"/>
      <c r="I50" s="253"/>
      <c r="J50" s="253"/>
      <c r="K50" s="253"/>
      <c r="L50" s="253"/>
      <c r="M50" s="253"/>
      <c r="N50" s="253"/>
    </row>
    <row r="51" spans="1:14" ht="14.25" customHeight="1">
      <c r="A51" s="253"/>
      <c r="B51" s="253"/>
      <c r="C51" s="253"/>
      <c r="D51" s="253"/>
      <c r="E51" s="253"/>
      <c r="F51" s="253"/>
      <c r="G51" s="253"/>
      <c r="H51" s="253"/>
      <c r="I51" s="253"/>
      <c r="J51" s="253"/>
      <c r="K51" s="253"/>
      <c r="L51" s="253"/>
      <c r="M51" s="253"/>
      <c r="N51" s="253"/>
    </row>
    <row r="52" spans="1:14" ht="14.25" customHeight="1">
      <c r="A52" s="253"/>
      <c r="B52" s="253"/>
      <c r="C52" s="253"/>
      <c r="D52" s="253"/>
      <c r="E52" s="253"/>
      <c r="F52" s="253"/>
      <c r="G52" s="253"/>
      <c r="H52" s="253"/>
      <c r="I52" s="253"/>
      <c r="J52" s="253"/>
      <c r="K52" s="253"/>
      <c r="L52" s="253"/>
      <c r="M52" s="253"/>
      <c r="N52" s="253"/>
    </row>
    <row r="53" spans="1:14" ht="14.25" customHeight="1">
      <c r="A53" s="253"/>
      <c r="B53" s="253"/>
      <c r="C53" s="253"/>
      <c r="D53" s="253"/>
      <c r="E53" s="253"/>
      <c r="F53" s="253"/>
      <c r="G53" s="253"/>
      <c r="H53" s="253"/>
      <c r="I53" s="253"/>
      <c r="J53" s="253"/>
      <c r="K53" s="253"/>
      <c r="L53" s="253"/>
      <c r="M53" s="253"/>
      <c r="N53" s="253"/>
    </row>
    <row r="54" spans="1:14" ht="14.25" customHeight="1">
      <c r="A54" s="253"/>
      <c r="B54" s="253"/>
      <c r="C54" s="253"/>
      <c r="D54" s="253"/>
      <c r="E54" s="253"/>
      <c r="F54" s="253"/>
      <c r="G54" s="253"/>
      <c r="H54" s="253"/>
      <c r="I54" s="253"/>
      <c r="J54" s="253"/>
      <c r="K54" s="253"/>
      <c r="L54" s="253"/>
      <c r="M54" s="253"/>
      <c r="N54" s="253"/>
    </row>
    <row r="55" spans="1:14" ht="14.25" customHeight="1">
      <c r="A55" s="253"/>
      <c r="B55" s="253"/>
      <c r="C55" s="253"/>
      <c r="D55" s="253"/>
      <c r="E55" s="253"/>
      <c r="F55" s="253"/>
      <c r="G55" s="253"/>
      <c r="H55" s="253"/>
      <c r="I55" s="253"/>
      <c r="J55" s="253"/>
      <c r="K55" s="253"/>
      <c r="L55" s="253"/>
      <c r="M55" s="253"/>
      <c r="N55" s="253"/>
    </row>
    <row r="56" spans="1:14" ht="14.25" customHeight="1">
      <c r="A56" s="253"/>
      <c r="B56" s="253"/>
      <c r="C56" s="253"/>
      <c r="D56" s="253"/>
      <c r="E56" s="253"/>
      <c r="F56" s="253"/>
      <c r="G56" s="253"/>
      <c r="H56" s="253"/>
      <c r="I56" s="253"/>
      <c r="J56" s="253"/>
      <c r="K56" s="253"/>
      <c r="L56" s="253"/>
      <c r="M56" s="253"/>
      <c r="N56" s="253"/>
    </row>
    <row r="57" spans="1:14" ht="14.25" customHeight="1">
      <c r="A57" s="253"/>
      <c r="B57" s="253"/>
      <c r="C57" s="253"/>
      <c r="D57" s="253"/>
      <c r="E57" s="253"/>
      <c r="F57" s="253"/>
      <c r="G57" s="253"/>
      <c r="H57" s="253"/>
      <c r="I57" s="253"/>
      <c r="J57" s="253"/>
      <c r="K57" s="253"/>
      <c r="L57" s="253"/>
      <c r="M57" s="253"/>
      <c r="N57" s="253"/>
    </row>
    <row r="58" spans="1:14" ht="14.25" customHeight="1">
      <c r="A58" s="253"/>
      <c r="B58" s="253"/>
      <c r="C58" s="253"/>
      <c r="D58" s="253"/>
      <c r="E58" s="253"/>
      <c r="F58" s="253"/>
      <c r="G58" s="253"/>
      <c r="H58" s="253"/>
      <c r="I58" s="253"/>
      <c r="J58" s="253"/>
      <c r="K58" s="253"/>
      <c r="L58" s="253"/>
      <c r="M58" s="253"/>
      <c r="N58" s="253"/>
    </row>
    <row r="59" spans="1:14" ht="14.25" customHeight="1">
      <c r="A59" s="253"/>
      <c r="B59" s="253"/>
      <c r="C59" s="253"/>
      <c r="D59" s="253"/>
      <c r="E59" s="253"/>
      <c r="F59" s="253"/>
      <c r="G59" s="253"/>
      <c r="H59" s="253"/>
      <c r="I59" s="253"/>
      <c r="J59" s="253"/>
      <c r="K59" s="253"/>
      <c r="L59" s="253"/>
      <c r="M59" s="253"/>
      <c r="N59" s="253"/>
    </row>
    <row r="60" spans="1:14" ht="14.25" customHeight="1">
      <c r="A60" s="253"/>
      <c r="B60" s="253"/>
      <c r="C60" s="253"/>
      <c r="D60" s="253"/>
      <c r="E60" s="253"/>
      <c r="F60" s="253"/>
      <c r="G60" s="253"/>
      <c r="H60" s="253"/>
      <c r="I60" s="253"/>
      <c r="J60" s="253"/>
      <c r="K60" s="253"/>
      <c r="L60" s="253"/>
      <c r="M60" s="253"/>
      <c r="N60" s="253"/>
    </row>
    <row r="61" spans="1:14" ht="14.25" customHeight="1">
      <c r="A61" s="253"/>
      <c r="B61" s="253"/>
      <c r="C61" s="253"/>
      <c r="D61" s="253"/>
      <c r="E61" s="253"/>
      <c r="F61" s="253"/>
      <c r="G61" s="253"/>
      <c r="H61" s="253"/>
      <c r="I61" s="253"/>
      <c r="J61" s="253"/>
      <c r="K61" s="253"/>
      <c r="L61" s="253"/>
      <c r="M61" s="253"/>
      <c r="N61" s="253"/>
    </row>
    <row r="62" spans="1:14" ht="14.25" customHeight="1">
      <c r="A62" s="253"/>
      <c r="B62" s="253"/>
      <c r="C62" s="253"/>
      <c r="D62" s="253"/>
      <c r="E62" s="253"/>
      <c r="F62" s="253"/>
      <c r="G62" s="253"/>
      <c r="H62" s="253"/>
      <c r="I62" s="253"/>
      <c r="J62" s="253"/>
      <c r="K62" s="253"/>
      <c r="L62" s="253"/>
      <c r="M62" s="253"/>
      <c r="N62" s="253"/>
    </row>
    <row r="63" spans="1:14" ht="14.25" customHeight="1">
      <c r="A63" s="253"/>
      <c r="B63" s="253"/>
      <c r="C63" s="253"/>
      <c r="D63" s="253"/>
      <c r="E63" s="253"/>
      <c r="F63" s="253"/>
      <c r="G63" s="253"/>
      <c r="H63" s="253"/>
      <c r="I63" s="253"/>
      <c r="J63" s="253"/>
      <c r="K63" s="253"/>
      <c r="L63" s="253"/>
      <c r="M63" s="253"/>
      <c r="N63" s="253"/>
    </row>
    <row r="64" spans="1:14" ht="14.25" customHeight="1">
      <c r="A64" s="253"/>
      <c r="B64" s="253"/>
      <c r="C64" s="253"/>
      <c r="D64" s="253"/>
      <c r="E64" s="253"/>
      <c r="F64" s="253"/>
      <c r="G64" s="253"/>
      <c r="H64" s="253"/>
      <c r="I64" s="253"/>
      <c r="J64" s="253"/>
      <c r="K64" s="253"/>
      <c r="L64" s="253"/>
      <c r="M64" s="253"/>
      <c r="N64" s="253"/>
    </row>
    <row r="65" spans="1:14" ht="14.25" customHeight="1">
      <c r="A65" s="253"/>
      <c r="B65" s="253"/>
      <c r="C65" s="253"/>
      <c r="D65" s="253"/>
      <c r="E65" s="253"/>
      <c r="F65" s="253"/>
      <c r="G65" s="253"/>
      <c r="H65" s="253"/>
      <c r="I65" s="253"/>
      <c r="J65" s="253"/>
      <c r="K65" s="253"/>
      <c r="L65" s="253"/>
      <c r="M65" s="253"/>
      <c r="N65" s="253"/>
    </row>
    <row r="66" spans="1:14" ht="14.25" customHeight="1">
      <c r="A66" s="253"/>
      <c r="B66" s="253"/>
      <c r="C66" s="253"/>
      <c r="D66" s="253"/>
      <c r="E66" s="253"/>
      <c r="F66" s="253"/>
      <c r="G66" s="253"/>
      <c r="H66" s="253"/>
      <c r="I66" s="253"/>
      <c r="J66" s="253"/>
      <c r="K66" s="253"/>
      <c r="L66" s="253"/>
      <c r="M66" s="253"/>
      <c r="N66" s="253"/>
    </row>
    <row r="67" spans="1:14" ht="14.25" customHeight="1">
      <c r="A67" s="253"/>
      <c r="B67" s="253"/>
      <c r="C67" s="253"/>
      <c r="D67" s="253"/>
      <c r="E67" s="253"/>
      <c r="F67" s="253"/>
      <c r="G67" s="253"/>
      <c r="H67" s="253"/>
      <c r="I67" s="253"/>
      <c r="J67" s="253"/>
      <c r="K67" s="253"/>
      <c r="L67" s="253"/>
      <c r="M67" s="253"/>
      <c r="N67" s="253"/>
    </row>
    <row r="68" spans="1:14" ht="14.25" customHeight="1">
      <c r="A68" s="253"/>
      <c r="B68" s="253"/>
      <c r="C68" s="253"/>
      <c r="D68" s="253"/>
      <c r="E68" s="253"/>
      <c r="F68" s="253"/>
      <c r="G68" s="253"/>
      <c r="H68" s="253"/>
      <c r="I68" s="253"/>
      <c r="J68" s="253"/>
      <c r="K68" s="253"/>
      <c r="L68" s="253"/>
      <c r="M68" s="253"/>
      <c r="N68" s="253"/>
    </row>
    <row r="69" spans="1:14" ht="14.25" customHeight="1">
      <c r="A69" s="253"/>
      <c r="B69" s="253"/>
      <c r="C69" s="253"/>
      <c r="D69" s="253"/>
      <c r="E69" s="253"/>
      <c r="F69" s="253"/>
      <c r="G69" s="253"/>
      <c r="H69" s="253"/>
      <c r="I69" s="253"/>
      <c r="J69" s="253"/>
      <c r="K69" s="253"/>
      <c r="L69" s="253"/>
      <c r="M69" s="253"/>
      <c r="N69" s="253"/>
    </row>
    <row r="70" spans="1:14" ht="14.25" customHeight="1">
      <c r="A70" s="253"/>
      <c r="B70" s="253"/>
      <c r="C70" s="253"/>
      <c r="D70" s="253"/>
      <c r="E70" s="253"/>
      <c r="F70" s="253"/>
      <c r="G70" s="253"/>
      <c r="H70" s="253"/>
      <c r="I70" s="253"/>
      <c r="J70" s="253"/>
      <c r="K70" s="253"/>
      <c r="L70" s="253"/>
      <c r="M70" s="253"/>
      <c r="N70" s="253"/>
    </row>
    <row r="71" spans="1:14" ht="14.25" customHeight="1">
      <c r="A71" s="253"/>
      <c r="B71" s="253"/>
      <c r="C71" s="253"/>
      <c r="D71" s="253"/>
      <c r="E71" s="253"/>
      <c r="F71" s="253"/>
      <c r="G71" s="253"/>
      <c r="H71" s="253"/>
      <c r="I71" s="253"/>
      <c r="J71" s="253"/>
      <c r="K71" s="253"/>
      <c r="L71" s="253"/>
      <c r="M71" s="253"/>
      <c r="N71" s="253"/>
    </row>
    <row r="72" spans="1:14" ht="14.25" customHeight="1">
      <c r="A72" s="253"/>
      <c r="B72" s="253"/>
      <c r="C72" s="253"/>
      <c r="D72" s="253"/>
      <c r="E72" s="253"/>
      <c r="F72" s="253"/>
      <c r="G72" s="253"/>
      <c r="H72" s="253"/>
      <c r="I72" s="253"/>
      <c r="J72" s="253"/>
      <c r="K72" s="253"/>
      <c r="L72" s="253"/>
      <c r="M72" s="253"/>
      <c r="N72" s="253"/>
    </row>
    <row r="73" spans="1:14" ht="14.25" customHeight="1">
      <c r="A73" s="253"/>
      <c r="B73" s="253"/>
      <c r="C73" s="253"/>
      <c r="D73" s="253"/>
      <c r="E73" s="253"/>
      <c r="F73" s="253"/>
      <c r="G73" s="253"/>
      <c r="H73" s="253"/>
      <c r="I73" s="253"/>
      <c r="J73" s="253"/>
      <c r="K73" s="253"/>
      <c r="L73" s="253"/>
      <c r="M73" s="253"/>
      <c r="N73" s="253"/>
    </row>
    <row r="74" spans="1:14" ht="14.25" customHeight="1">
      <c r="A74" s="253"/>
      <c r="B74" s="253"/>
      <c r="C74" s="253"/>
      <c r="D74" s="253"/>
      <c r="E74" s="253"/>
      <c r="F74" s="253"/>
      <c r="G74" s="253"/>
      <c r="H74" s="253"/>
      <c r="I74" s="253"/>
      <c r="J74" s="253"/>
      <c r="K74" s="253"/>
      <c r="L74" s="253"/>
      <c r="M74" s="253"/>
      <c r="N74" s="253"/>
    </row>
    <row r="75" spans="1:14" ht="14.25" customHeight="1">
      <c r="A75" s="253"/>
      <c r="B75" s="253"/>
      <c r="C75" s="253"/>
      <c r="D75" s="253"/>
      <c r="E75" s="253"/>
      <c r="F75" s="253"/>
      <c r="G75" s="253"/>
      <c r="H75" s="253"/>
      <c r="I75" s="253"/>
      <c r="J75" s="253"/>
      <c r="K75" s="253"/>
      <c r="L75" s="253"/>
      <c r="M75" s="253"/>
      <c r="N75" s="253"/>
    </row>
    <row r="76" spans="1:14" ht="14.25" customHeight="1">
      <c r="A76" s="253"/>
      <c r="B76" s="253"/>
      <c r="C76" s="253"/>
      <c r="D76" s="253"/>
      <c r="E76" s="253"/>
      <c r="F76" s="253"/>
      <c r="G76" s="253"/>
      <c r="H76" s="253"/>
      <c r="I76" s="253"/>
      <c r="J76" s="253"/>
      <c r="K76" s="253"/>
      <c r="L76" s="253"/>
      <c r="M76" s="253"/>
      <c r="N76" s="253"/>
    </row>
    <row r="77" spans="1:14" ht="14.25" customHeight="1">
      <c r="A77" s="253"/>
      <c r="B77" s="253"/>
      <c r="C77" s="253"/>
      <c r="D77" s="253"/>
      <c r="E77" s="253"/>
      <c r="F77" s="253"/>
      <c r="G77" s="253"/>
      <c r="H77" s="253"/>
      <c r="I77" s="253"/>
      <c r="J77" s="253"/>
      <c r="K77" s="253"/>
      <c r="L77" s="253"/>
      <c r="M77" s="253"/>
      <c r="N77" s="253"/>
    </row>
    <row r="78" spans="1:14" ht="14.25" customHeight="1">
      <c r="A78" s="253"/>
      <c r="B78" s="253"/>
      <c r="C78" s="253"/>
      <c r="D78" s="253"/>
      <c r="E78" s="253"/>
      <c r="F78" s="253"/>
      <c r="G78" s="253"/>
      <c r="H78" s="253"/>
      <c r="I78" s="253"/>
      <c r="J78" s="253"/>
      <c r="K78" s="253"/>
      <c r="L78" s="253"/>
      <c r="M78" s="253"/>
      <c r="N78" s="253"/>
    </row>
    <row r="79" spans="1:14" ht="14.25" customHeight="1">
      <c r="A79" s="253"/>
      <c r="B79" s="253"/>
      <c r="C79" s="253"/>
      <c r="D79" s="253"/>
      <c r="E79" s="253"/>
      <c r="F79" s="253"/>
      <c r="G79" s="253"/>
      <c r="H79" s="253"/>
      <c r="I79" s="253"/>
      <c r="J79" s="253"/>
      <c r="K79" s="253"/>
      <c r="L79" s="253"/>
      <c r="M79" s="253"/>
      <c r="N79" s="253"/>
    </row>
    <row r="80" spans="1:14" ht="14.25" customHeight="1">
      <c r="A80" s="253"/>
      <c r="B80" s="253"/>
      <c r="C80" s="253"/>
      <c r="D80" s="253"/>
      <c r="E80" s="253"/>
      <c r="F80" s="253"/>
      <c r="G80" s="253"/>
      <c r="H80" s="253"/>
      <c r="I80" s="253"/>
      <c r="J80" s="253"/>
      <c r="K80" s="253"/>
      <c r="L80" s="253"/>
      <c r="M80" s="253"/>
      <c r="N80" s="253"/>
    </row>
    <row r="81" spans="1:14" ht="14.25" customHeight="1">
      <c r="A81" s="253"/>
      <c r="B81" s="253"/>
      <c r="C81" s="253"/>
      <c r="D81" s="253"/>
      <c r="E81" s="253"/>
      <c r="F81" s="253"/>
      <c r="G81" s="253"/>
      <c r="H81" s="253"/>
      <c r="I81" s="253"/>
      <c r="J81" s="253"/>
      <c r="K81" s="253"/>
      <c r="L81" s="253"/>
      <c r="M81" s="253"/>
      <c r="N81" s="253"/>
    </row>
    <row r="82" spans="1:14" ht="14.25" customHeight="1">
      <c r="A82" s="253"/>
      <c r="B82" s="253"/>
      <c r="C82" s="253"/>
      <c r="D82" s="253"/>
      <c r="E82" s="253"/>
      <c r="F82" s="253"/>
      <c r="G82" s="253"/>
      <c r="H82" s="253"/>
      <c r="I82" s="253"/>
      <c r="J82" s="253"/>
      <c r="K82" s="253"/>
      <c r="L82" s="253"/>
      <c r="M82" s="253"/>
      <c r="N82" s="253"/>
    </row>
    <row r="83" spans="1:14" ht="14.25" customHeight="1">
      <c r="A83" s="253"/>
      <c r="B83" s="253"/>
      <c r="C83" s="253"/>
      <c r="D83" s="253"/>
      <c r="E83" s="253"/>
      <c r="F83" s="253"/>
      <c r="G83" s="253"/>
      <c r="H83" s="253"/>
      <c r="I83" s="253"/>
      <c r="J83" s="253"/>
      <c r="K83" s="253"/>
      <c r="L83" s="253"/>
      <c r="M83" s="253"/>
      <c r="N83" s="253"/>
    </row>
    <row r="84" spans="1:14" ht="14.25" customHeight="1">
      <c r="A84" s="253"/>
      <c r="B84" s="253"/>
      <c r="C84" s="253"/>
      <c r="D84" s="253"/>
      <c r="E84" s="253"/>
      <c r="F84" s="253"/>
      <c r="G84" s="253"/>
      <c r="H84" s="253"/>
      <c r="I84" s="253"/>
      <c r="J84" s="253"/>
      <c r="K84" s="253"/>
      <c r="L84" s="253"/>
      <c r="M84" s="253"/>
      <c r="N84" s="253"/>
    </row>
    <row r="85" spans="1:14" ht="14.25" customHeight="1">
      <c r="A85" s="253"/>
      <c r="B85" s="253"/>
      <c r="C85" s="253"/>
      <c r="D85" s="253"/>
      <c r="E85" s="253"/>
      <c r="F85" s="253"/>
      <c r="G85" s="253"/>
      <c r="H85" s="253"/>
      <c r="I85" s="253"/>
      <c r="J85" s="253"/>
      <c r="K85" s="253"/>
      <c r="L85" s="253"/>
      <c r="M85" s="253"/>
      <c r="N85" s="253"/>
    </row>
    <row r="86" spans="1:14" ht="14.25" customHeight="1">
      <c r="A86" s="253"/>
      <c r="B86" s="253"/>
      <c r="C86" s="253"/>
      <c r="D86" s="253"/>
      <c r="E86" s="253"/>
      <c r="F86" s="253"/>
      <c r="G86" s="253"/>
      <c r="H86" s="253"/>
      <c r="I86" s="253"/>
      <c r="J86" s="253"/>
      <c r="K86" s="253"/>
      <c r="L86" s="253"/>
      <c r="M86" s="253"/>
      <c r="N86" s="253"/>
    </row>
    <row r="87" spans="1:14" ht="14.25" customHeight="1">
      <c r="A87" s="253"/>
      <c r="B87" s="253"/>
      <c r="C87" s="253"/>
      <c r="D87" s="253"/>
      <c r="E87" s="253"/>
      <c r="F87" s="253"/>
      <c r="G87" s="253"/>
      <c r="H87" s="253"/>
      <c r="I87" s="253"/>
      <c r="J87" s="253"/>
      <c r="K87" s="253"/>
      <c r="L87" s="253"/>
      <c r="M87" s="253"/>
      <c r="N87" s="253"/>
    </row>
    <row r="88" spans="1:14" ht="14.25" customHeight="1">
      <c r="A88" s="253"/>
      <c r="B88" s="253"/>
      <c r="C88" s="253"/>
      <c r="D88" s="253"/>
      <c r="E88" s="253"/>
      <c r="F88" s="253"/>
      <c r="G88" s="253"/>
      <c r="H88" s="253"/>
      <c r="I88" s="253"/>
      <c r="J88" s="253"/>
      <c r="K88" s="253"/>
      <c r="L88" s="253"/>
      <c r="M88" s="253"/>
      <c r="N88" s="253"/>
    </row>
    <row r="89" spans="1:14" ht="14.25" customHeight="1">
      <c r="A89" s="253"/>
      <c r="B89" s="253"/>
      <c r="C89" s="253"/>
      <c r="D89" s="253"/>
      <c r="E89" s="253"/>
      <c r="F89" s="253"/>
      <c r="G89" s="253"/>
      <c r="H89" s="253"/>
      <c r="I89" s="253"/>
      <c r="J89" s="253"/>
      <c r="K89" s="253"/>
      <c r="L89" s="253"/>
      <c r="M89" s="253"/>
      <c r="N89" s="253"/>
    </row>
    <row r="90" spans="1:14" ht="14.25" customHeight="1">
      <c r="A90" s="253"/>
      <c r="B90" s="253"/>
      <c r="C90" s="253"/>
      <c r="D90" s="253"/>
      <c r="E90" s="253"/>
      <c r="F90" s="253"/>
      <c r="G90" s="253"/>
      <c r="H90" s="253"/>
      <c r="I90" s="253"/>
      <c r="J90" s="253"/>
      <c r="K90" s="253"/>
      <c r="L90" s="253"/>
      <c r="M90" s="253"/>
      <c r="N90" s="253"/>
    </row>
    <row r="91" spans="1:14" ht="14.25" customHeight="1">
      <c r="A91" s="253"/>
      <c r="B91" s="253"/>
      <c r="C91" s="253"/>
      <c r="D91" s="253"/>
      <c r="E91" s="253"/>
      <c r="F91" s="253"/>
      <c r="G91" s="253"/>
      <c r="H91" s="253"/>
      <c r="I91" s="253"/>
      <c r="J91" s="253"/>
      <c r="K91" s="253"/>
      <c r="L91" s="253"/>
      <c r="M91" s="253"/>
      <c r="N91" s="253"/>
    </row>
    <row r="92" spans="1:14" ht="14.25" customHeight="1">
      <c r="A92" s="253"/>
      <c r="B92" s="253"/>
      <c r="C92" s="253"/>
      <c r="D92" s="253"/>
      <c r="E92" s="253"/>
      <c r="F92" s="253"/>
      <c r="G92" s="253"/>
      <c r="H92" s="253"/>
      <c r="I92" s="253"/>
      <c r="J92" s="253"/>
      <c r="K92" s="253"/>
      <c r="L92" s="253"/>
      <c r="M92" s="253"/>
      <c r="N92" s="253"/>
    </row>
    <row r="93" spans="1:14" ht="14.25" customHeight="1">
      <c r="A93" s="253"/>
      <c r="B93" s="253"/>
      <c r="C93" s="253"/>
      <c r="D93" s="253"/>
      <c r="E93" s="253"/>
      <c r="F93" s="253"/>
      <c r="G93" s="253"/>
      <c r="H93" s="253"/>
      <c r="I93" s="253"/>
      <c r="J93" s="253"/>
      <c r="K93" s="253"/>
      <c r="L93" s="253"/>
      <c r="M93" s="253"/>
      <c r="N93" s="253"/>
    </row>
    <row r="94" spans="1:14" ht="14.25" customHeight="1">
      <c r="A94" s="253"/>
      <c r="B94" s="253"/>
      <c r="C94" s="253"/>
      <c r="D94" s="253"/>
      <c r="E94" s="253"/>
      <c r="F94" s="253"/>
      <c r="G94" s="253"/>
      <c r="H94" s="253"/>
      <c r="I94" s="253"/>
      <c r="J94" s="253"/>
      <c r="K94" s="253"/>
      <c r="L94" s="253"/>
      <c r="M94" s="253"/>
      <c r="N94" s="253"/>
    </row>
    <row r="95" spans="1:14" ht="14.25" customHeight="1">
      <c r="A95" s="253"/>
      <c r="B95" s="253"/>
      <c r="C95" s="253"/>
      <c r="D95" s="253"/>
      <c r="E95" s="253"/>
      <c r="F95" s="253"/>
      <c r="G95" s="253"/>
      <c r="H95" s="253"/>
      <c r="I95" s="253"/>
      <c r="J95" s="253"/>
      <c r="K95" s="253"/>
      <c r="L95" s="253"/>
      <c r="M95" s="253"/>
      <c r="N95" s="253"/>
    </row>
    <row r="96" spans="1:14" ht="14.25" customHeight="1">
      <c r="A96" s="253"/>
      <c r="B96" s="253"/>
      <c r="C96" s="253"/>
      <c r="D96" s="253"/>
      <c r="E96" s="253"/>
      <c r="F96" s="253"/>
      <c r="G96" s="253"/>
      <c r="H96" s="253"/>
      <c r="I96" s="253"/>
      <c r="J96" s="253"/>
      <c r="K96" s="253"/>
      <c r="L96" s="253"/>
      <c r="M96" s="253"/>
      <c r="N96" s="253"/>
    </row>
    <row r="97" spans="1:14" ht="14.25" customHeight="1">
      <c r="A97" s="253"/>
      <c r="B97" s="253"/>
      <c r="C97" s="253"/>
      <c r="D97" s="253"/>
      <c r="E97" s="253"/>
      <c r="F97" s="253"/>
      <c r="G97" s="253"/>
      <c r="H97" s="253"/>
      <c r="I97" s="253"/>
      <c r="J97" s="253"/>
      <c r="K97" s="253"/>
      <c r="L97" s="253"/>
      <c r="M97" s="253"/>
      <c r="N97" s="253"/>
    </row>
    <row r="98" spans="1:14" ht="14.25" customHeight="1">
      <c r="A98" s="253"/>
      <c r="B98" s="253"/>
      <c r="C98" s="253"/>
      <c r="D98" s="253"/>
      <c r="E98" s="253"/>
      <c r="F98" s="253"/>
      <c r="G98" s="253"/>
      <c r="H98" s="253"/>
      <c r="I98" s="253"/>
      <c r="J98" s="253"/>
      <c r="K98" s="253"/>
      <c r="L98" s="253"/>
      <c r="M98" s="253"/>
      <c r="N98" s="253"/>
    </row>
    <row r="99" spans="1:14" ht="14.25" customHeight="1">
      <c r="A99" s="253"/>
      <c r="B99" s="253"/>
      <c r="C99" s="253"/>
      <c r="D99" s="253"/>
      <c r="E99" s="253"/>
      <c r="F99" s="253"/>
      <c r="G99" s="253"/>
      <c r="H99" s="253"/>
      <c r="I99" s="253"/>
      <c r="J99" s="253"/>
      <c r="K99" s="253"/>
      <c r="L99" s="253"/>
      <c r="M99" s="253"/>
      <c r="N99" s="253"/>
    </row>
    <row r="100" spans="1:14" ht="14.25" customHeight="1">
      <c r="A100" s="253"/>
      <c r="B100" s="253"/>
      <c r="C100" s="253"/>
      <c r="D100" s="253"/>
      <c r="E100" s="253"/>
      <c r="F100" s="253"/>
      <c r="G100" s="253"/>
      <c r="H100" s="253"/>
      <c r="I100" s="253"/>
      <c r="J100" s="253"/>
      <c r="K100" s="253"/>
      <c r="L100" s="253"/>
      <c r="M100" s="253"/>
      <c r="N100" s="253"/>
    </row>
    <row r="101" spans="1:14" ht="14.25" customHeight="1">
      <c r="A101" s="253"/>
      <c r="B101" s="253"/>
      <c r="C101" s="253"/>
      <c r="D101" s="253"/>
      <c r="E101" s="253"/>
      <c r="F101" s="253"/>
      <c r="G101" s="253"/>
      <c r="H101" s="253"/>
      <c r="I101" s="253"/>
      <c r="J101" s="253"/>
      <c r="K101" s="253"/>
      <c r="L101" s="253"/>
      <c r="M101" s="253"/>
      <c r="N101" s="253"/>
    </row>
    <row r="102" spans="1:14" ht="14.25" customHeight="1">
      <c r="A102" s="253"/>
      <c r="B102" s="253"/>
      <c r="C102" s="253"/>
      <c r="D102" s="253"/>
      <c r="E102" s="253"/>
      <c r="F102" s="253"/>
      <c r="G102" s="253"/>
      <c r="H102" s="253"/>
      <c r="I102" s="253"/>
      <c r="J102" s="253"/>
      <c r="K102" s="253"/>
      <c r="L102" s="253"/>
      <c r="M102" s="253"/>
      <c r="N102" s="253"/>
    </row>
    <row r="103" spans="1:14" ht="14.25" customHeight="1">
      <c r="A103" s="253"/>
      <c r="B103" s="253"/>
      <c r="C103" s="253"/>
      <c r="D103" s="253"/>
      <c r="E103" s="253"/>
      <c r="F103" s="253"/>
      <c r="G103" s="253"/>
      <c r="H103" s="253"/>
      <c r="I103" s="253"/>
      <c r="J103" s="253"/>
      <c r="K103" s="253"/>
      <c r="L103" s="253"/>
      <c r="M103" s="253"/>
      <c r="N103" s="253"/>
    </row>
    <row r="104" spans="1:14" ht="14.25" customHeight="1">
      <c r="A104" s="253"/>
      <c r="B104" s="253"/>
      <c r="C104" s="253"/>
      <c r="D104" s="253"/>
      <c r="E104" s="253"/>
      <c r="F104" s="253"/>
      <c r="G104" s="253"/>
      <c r="H104" s="253"/>
      <c r="I104" s="253"/>
      <c r="J104" s="253"/>
      <c r="K104" s="253"/>
      <c r="L104" s="253"/>
      <c r="M104" s="253"/>
      <c r="N104" s="253"/>
    </row>
    <row r="105" spans="1:14" ht="14.25" customHeight="1">
      <c r="A105" s="253"/>
      <c r="B105" s="253"/>
      <c r="C105" s="253"/>
      <c r="D105" s="253"/>
      <c r="E105" s="253"/>
      <c r="F105" s="253"/>
      <c r="G105" s="253"/>
      <c r="H105" s="253"/>
      <c r="I105" s="253"/>
      <c r="J105" s="253"/>
      <c r="K105" s="253"/>
      <c r="L105" s="253"/>
      <c r="M105" s="253"/>
      <c r="N105" s="253"/>
    </row>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tabSelected="1" zoomScale="55" zoomScaleNormal="55" workbookViewId="0">
      <selection activeCell="C40" sqref="C40"/>
    </sheetView>
  </sheetViews>
  <sheetFormatPr baseColWidth="10" defaultColWidth="14.42578125" defaultRowHeight="15" customHeight="1"/>
  <cols>
    <col min="1" max="1" width="38.42578125" customWidth="1"/>
    <col min="2" max="2" width="17" customWidth="1"/>
    <col min="3" max="3" width="13.42578125" customWidth="1"/>
    <col min="4" max="5" width="12.42578125" customWidth="1"/>
    <col min="6" max="6" width="15.28515625" bestFit="1" customWidth="1"/>
    <col min="7" max="11" width="12.42578125" customWidth="1"/>
    <col min="12" max="14" width="14" customWidth="1"/>
    <col min="15" max="15" width="18.28515625" customWidth="1"/>
    <col min="16" max="16" width="14.140625" customWidth="1"/>
    <col min="17" max="17" width="16.5703125" customWidth="1"/>
    <col min="18" max="21" width="14" customWidth="1"/>
    <col min="22" max="28" width="14.42578125" customWidth="1"/>
    <col min="29" max="29" width="16.42578125" bestFit="1" customWidth="1"/>
    <col min="30" max="30" width="14.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52.5"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22</v>
      </c>
      <c r="D17" s="453"/>
      <c r="E17" s="453"/>
      <c r="F17" s="453"/>
      <c r="G17" s="453"/>
      <c r="H17" s="453"/>
      <c r="I17" s="453"/>
      <c r="J17" s="453"/>
      <c r="K17" s="453"/>
      <c r="L17" s="453"/>
      <c r="M17" s="453"/>
      <c r="N17" s="453"/>
      <c r="O17" s="453"/>
      <c r="P17" s="453"/>
      <c r="Q17" s="454"/>
      <c r="R17" s="452" t="s">
        <v>23</v>
      </c>
      <c r="S17" s="453"/>
      <c r="T17" s="453"/>
      <c r="U17" s="453"/>
      <c r="V17" s="454"/>
      <c r="W17" s="522">
        <v>1</v>
      </c>
      <c r="X17" s="454"/>
      <c r="Y17" s="523" t="s">
        <v>24</v>
      </c>
      <c r="Z17" s="453"/>
      <c r="AA17" s="453"/>
      <c r="AB17" s="454"/>
      <c r="AC17" s="479">
        <f>+B34</f>
        <v>0.1</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c r="A22" s="520" t="s">
        <v>42</v>
      </c>
      <c r="B22" s="521"/>
      <c r="C22" s="39"/>
      <c r="D22" s="40"/>
      <c r="E22" s="40"/>
      <c r="F22" s="40"/>
      <c r="G22" s="40"/>
      <c r="H22" s="40"/>
      <c r="I22" s="40"/>
      <c r="J22" s="40"/>
      <c r="K22" s="40"/>
      <c r="L22" s="40"/>
      <c r="M22" s="40"/>
      <c r="N22" s="40"/>
      <c r="O22" s="41">
        <f t="shared" ref="O22:O25" si="0">SUM(C22:N22)</f>
        <v>0</v>
      </c>
      <c r="P22" s="42"/>
      <c r="Q22" s="300">
        <v>291713963</v>
      </c>
      <c r="R22" s="301"/>
      <c r="S22" s="301"/>
      <c r="T22" s="301"/>
      <c r="U22" s="301">
        <v>14000000</v>
      </c>
      <c r="V22" s="301"/>
      <c r="W22" s="301"/>
      <c r="X22" s="301">
        <v>35000000</v>
      </c>
      <c r="Y22" s="301"/>
      <c r="Z22" s="301"/>
      <c r="AA22" s="301"/>
      <c r="AB22" s="301"/>
      <c r="AC22" s="302">
        <f t="shared" ref="AC22:AC23" si="1">SUM(Q22:AB22)</f>
        <v>340713963</v>
      </c>
      <c r="AD22" s="43"/>
      <c r="AE22" s="34"/>
      <c r="AF22" s="34"/>
      <c r="AG22" s="1"/>
      <c r="AH22" s="1"/>
      <c r="AI22" s="1"/>
      <c r="AJ22" s="1"/>
      <c r="AK22" s="1"/>
      <c r="AL22" s="1"/>
      <c r="AM22" s="1"/>
      <c r="AN22" s="1"/>
      <c r="AO22" s="1"/>
    </row>
    <row r="23" spans="1:41" ht="31.5" customHeight="1">
      <c r="A23" s="514" t="s">
        <v>43</v>
      </c>
      <c r="B23" s="515"/>
      <c r="C23" s="44"/>
      <c r="D23" s="45"/>
      <c r="E23" s="45"/>
      <c r="F23" s="45"/>
      <c r="G23" s="45"/>
      <c r="H23" s="45"/>
      <c r="I23" s="45"/>
      <c r="J23" s="45"/>
      <c r="K23" s="45"/>
      <c r="L23" s="45"/>
      <c r="M23" s="45"/>
      <c r="N23" s="45"/>
      <c r="O23" s="46">
        <f t="shared" si="0"/>
        <v>0</v>
      </c>
      <c r="P23" s="336"/>
      <c r="Q23" s="335">
        <v>291713963</v>
      </c>
      <c r="R23" s="304"/>
      <c r="S23" s="304"/>
      <c r="T23" s="304"/>
      <c r="U23" s="304"/>
      <c r="V23" s="304"/>
      <c r="W23" s="304"/>
      <c r="X23" s="304"/>
      <c r="Y23" s="304"/>
      <c r="Z23" s="304"/>
      <c r="AA23" s="304"/>
      <c r="AB23" s="304"/>
      <c r="AC23" s="305">
        <f t="shared" si="1"/>
        <v>291713963</v>
      </c>
      <c r="AD23" s="49">
        <f>IFERROR(AC23/(SUMIF(Q23:AB23,"&gt;0",Q22:AB22))," ")</f>
        <v>1</v>
      </c>
      <c r="AE23" s="34"/>
      <c r="AF23" s="34"/>
      <c r="AG23" s="1"/>
      <c r="AH23" s="1"/>
      <c r="AI23" s="1"/>
      <c r="AJ23" s="1"/>
      <c r="AK23" s="1"/>
      <c r="AL23" s="1"/>
      <c r="AM23" s="1"/>
      <c r="AN23" s="1"/>
      <c r="AO23" s="1"/>
    </row>
    <row r="24" spans="1:41" ht="31.5" customHeight="1">
      <c r="A24" s="514" t="s">
        <v>44</v>
      </c>
      <c r="B24" s="515"/>
      <c r="C24" s="50"/>
      <c r="D24" s="51">
        <v>6150667</v>
      </c>
      <c r="E24" s="51">
        <v>179378</v>
      </c>
      <c r="F24" s="51">
        <v>700000000</v>
      </c>
      <c r="G24" s="46"/>
      <c r="H24" s="46"/>
      <c r="I24" s="46"/>
      <c r="J24" s="46"/>
      <c r="K24" s="46"/>
      <c r="L24" s="46"/>
      <c r="M24" s="46"/>
      <c r="N24" s="46"/>
      <c r="O24" s="46">
        <f t="shared" si="0"/>
        <v>706330045</v>
      </c>
      <c r="P24" s="52"/>
      <c r="Q24" s="303"/>
      <c r="R24" s="306">
        <v>11192930</v>
      </c>
      <c r="S24" s="306">
        <v>25522700</v>
      </c>
      <c r="T24" s="306">
        <v>25522700</v>
      </c>
      <c r="U24" s="306">
        <v>25522700</v>
      </c>
      <c r="V24" s="306">
        <v>25522700</v>
      </c>
      <c r="W24" s="306">
        <v>39522700</v>
      </c>
      <c r="X24" s="306">
        <v>25522700</v>
      </c>
      <c r="Y24" s="306">
        <v>25522700</v>
      </c>
      <c r="Z24" s="306">
        <v>25522700</v>
      </c>
      <c r="AA24" s="306">
        <v>32522700</v>
      </c>
      <c r="AB24" s="306">
        <f>32522700+46294033</f>
        <v>78816733</v>
      </c>
      <c r="AC24" s="305">
        <f>SUM(R24:AB24)</f>
        <v>340713963</v>
      </c>
      <c r="AD24" s="49"/>
      <c r="AE24" s="34"/>
      <c r="AF24" s="299"/>
      <c r="AG24" s="1"/>
      <c r="AH24" s="1"/>
      <c r="AI24" s="1"/>
      <c r="AJ24" s="1"/>
      <c r="AK24" s="1"/>
      <c r="AL24" s="1"/>
      <c r="AM24" s="1"/>
      <c r="AN24" s="1"/>
      <c r="AO24" s="1"/>
    </row>
    <row r="25" spans="1:41" ht="31.5" customHeight="1" thickBot="1">
      <c r="A25" s="482" t="s">
        <v>45</v>
      </c>
      <c r="B25" s="483"/>
      <c r="C25" s="53">
        <v>3150000</v>
      </c>
      <c r="D25" s="54"/>
      <c r="E25" s="54"/>
      <c r="F25" s="54"/>
      <c r="G25" s="55"/>
      <c r="H25" s="55"/>
      <c r="I25" s="55"/>
      <c r="J25" s="55"/>
      <c r="K25" s="55"/>
      <c r="L25" s="55"/>
      <c r="M25" s="55"/>
      <c r="N25" s="55"/>
      <c r="O25" s="56">
        <f t="shared" si="0"/>
        <v>3150000</v>
      </c>
      <c r="P25" s="379" t="str">
        <f>IFERROR(O25/(SUMIF(C25:N25,"&gt;0",C24:N24))," ")</f>
        <v xml:space="preserve"> </v>
      </c>
      <c r="Q25" s="53"/>
      <c r="R25" s="337"/>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thickBo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54" customHeight="1">
      <c r="A30" s="61" t="s">
        <v>51</v>
      </c>
      <c r="B30" s="533" t="s">
        <v>52</v>
      </c>
      <c r="C30" s="518"/>
      <c r="D30" s="62">
        <v>0.01</v>
      </c>
      <c r="E30" s="63"/>
      <c r="F30" s="62"/>
      <c r="G30" s="63"/>
      <c r="H30" s="63"/>
      <c r="I30" s="63"/>
      <c r="J30" s="63"/>
      <c r="K30" s="63"/>
      <c r="L30" s="63"/>
      <c r="M30" s="63"/>
      <c r="N30" s="63"/>
      <c r="O30" s="63"/>
      <c r="P30" s="64">
        <f>SUM(D30:O30)</f>
        <v>0.01</v>
      </c>
      <c r="Q30" s="470" t="s">
        <v>586</v>
      </c>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7.6"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7.6"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63.95" customHeight="1">
      <c r="A34" s="529" t="s">
        <v>51</v>
      </c>
      <c r="B34" s="531">
        <f>SUM(B38,B40)</f>
        <v>0.1</v>
      </c>
      <c r="C34" s="66" t="s">
        <v>62</v>
      </c>
      <c r="D34" s="264">
        <f>+D45</f>
        <v>0.72113654999999999</v>
      </c>
      <c r="E34" s="67">
        <f t="shared" ref="E34:O34" si="2">+E45</f>
        <v>0.74927310000000003</v>
      </c>
      <c r="F34" s="67">
        <f t="shared" si="2"/>
        <v>0.77740965000000006</v>
      </c>
      <c r="G34" s="67">
        <f t="shared" si="2"/>
        <v>0.8055462000000001</v>
      </c>
      <c r="H34" s="67">
        <f t="shared" si="2"/>
        <v>0.83368275000000014</v>
      </c>
      <c r="I34" s="67">
        <f t="shared" si="2"/>
        <v>0.86181930000000018</v>
      </c>
      <c r="J34" s="67">
        <f t="shared" si="2"/>
        <v>0.88482895000000017</v>
      </c>
      <c r="K34" s="67">
        <f t="shared" si="2"/>
        <v>0.90783860000000016</v>
      </c>
      <c r="L34" s="67">
        <f t="shared" si="2"/>
        <v>0.93084825000000015</v>
      </c>
      <c r="M34" s="67">
        <f t="shared" si="2"/>
        <v>0.95385790000000015</v>
      </c>
      <c r="N34" s="67">
        <f t="shared" si="2"/>
        <v>0.97686755000000014</v>
      </c>
      <c r="O34" s="67">
        <f t="shared" si="2"/>
        <v>0.99987720000000013</v>
      </c>
      <c r="P34" s="68">
        <f>+O34</f>
        <v>0.99987720000000013</v>
      </c>
      <c r="Q34" s="488" t="s">
        <v>611</v>
      </c>
      <c r="R34" s="489"/>
      <c r="S34" s="489"/>
      <c r="T34" s="489"/>
      <c r="U34" s="489"/>
      <c r="V34" s="490"/>
      <c r="W34" s="494"/>
      <c r="X34" s="495"/>
      <c r="Y34" s="495"/>
      <c r="Z34" s="496"/>
      <c r="AA34" s="500" t="s">
        <v>539</v>
      </c>
      <c r="AB34" s="501"/>
      <c r="AC34" s="501"/>
      <c r="AD34" s="502"/>
      <c r="AE34" s="1"/>
      <c r="AF34" s="1"/>
      <c r="AG34" s="65"/>
      <c r="AH34" s="65"/>
      <c r="AI34" s="65"/>
      <c r="AJ34" s="65"/>
      <c r="AK34" s="65"/>
      <c r="AL34" s="65"/>
      <c r="AM34" s="65"/>
      <c r="AN34" s="65"/>
      <c r="AO34" s="65"/>
    </row>
    <row r="35" spans="1:41" ht="63.95" customHeight="1" thickBot="1">
      <c r="A35" s="530"/>
      <c r="B35" s="532"/>
      <c r="C35" s="69" t="s">
        <v>66</v>
      </c>
      <c r="D35" s="367">
        <f>+D46</f>
        <v>0.72062999999999999</v>
      </c>
      <c r="E35" s="255">
        <f t="shared" ref="E35:O35" si="3">+E46</f>
        <v>0.72062999999999999</v>
      </c>
      <c r="F35" s="255">
        <f t="shared" si="3"/>
        <v>0.72062999999999999</v>
      </c>
      <c r="G35" s="255">
        <f t="shared" si="3"/>
        <v>0.72062999999999999</v>
      </c>
      <c r="H35" s="255">
        <f t="shared" si="3"/>
        <v>0.72062999999999999</v>
      </c>
      <c r="I35" s="255">
        <f t="shared" si="3"/>
        <v>0.72062999999999999</v>
      </c>
      <c r="J35" s="255">
        <f t="shared" si="3"/>
        <v>0.72062999999999999</v>
      </c>
      <c r="K35" s="255">
        <f t="shared" si="3"/>
        <v>0.72062999999999999</v>
      </c>
      <c r="L35" s="255">
        <f t="shared" si="3"/>
        <v>0.72062999999999999</v>
      </c>
      <c r="M35" s="255">
        <f t="shared" si="3"/>
        <v>0.72062999999999999</v>
      </c>
      <c r="N35" s="255">
        <f t="shared" si="3"/>
        <v>0.72062999999999999</v>
      </c>
      <c r="O35" s="255">
        <f t="shared" si="3"/>
        <v>0.72062999999999999</v>
      </c>
      <c r="P35" s="256">
        <f t="shared" ref="P35" si="4">+O35</f>
        <v>0.72062999999999999</v>
      </c>
      <c r="Q35" s="491"/>
      <c r="R35" s="492"/>
      <c r="S35" s="492"/>
      <c r="T35" s="492"/>
      <c r="U35" s="492"/>
      <c r="V35" s="493"/>
      <c r="W35" s="497"/>
      <c r="X35" s="498"/>
      <c r="Y35" s="498"/>
      <c r="Z35" s="499"/>
      <c r="AA35" s="503"/>
      <c r="AB35" s="504"/>
      <c r="AC35" s="504"/>
      <c r="AD35" s="505"/>
      <c r="AE35" s="70"/>
      <c r="AF35" s="1"/>
      <c r="AG35" s="65"/>
      <c r="AH35" s="65"/>
      <c r="AI35" s="65"/>
      <c r="AJ35" s="65"/>
      <c r="AK35" s="65"/>
      <c r="AL35" s="65"/>
      <c r="AM35" s="65"/>
      <c r="AN35" s="65"/>
      <c r="AO35" s="65"/>
    </row>
    <row r="36" spans="1:41" ht="40.5"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40.5"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35.1" customHeight="1">
      <c r="A38" s="535" t="s">
        <v>547</v>
      </c>
      <c r="B38" s="539">
        <v>0.05</v>
      </c>
      <c r="C38" s="66" t="s">
        <v>62</v>
      </c>
      <c r="D38" s="72">
        <v>8.3299999999999999E-2</v>
      </c>
      <c r="E38" s="72">
        <v>8.3299999999999999E-2</v>
      </c>
      <c r="F38" s="72">
        <v>8.3299999999999999E-2</v>
      </c>
      <c r="G38" s="72">
        <v>8.3299999999999999E-2</v>
      </c>
      <c r="H38" s="72">
        <v>8.3299999999999999E-2</v>
      </c>
      <c r="I38" s="72">
        <v>8.3299999999999999E-2</v>
      </c>
      <c r="J38" s="72">
        <v>8.3299999999999999E-2</v>
      </c>
      <c r="K38" s="72">
        <v>8.3299999999999999E-2</v>
      </c>
      <c r="L38" s="72">
        <v>8.3299999999999999E-2</v>
      </c>
      <c r="M38" s="72">
        <v>8.3299999999999999E-2</v>
      </c>
      <c r="N38" s="72">
        <v>8.3299999999999999E-2</v>
      </c>
      <c r="O38" s="72">
        <v>8.3299999999999999E-2</v>
      </c>
      <c r="P38" s="73">
        <f t="shared" ref="P38:P41" si="5">SUM(D38:O38)</f>
        <v>0.99960000000000016</v>
      </c>
      <c r="Q38" s="494" t="s">
        <v>610</v>
      </c>
      <c r="R38" s="542"/>
      <c r="S38" s="542"/>
      <c r="T38" s="542"/>
      <c r="U38" s="542"/>
      <c r="V38" s="542"/>
      <c r="W38" s="542"/>
      <c r="X38" s="542"/>
      <c r="Y38" s="542"/>
      <c r="Z38" s="542"/>
      <c r="AA38" s="542"/>
      <c r="AB38" s="542"/>
      <c r="AC38" s="542"/>
      <c r="AD38" s="510"/>
      <c r="AE38" s="74"/>
      <c r="AF38" s="1"/>
      <c r="AG38" s="75"/>
      <c r="AH38" s="75"/>
      <c r="AI38" s="75"/>
      <c r="AJ38" s="75"/>
      <c r="AK38" s="75"/>
      <c r="AL38" s="75"/>
      <c r="AM38" s="75"/>
      <c r="AN38" s="75"/>
      <c r="AO38" s="75"/>
    </row>
    <row r="39" spans="1:41" ht="35.1" customHeight="1">
      <c r="A39" s="528"/>
      <c r="B39" s="507"/>
      <c r="C39" s="76" t="s">
        <v>66</v>
      </c>
      <c r="D39" s="322">
        <v>0.08</v>
      </c>
      <c r="E39" s="77"/>
      <c r="F39" s="77"/>
      <c r="G39" s="77"/>
      <c r="H39" s="77"/>
      <c r="I39" s="77"/>
      <c r="J39" s="77"/>
      <c r="K39" s="77"/>
      <c r="L39" s="77"/>
      <c r="M39" s="77"/>
      <c r="N39" s="77"/>
      <c r="O39" s="77"/>
      <c r="P39" s="78">
        <f t="shared" si="5"/>
        <v>0.08</v>
      </c>
      <c r="Q39" s="543"/>
      <c r="R39" s="544"/>
      <c r="S39" s="544"/>
      <c r="T39" s="544"/>
      <c r="U39" s="544"/>
      <c r="V39" s="544"/>
      <c r="W39" s="544"/>
      <c r="X39" s="544"/>
      <c r="Y39" s="544"/>
      <c r="Z39" s="544"/>
      <c r="AA39" s="544"/>
      <c r="AB39" s="544"/>
      <c r="AC39" s="544"/>
      <c r="AD39" s="526"/>
      <c r="AE39" s="74"/>
      <c r="AF39" s="1"/>
      <c r="AG39" s="1"/>
      <c r="AH39" s="1"/>
      <c r="AI39" s="1"/>
      <c r="AJ39" s="1"/>
      <c r="AK39" s="1"/>
      <c r="AL39" s="1"/>
      <c r="AM39" s="1"/>
      <c r="AN39" s="1"/>
      <c r="AO39" s="1"/>
    </row>
    <row r="40" spans="1:41" ht="81.599999999999994" customHeight="1">
      <c r="A40" s="535" t="s">
        <v>548</v>
      </c>
      <c r="B40" s="536">
        <v>0.05</v>
      </c>
      <c r="C40" s="79" t="s">
        <v>62</v>
      </c>
      <c r="D40" s="72">
        <v>0.1</v>
      </c>
      <c r="E40" s="72">
        <v>0.1</v>
      </c>
      <c r="F40" s="72">
        <v>0.1</v>
      </c>
      <c r="G40" s="72">
        <v>0.1</v>
      </c>
      <c r="H40" s="72">
        <v>0.1</v>
      </c>
      <c r="I40" s="72">
        <v>0.1</v>
      </c>
      <c r="J40" s="72">
        <v>6.6600000000000006E-2</v>
      </c>
      <c r="K40" s="72">
        <v>6.6600000000000006E-2</v>
      </c>
      <c r="L40" s="72">
        <v>6.6600000000000006E-2</v>
      </c>
      <c r="M40" s="72">
        <v>6.6600000000000006E-2</v>
      </c>
      <c r="N40" s="72">
        <v>6.6600000000000006E-2</v>
      </c>
      <c r="O40" s="72">
        <v>6.6600000000000006E-2</v>
      </c>
      <c r="P40" s="78">
        <f t="shared" si="5"/>
        <v>0.99959999999999993</v>
      </c>
      <c r="Q40" s="545" t="s">
        <v>599</v>
      </c>
      <c r="R40" s="546"/>
      <c r="S40" s="546"/>
      <c r="T40" s="546"/>
      <c r="U40" s="546"/>
      <c r="V40" s="546"/>
      <c r="W40" s="546"/>
      <c r="X40" s="546"/>
      <c r="Y40" s="546"/>
      <c r="Z40" s="546"/>
      <c r="AA40" s="546"/>
      <c r="AB40" s="546"/>
      <c r="AC40" s="546"/>
      <c r="AD40" s="546"/>
      <c r="AE40" s="74"/>
      <c r="AF40" s="1"/>
      <c r="AG40" s="1"/>
      <c r="AH40" s="1"/>
      <c r="AI40" s="1"/>
      <c r="AJ40" s="1"/>
      <c r="AK40" s="1"/>
      <c r="AL40" s="1"/>
      <c r="AM40" s="1"/>
      <c r="AN40" s="1"/>
      <c r="AO40" s="1"/>
    </row>
    <row r="41" spans="1:41" ht="81.599999999999994" customHeight="1">
      <c r="A41" s="528"/>
      <c r="B41" s="507"/>
      <c r="C41" s="76" t="s">
        <v>66</v>
      </c>
      <c r="D41" s="322">
        <v>0.1</v>
      </c>
      <c r="E41" s="77"/>
      <c r="F41" s="77"/>
      <c r="G41" s="77"/>
      <c r="H41" s="77"/>
      <c r="I41" s="77"/>
      <c r="J41" s="77"/>
      <c r="K41" s="77"/>
      <c r="L41" s="80"/>
      <c r="M41" s="80"/>
      <c r="N41" s="80"/>
      <c r="O41" s="80"/>
      <c r="P41" s="78">
        <f t="shared" si="5"/>
        <v>0.1</v>
      </c>
      <c r="Q41" s="546"/>
      <c r="R41" s="546"/>
      <c r="S41" s="546"/>
      <c r="T41" s="546"/>
      <c r="U41" s="546"/>
      <c r="V41" s="546"/>
      <c r="W41" s="546"/>
      <c r="X41" s="546"/>
      <c r="Y41" s="546"/>
      <c r="Z41" s="546"/>
      <c r="AA41" s="546"/>
      <c r="AB41" s="546"/>
      <c r="AC41" s="546"/>
      <c r="AD41" s="546"/>
      <c r="AE41" s="74"/>
      <c r="AF41" s="1"/>
      <c r="AG41" s="1"/>
      <c r="AH41" s="1"/>
      <c r="AI41" s="1"/>
      <c r="AJ41" s="1"/>
      <c r="AK41" s="1"/>
      <c r="AL41" s="1"/>
      <c r="AM41" s="1"/>
      <c r="AN41" s="1"/>
      <c r="AO41" s="1"/>
    </row>
    <row r="42" spans="1:41" ht="14.25" customHeight="1">
      <c r="A42" s="1" t="s">
        <v>87</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81">
        <v>0.69299999999999995</v>
      </c>
      <c r="D44" s="82"/>
      <c r="E44" s="82"/>
      <c r="F44" s="82"/>
      <c r="G44" s="82"/>
      <c r="H44" s="82"/>
      <c r="I44" s="82"/>
      <c r="J44" s="82"/>
      <c r="K44" s="82"/>
      <c r="L44" s="82"/>
      <c r="M44" s="82"/>
      <c r="N44" s="82"/>
      <c r="O44" s="82"/>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3" t="s">
        <v>88</v>
      </c>
      <c r="D45" s="84">
        <f>((((D38+D40)/2)*0.307)+C44)</f>
        <v>0.72113654999999999</v>
      </c>
      <c r="E45" s="84">
        <f t="shared" ref="E45:O45" si="6">((((E38+E40)/2)*0.307)+D45)</f>
        <v>0.74927310000000003</v>
      </c>
      <c r="F45" s="84">
        <f t="shared" si="6"/>
        <v>0.77740965000000006</v>
      </c>
      <c r="G45" s="84">
        <f t="shared" si="6"/>
        <v>0.8055462000000001</v>
      </c>
      <c r="H45" s="84">
        <f t="shared" si="6"/>
        <v>0.83368275000000014</v>
      </c>
      <c r="I45" s="84">
        <f t="shared" si="6"/>
        <v>0.86181930000000018</v>
      </c>
      <c r="J45" s="84">
        <f t="shared" si="6"/>
        <v>0.88482895000000017</v>
      </c>
      <c r="K45" s="84">
        <f t="shared" si="6"/>
        <v>0.90783860000000016</v>
      </c>
      <c r="L45" s="84">
        <f t="shared" si="6"/>
        <v>0.93084825000000015</v>
      </c>
      <c r="M45" s="84">
        <f t="shared" si="6"/>
        <v>0.95385790000000015</v>
      </c>
      <c r="N45" s="84">
        <f t="shared" si="6"/>
        <v>0.97686755000000014</v>
      </c>
      <c r="O45" s="85">
        <f t="shared" si="6"/>
        <v>0.99987720000000013</v>
      </c>
      <c r="P45" s="1"/>
      <c r="Q45" s="371">
        <f>+LEN(Q34)</f>
        <v>833</v>
      </c>
      <c r="R45" s="371">
        <f>+LEN(Q48)</f>
        <v>300</v>
      </c>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86" t="s">
        <v>89</v>
      </c>
      <c r="D46" s="87">
        <f>((((D39+D41)/2)*0.307)+C44)</f>
        <v>0.72062999999999999</v>
      </c>
      <c r="E46" s="87">
        <f t="shared" ref="E46:O46" si="7">((((E39+E41)/2)*0.307)+D46)</f>
        <v>0.72062999999999999</v>
      </c>
      <c r="F46" s="87">
        <f t="shared" si="7"/>
        <v>0.72062999999999999</v>
      </c>
      <c r="G46" s="87">
        <f t="shared" si="7"/>
        <v>0.72062999999999999</v>
      </c>
      <c r="H46" s="87">
        <f t="shared" si="7"/>
        <v>0.72062999999999999</v>
      </c>
      <c r="I46" s="87">
        <f t="shared" si="7"/>
        <v>0.72062999999999999</v>
      </c>
      <c r="J46" s="87">
        <f t="shared" si="7"/>
        <v>0.72062999999999999</v>
      </c>
      <c r="K46" s="87">
        <f t="shared" si="7"/>
        <v>0.72062999999999999</v>
      </c>
      <c r="L46" s="87">
        <f t="shared" si="7"/>
        <v>0.72062999999999999</v>
      </c>
      <c r="M46" s="87">
        <f t="shared" si="7"/>
        <v>0.72062999999999999</v>
      </c>
      <c r="N46" s="87">
        <f t="shared" si="7"/>
        <v>0.72062999999999999</v>
      </c>
      <c r="O46" s="87">
        <f t="shared" si="7"/>
        <v>0.72062999999999999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534" t="s">
        <v>612</v>
      </c>
      <c r="R48" s="534"/>
      <c r="S48" s="534"/>
      <c r="T48" s="534"/>
      <c r="U48" s="534"/>
      <c r="V48" s="534"/>
      <c r="W48" s="534"/>
      <c r="X48" s="534"/>
      <c r="Y48" s="534"/>
      <c r="Z48" s="534"/>
      <c r="AA48" s="534"/>
      <c r="AB48" s="534"/>
      <c r="AC48" s="534"/>
      <c r="AD48" s="534"/>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34"/>
      <c r="R49" s="534"/>
      <c r="S49" s="534"/>
      <c r="T49" s="534"/>
      <c r="U49" s="534"/>
      <c r="V49" s="534"/>
      <c r="W49" s="534"/>
      <c r="X49" s="534"/>
      <c r="Y49" s="534"/>
      <c r="Z49" s="534"/>
      <c r="AA49" s="534"/>
      <c r="AB49" s="534"/>
      <c r="AC49" s="534"/>
      <c r="AD49" s="534"/>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Q48:AD49"/>
    <mergeCell ref="A40:A41"/>
    <mergeCell ref="B40:B41"/>
    <mergeCell ref="A36:A37"/>
    <mergeCell ref="B36:B37"/>
    <mergeCell ref="A38:A39"/>
    <mergeCell ref="B38:B39"/>
    <mergeCell ref="C36:P36"/>
    <mergeCell ref="Q36:AD36"/>
    <mergeCell ref="Q38:AD39"/>
    <mergeCell ref="Q40:AD41"/>
    <mergeCell ref="Q37:AD37"/>
    <mergeCell ref="A32:A33"/>
    <mergeCell ref="A34:A35"/>
    <mergeCell ref="B34:B35"/>
    <mergeCell ref="B30:C30"/>
    <mergeCell ref="B32:B33"/>
    <mergeCell ref="C32:C33"/>
    <mergeCell ref="P28:P29"/>
    <mergeCell ref="Q28:AD29"/>
    <mergeCell ref="A24:B24"/>
    <mergeCell ref="A17:B17"/>
    <mergeCell ref="A28:A29"/>
    <mergeCell ref="B28:C29"/>
    <mergeCell ref="A22:B22"/>
    <mergeCell ref="A23:B23"/>
    <mergeCell ref="W17:X17"/>
    <mergeCell ref="Y17:AB17"/>
    <mergeCell ref="A19:AD19"/>
    <mergeCell ref="Q20:AD20"/>
    <mergeCell ref="Q33:V33"/>
    <mergeCell ref="W33:Z33"/>
    <mergeCell ref="AA33:AD33"/>
    <mergeCell ref="Q34:V35"/>
    <mergeCell ref="W34:Z35"/>
    <mergeCell ref="AA34:AD35"/>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C7:C9"/>
    <mergeCell ref="D7:H9"/>
    <mergeCell ref="I7:J9"/>
    <mergeCell ref="K7:L9"/>
    <mergeCell ref="O7:P7"/>
    <mergeCell ref="M8:N8"/>
    <mergeCell ref="O8:P8"/>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8 Q40 Q34 W34 AA34 Q48" xr:uid="{00000000-0002-0000-0000-000001000000}">
      <formula1>LTE(LEN(Q34),(2000))</formula1>
    </dataValidation>
    <dataValidation type="list" allowBlank="1" showInputMessage="1" showErrorMessage="1" prompt=" - " sqref="C7" xr:uid="{00000000-0002-0000-0000-000002000000}">
      <formula1>$C$21:$N$21</formula1>
    </dataValidation>
  </dataValidation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85546875" customWidth="1"/>
    <col min="18" max="18" width="7.42578125" customWidth="1"/>
    <col min="19" max="20" width="10.85546875" customWidth="1"/>
    <col min="21" max="21" width="13" customWidth="1"/>
    <col min="22" max="22" width="7.85546875" customWidth="1"/>
    <col min="23" max="28" width="12.140625" customWidth="1"/>
    <col min="29" max="29" width="6.42578125" customWidth="1"/>
    <col min="30" max="30" width="22.855468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85546875" customWidth="1"/>
    <col min="39" max="39" width="18.42578125" customWidth="1"/>
  </cols>
  <sheetData>
    <row r="1" spans="1:39"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8"/>
      <c r="Z1" s="559" t="s">
        <v>1</v>
      </c>
      <c r="AA1" s="457"/>
      <c r="AB1" s="447"/>
      <c r="AC1" s="1"/>
      <c r="AD1" s="1"/>
      <c r="AE1" s="1"/>
      <c r="AF1" s="1"/>
      <c r="AG1" s="1"/>
      <c r="AH1" s="1"/>
      <c r="AI1" s="1"/>
      <c r="AJ1" s="1"/>
      <c r="AK1" s="1"/>
      <c r="AL1" s="1"/>
      <c r="AM1" s="1"/>
    </row>
    <row r="2" spans="1:39"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1"/>
      <c r="Z2" s="558" t="s">
        <v>90</v>
      </c>
      <c r="AA2" s="464"/>
      <c r="AB2" s="449"/>
      <c r="AC2" s="1"/>
      <c r="AD2" s="1"/>
      <c r="AE2" s="1"/>
      <c r="AF2" s="1"/>
      <c r="AG2" s="1"/>
      <c r="AH2" s="1"/>
      <c r="AI2" s="1"/>
      <c r="AJ2" s="1"/>
      <c r="AK2" s="1"/>
      <c r="AL2" s="1"/>
      <c r="AM2" s="1"/>
    </row>
    <row r="3" spans="1:39"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1"/>
      <c r="Z3" s="558" t="s">
        <v>91</v>
      </c>
      <c r="AA3" s="464"/>
      <c r="AB3" s="449"/>
      <c r="AC3" s="1"/>
      <c r="AD3" s="1"/>
      <c r="AE3" s="1"/>
      <c r="AF3" s="1"/>
      <c r="AG3" s="1"/>
      <c r="AH3" s="1"/>
      <c r="AI3" s="1"/>
      <c r="AJ3" s="1"/>
      <c r="AK3" s="1"/>
      <c r="AL3" s="1"/>
      <c r="AM3" s="1"/>
    </row>
    <row r="4" spans="1:39" ht="15.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4"/>
      <c r="Z4" s="561" t="s">
        <v>6</v>
      </c>
      <c r="AA4" s="461"/>
      <c r="AB4" s="462"/>
      <c r="AC4" s="1"/>
      <c r="AD4" s="1"/>
      <c r="AE4" s="1"/>
      <c r="AF4" s="1"/>
      <c r="AG4" s="1"/>
      <c r="AH4" s="1"/>
      <c r="AI4" s="1"/>
      <c r="AJ4" s="1"/>
      <c r="AK4" s="1"/>
      <c r="AL4" s="1"/>
      <c r="AM4" s="1"/>
    </row>
    <row r="5" spans="1:39" ht="9" customHeight="1">
      <c r="A5" s="2"/>
      <c r="B5" s="3"/>
      <c r="C5" s="4"/>
      <c r="D5" s="5"/>
      <c r="E5" s="5"/>
      <c r="F5" s="5"/>
      <c r="G5" s="5"/>
      <c r="H5" s="5"/>
      <c r="I5" s="5"/>
      <c r="J5" s="5"/>
      <c r="K5" s="5"/>
      <c r="L5" s="5"/>
      <c r="M5" s="5"/>
      <c r="N5" s="5"/>
      <c r="O5" s="5"/>
      <c r="P5" s="5"/>
      <c r="Q5" s="5"/>
      <c r="R5" s="5"/>
      <c r="S5" s="5"/>
      <c r="T5" s="5"/>
      <c r="U5" s="5"/>
      <c r="V5" s="5"/>
      <c r="W5" s="5"/>
      <c r="X5" s="6"/>
      <c r="Y5" s="5"/>
      <c r="Z5" s="7"/>
      <c r="AA5" s="8"/>
      <c r="AB5" s="9"/>
      <c r="AC5" s="1"/>
      <c r="AD5" s="1"/>
      <c r="AE5" s="1"/>
      <c r="AF5" s="1"/>
      <c r="AG5" s="1"/>
      <c r="AH5" s="1"/>
      <c r="AI5" s="1"/>
      <c r="AJ5" s="1"/>
      <c r="AK5" s="1"/>
      <c r="AL5" s="1"/>
      <c r="AM5" s="1"/>
    </row>
    <row r="6" spans="1:39" ht="9" customHeight="1">
      <c r="A6" s="10"/>
      <c r="B6" s="5"/>
      <c r="C6" s="5"/>
      <c r="D6" s="5"/>
      <c r="E6" s="5"/>
      <c r="F6" s="5"/>
      <c r="G6" s="5"/>
      <c r="H6" s="5"/>
      <c r="I6" s="5"/>
      <c r="J6" s="5"/>
      <c r="K6" s="5"/>
      <c r="L6" s="5"/>
      <c r="M6" s="5"/>
      <c r="N6" s="5"/>
      <c r="O6" s="5"/>
      <c r="P6" s="5"/>
      <c r="Q6" s="5"/>
      <c r="R6" s="5"/>
      <c r="S6" s="5"/>
      <c r="T6" s="5"/>
      <c r="U6" s="5"/>
      <c r="V6" s="5"/>
      <c r="W6" s="5"/>
      <c r="X6" s="6"/>
      <c r="Y6" s="5"/>
      <c r="Z6" s="5"/>
      <c r="AA6" s="11"/>
      <c r="AB6" s="12"/>
      <c r="AC6" s="1"/>
      <c r="AD6" s="1"/>
      <c r="AE6" s="1"/>
      <c r="AF6" s="1"/>
      <c r="AG6" s="1"/>
      <c r="AH6" s="1"/>
      <c r="AI6" s="1"/>
      <c r="AJ6" s="1"/>
      <c r="AK6" s="1"/>
      <c r="AL6" s="1"/>
      <c r="AM6" s="1"/>
    </row>
    <row r="7" spans="1:39" ht="15" customHeight="1">
      <c r="A7" s="436" t="s">
        <v>14</v>
      </c>
      <c r="B7" s="438"/>
      <c r="C7" s="566"/>
      <c r="D7" s="437"/>
      <c r="E7" s="437"/>
      <c r="F7" s="437"/>
      <c r="G7" s="437"/>
      <c r="H7" s="437"/>
      <c r="I7" s="437"/>
      <c r="J7" s="437"/>
      <c r="K7" s="438"/>
      <c r="L7" s="88"/>
      <c r="M7" s="89"/>
      <c r="N7" s="89"/>
      <c r="O7" s="89"/>
      <c r="P7" s="89"/>
      <c r="Q7" s="90"/>
      <c r="R7" s="564" t="s">
        <v>8</v>
      </c>
      <c r="S7" s="437"/>
      <c r="T7" s="438"/>
      <c r="U7" s="563" t="s">
        <v>9</v>
      </c>
      <c r="V7" s="438"/>
      <c r="W7" s="564" t="s">
        <v>10</v>
      </c>
      <c r="X7" s="438"/>
      <c r="Y7" s="465" t="s">
        <v>11</v>
      </c>
      <c r="Z7" s="447"/>
      <c r="AA7" s="562"/>
      <c r="AB7" s="447"/>
      <c r="AC7" s="1"/>
      <c r="AD7" s="1"/>
      <c r="AE7" s="1"/>
      <c r="AF7" s="1"/>
      <c r="AG7" s="1"/>
      <c r="AH7" s="1"/>
      <c r="AI7" s="1"/>
      <c r="AJ7" s="1"/>
      <c r="AK7" s="1"/>
      <c r="AL7" s="1"/>
      <c r="AM7" s="1"/>
    </row>
    <row r="8" spans="1:39" ht="15" customHeight="1">
      <c r="A8" s="439"/>
      <c r="B8" s="441"/>
      <c r="C8" s="439"/>
      <c r="D8" s="440"/>
      <c r="E8" s="440"/>
      <c r="F8" s="440"/>
      <c r="G8" s="440"/>
      <c r="H8" s="440"/>
      <c r="I8" s="440"/>
      <c r="J8" s="440"/>
      <c r="K8" s="441"/>
      <c r="L8" s="88"/>
      <c r="M8" s="89"/>
      <c r="N8" s="89"/>
      <c r="O8" s="89"/>
      <c r="P8" s="89"/>
      <c r="Q8" s="90"/>
      <c r="R8" s="439"/>
      <c r="S8" s="440"/>
      <c r="T8" s="441"/>
      <c r="U8" s="439"/>
      <c r="V8" s="441"/>
      <c r="W8" s="439"/>
      <c r="X8" s="441"/>
      <c r="Y8" s="448" t="s">
        <v>12</v>
      </c>
      <c r="Z8" s="449"/>
      <c r="AA8" s="450"/>
      <c r="AB8" s="449"/>
      <c r="AC8" s="1"/>
      <c r="AD8" s="1"/>
      <c r="AE8" s="1"/>
      <c r="AF8" s="1"/>
      <c r="AG8" s="1"/>
      <c r="AH8" s="1"/>
      <c r="AI8" s="1"/>
      <c r="AJ8" s="1"/>
      <c r="AK8" s="1"/>
      <c r="AL8" s="1"/>
      <c r="AM8" s="1"/>
    </row>
    <row r="9" spans="1:39" ht="15" customHeight="1">
      <c r="A9" s="442"/>
      <c r="B9" s="444"/>
      <c r="C9" s="442"/>
      <c r="D9" s="443"/>
      <c r="E9" s="443"/>
      <c r="F9" s="443"/>
      <c r="G9" s="443"/>
      <c r="H9" s="443"/>
      <c r="I9" s="443"/>
      <c r="J9" s="443"/>
      <c r="K9" s="444"/>
      <c r="L9" s="88"/>
      <c r="M9" s="89"/>
      <c r="N9" s="89"/>
      <c r="O9" s="89"/>
      <c r="P9" s="89"/>
      <c r="Q9" s="90"/>
      <c r="R9" s="442"/>
      <c r="S9" s="443"/>
      <c r="T9" s="444"/>
      <c r="U9" s="442"/>
      <c r="V9" s="444"/>
      <c r="W9" s="442"/>
      <c r="X9" s="444"/>
      <c r="Y9" s="466" t="s">
        <v>13</v>
      </c>
      <c r="Z9" s="462"/>
      <c r="AA9" s="467"/>
      <c r="AB9" s="462"/>
      <c r="AC9" s="1"/>
      <c r="AD9" s="1"/>
      <c r="AE9" s="1"/>
      <c r="AF9" s="1"/>
      <c r="AG9" s="1"/>
      <c r="AH9" s="1"/>
      <c r="AI9" s="1"/>
      <c r="AJ9" s="1"/>
      <c r="AK9" s="1"/>
      <c r="AL9" s="1"/>
      <c r="AM9" s="1"/>
    </row>
    <row r="10" spans="1:39" ht="9" customHeight="1">
      <c r="A10" s="22"/>
      <c r="B10" s="23"/>
      <c r="C10" s="24"/>
      <c r="D10" s="24"/>
      <c r="E10" s="24"/>
      <c r="F10" s="24"/>
      <c r="G10" s="24"/>
      <c r="H10" s="24"/>
      <c r="I10" s="24"/>
      <c r="J10" s="24"/>
      <c r="K10" s="24"/>
      <c r="L10" s="24"/>
      <c r="M10" s="25"/>
      <c r="N10" s="25"/>
      <c r="O10" s="25"/>
      <c r="P10" s="25"/>
      <c r="Q10" s="25"/>
      <c r="R10" s="26"/>
      <c r="S10" s="26"/>
      <c r="T10" s="26"/>
      <c r="U10" s="26"/>
      <c r="V10" s="26"/>
      <c r="W10" s="15"/>
      <c r="X10" s="15"/>
      <c r="Y10" s="15"/>
      <c r="Z10" s="15"/>
      <c r="AA10" s="15"/>
      <c r="AB10" s="27"/>
      <c r="AC10" s="1"/>
      <c r="AD10" s="1"/>
      <c r="AE10" s="1"/>
      <c r="AF10" s="1"/>
      <c r="AG10" s="1"/>
      <c r="AH10" s="1"/>
      <c r="AI10" s="1"/>
      <c r="AJ10" s="1"/>
      <c r="AK10" s="1"/>
      <c r="AL10" s="1"/>
      <c r="AM10" s="1"/>
    </row>
    <row r="11" spans="1:39" ht="39" customHeight="1">
      <c r="A11" s="475" t="s">
        <v>16</v>
      </c>
      <c r="B11" s="454"/>
      <c r="C11" s="569"/>
      <c r="D11" s="453"/>
      <c r="E11" s="453"/>
      <c r="F11" s="453"/>
      <c r="G11" s="453"/>
      <c r="H11" s="453"/>
      <c r="I11" s="453"/>
      <c r="J11" s="453"/>
      <c r="K11" s="454"/>
      <c r="L11" s="91"/>
      <c r="M11" s="452" t="s">
        <v>17</v>
      </c>
      <c r="N11" s="453"/>
      <c r="O11" s="453"/>
      <c r="P11" s="453"/>
      <c r="Q11" s="454"/>
      <c r="R11" s="455"/>
      <c r="S11" s="453"/>
      <c r="T11" s="453"/>
      <c r="U11" s="453"/>
      <c r="V11" s="454"/>
      <c r="W11" s="452" t="s">
        <v>19</v>
      </c>
      <c r="X11" s="454"/>
      <c r="Y11" s="455"/>
      <c r="Z11" s="453"/>
      <c r="AA11" s="453"/>
      <c r="AB11" s="454"/>
      <c r="AC11" s="1"/>
      <c r="AD11" s="1"/>
      <c r="AE11" s="1"/>
      <c r="AF11" s="1"/>
      <c r="AG11" s="1"/>
      <c r="AH11" s="1"/>
      <c r="AI11" s="1"/>
      <c r="AJ11" s="1"/>
      <c r="AK11" s="1"/>
      <c r="AL11" s="1"/>
      <c r="AM11" s="1"/>
    </row>
    <row r="12" spans="1:39" ht="9" customHeight="1">
      <c r="A12" s="10"/>
      <c r="B12" s="5"/>
      <c r="C12" s="480"/>
      <c r="D12" s="477"/>
      <c r="E12" s="477"/>
      <c r="F12" s="477"/>
      <c r="G12" s="477"/>
      <c r="H12" s="477"/>
      <c r="I12" s="477"/>
      <c r="J12" s="477"/>
      <c r="K12" s="477"/>
      <c r="L12" s="477"/>
      <c r="M12" s="477"/>
      <c r="N12" s="477"/>
      <c r="O12" s="477"/>
      <c r="P12" s="477"/>
      <c r="Q12" s="477"/>
      <c r="R12" s="477"/>
      <c r="S12" s="477"/>
      <c r="T12" s="477"/>
      <c r="U12" s="477"/>
      <c r="V12" s="477"/>
      <c r="W12" s="477"/>
      <c r="X12" s="477"/>
      <c r="Y12" s="477"/>
      <c r="Z12" s="481"/>
      <c r="AA12" s="28"/>
      <c r="AB12" s="29"/>
      <c r="AC12" s="1"/>
      <c r="AD12" s="1"/>
      <c r="AE12" s="1"/>
      <c r="AF12" s="1"/>
      <c r="AG12" s="1"/>
      <c r="AH12" s="1"/>
      <c r="AI12" s="1"/>
      <c r="AJ12" s="1"/>
      <c r="AK12" s="1"/>
      <c r="AL12" s="1"/>
      <c r="AM12" s="1"/>
    </row>
    <row r="13" spans="1:39" ht="37.5" customHeight="1">
      <c r="A13" s="475" t="s">
        <v>21</v>
      </c>
      <c r="B13" s="454"/>
      <c r="C13" s="565"/>
      <c r="D13" s="453"/>
      <c r="E13" s="453"/>
      <c r="F13" s="453"/>
      <c r="G13" s="453"/>
      <c r="H13" s="453"/>
      <c r="I13" s="453"/>
      <c r="J13" s="453"/>
      <c r="K13" s="453"/>
      <c r="L13" s="453"/>
      <c r="M13" s="453"/>
      <c r="N13" s="453"/>
      <c r="O13" s="453"/>
      <c r="P13" s="453"/>
      <c r="Q13" s="454"/>
      <c r="R13" s="5"/>
      <c r="S13" s="567" t="s">
        <v>92</v>
      </c>
      <c r="T13" s="568"/>
      <c r="U13" s="92"/>
      <c r="V13" s="574" t="s">
        <v>24</v>
      </c>
      <c r="W13" s="525"/>
      <c r="X13" s="525"/>
      <c r="Y13" s="568"/>
      <c r="Z13" s="5"/>
      <c r="AA13" s="479"/>
      <c r="AB13" s="454"/>
      <c r="AC13" s="30"/>
      <c r="AD13" s="30"/>
      <c r="AE13" s="30"/>
      <c r="AF13" s="30"/>
      <c r="AG13" s="30"/>
      <c r="AH13" s="30"/>
      <c r="AI13" s="30"/>
      <c r="AJ13" s="30"/>
      <c r="AK13" s="30"/>
      <c r="AL13" s="30"/>
      <c r="AM13" s="30"/>
    </row>
    <row r="14" spans="1:39" ht="16.5"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c r="AC14" s="1"/>
      <c r="AD14" s="1"/>
      <c r="AE14" s="1"/>
      <c r="AF14" s="1"/>
      <c r="AG14" s="1"/>
      <c r="AH14" s="1"/>
      <c r="AI14" s="1"/>
      <c r="AJ14" s="1"/>
      <c r="AK14" s="1"/>
      <c r="AL14" s="1"/>
      <c r="AM14" s="1"/>
    </row>
    <row r="15" spans="1:39" ht="24" customHeight="1">
      <c r="A15" s="436" t="s">
        <v>7</v>
      </c>
      <c r="B15" s="438"/>
      <c r="C15" s="571" t="s">
        <v>93</v>
      </c>
      <c r="D15" s="59"/>
      <c r="E15" s="59"/>
      <c r="F15" s="59"/>
      <c r="G15" s="59"/>
      <c r="H15" s="59"/>
      <c r="I15" s="59"/>
      <c r="J15" s="25"/>
      <c r="K15" s="93"/>
      <c r="L15" s="25"/>
      <c r="M15" s="11"/>
      <c r="N15" s="11"/>
      <c r="O15" s="11"/>
      <c r="P15" s="11"/>
      <c r="Q15" s="452" t="s">
        <v>25</v>
      </c>
      <c r="R15" s="453"/>
      <c r="S15" s="453"/>
      <c r="T15" s="453"/>
      <c r="U15" s="453"/>
      <c r="V15" s="453"/>
      <c r="W15" s="453"/>
      <c r="X15" s="453"/>
      <c r="Y15" s="453"/>
      <c r="Z15" s="453"/>
      <c r="AA15" s="453"/>
      <c r="AB15" s="454"/>
      <c r="AC15" s="1"/>
      <c r="AD15" s="1"/>
      <c r="AE15" s="1"/>
      <c r="AF15" s="1"/>
      <c r="AG15" s="1"/>
      <c r="AH15" s="1"/>
      <c r="AI15" s="1"/>
      <c r="AJ15" s="1"/>
      <c r="AK15" s="1"/>
      <c r="AL15" s="1"/>
      <c r="AM15" s="1"/>
    </row>
    <row r="16" spans="1:39" ht="35.25" customHeight="1">
      <c r="A16" s="442"/>
      <c r="B16" s="444"/>
      <c r="C16" s="435"/>
      <c r="D16" s="59"/>
      <c r="E16" s="59"/>
      <c r="F16" s="59"/>
      <c r="G16" s="59"/>
      <c r="H16" s="59"/>
      <c r="I16" s="59"/>
      <c r="J16" s="25"/>
      <c r="K16" s="25"/>
      <c r="L16" s="25"/>
      <c r="M16" s="11"/>
      <c r="N16" s="11"/>
      <c r="O16" s="11"/>
      <c r="P16" s="11"/>
      <c r="Q16" s="555" t="s">
        <v>94</v>
      </c>
      <c r="R16" s="485"/>
      <c r="S16" s="485"/>
      <c r="T16" s="485"/>
      <c r="U16" s="485"/>
      <c r="V16" s="486"/>
      <c r="W16" s="556" t="s">
        <v>95</v>
      </c>
      <c r="X16" s="485"/>
      <c r="Y16" s="485"/>
      <c r="Z16" s="485"/>
      <c r="AA16" s="485"/>
      <c r="AB16" s="487"/>
      <c r="AC16" s="1"/>
      <c r="AD16" s="1"/>
      <c r="AE16" s="1"/>
      <c r="AF16" s="1"/>
      <c r="AG16" s="1"/>
      <c r="AH16" s="1"/>
      <c r="AI16" s="1"/>
      <c r="AJ16" s="1"/>
      <c r="AK16" s="1"/>
      <c r="AL16" s="1"/>
      <c r="AM16" s="1"/>
    </row>
    <row r="17" spans="1:39" ht="27" customHeight="1">
      <c r="A17" s="35"/>
      <c r="B17" s="11"/>
      <c r="C17" s="11"/>
      <c r="D17" s="59"/>
      <c r="E17" s="59"/>
      <c r="F17" s="59"/>
      <c r="G17" s="59"/>
      <c r="H17" s="59"/>
      <c r="I17" s="59"/>
      <c r="J17" s="59"/>
      <c r="K17" s="59"/>
      <c r="L17" s="59"/>
      <c r="M17" s="11"/>
      <c r="N17" s="11"/>
      <c r="O17" s="11"/>
      <c r="P17" s="11"/>
      <c r="Q17" s="557" t="s">
        <v>96</v>
      </c>
      <c r="R17" s="464"/>
      <c r="S17" s="473"/>
      <c r="T17" s="551" t="s">
        <v>97</v>
      </c>
      <c r="U17" s="464"/>
      <c r="V17" s="473"/>
      <c r="W17" s="551" t="s">
        <v>96</v>
      </c>
      <c r="X17" s="473"/>
      <c r="Y17" s="551" t="s">
        <v>98</v>
      </c>
      <c r="Z17" s="473"/>
      <c r="AA17" s="551" t="s">
        <v>99</v>
      </c>
      <c r="AB17" s="449"/>
      <c r="AC17" s="34"/>
      <c r="AD17" s="34"/>
      <c r="AE17" s="1"/>
      <c r="AF17" s="1"/>
      <c r="AG17" s="1"/>
      <c r="AH17" s="1"/>
      <c r="AI17" s="1"/>
      <c r="AJ17" s="1"/>
      <c r="AK17" s="1"/>
      <c r="AL17" s="1"/>
      <c r="AM17" s="1"/>
    </row>
    <row r="18" spans="1:39" ht="27" customHeight="1">
      <c r="A18" s="35"/>
      <c r="B18" s="11"/>
      <c r="C18" s="11"/>
      <c r="D18" s="59"/>
      <c r="E18" s="59"/>
      <c r="F18" s="59"/>
      <c r="G18" s="59"/>
      <c r="H18" s="59"/>
      <c r="I18" s="59"/>
      <c r="J18" s="59"/>
      <c r="K18" s="59"/>
      <c r="L18" s="59"/>
      <c r="M18" s="11"/>
      <c r="N18" s="11"/>
      <c r="O18" s="11"/>
      <c r="P18" s="11"/>
      <c r="Q18" s="95"/>
      <c r="R18" s="96"/>
      <c r="S18" s="97"/>
      <c r="T18" s="551"/>
      <c r="U18" s="464"/>
      <c r="V18" s="473"/>
      <c r="W18" s="98"/>
      <c r="X18" s="99"/>
      <c r="Y18" s="98"/>
      <c r="Z18" s="99"/>
      <c r="AA18" s="94"/>
      <c r="AB18" s="100"/>
      <c r="AC18" s="34"/>
      <c r="AD18" s="34"/>
      <c r="AE18" s="1"/>
      <c r="AF18" s="1"/>
      <c r="AG18" s="1"/>
      <c r="AH18" s="1"/>
      <c r="AI18" s="1"/>
      <c r="AJ18" s="1"/>
      <c r="AK18" s="1"/>
      <c r="AL18" s="1"/>
      <c r="AM18" s="1"/>
    </row>
    <row r="19" spans="1:39" ht="18" customHeight="1">
      <c r="A19" s="10"/>
      <c r="B19" s="5"/>
      <c r="C19" s="59"/>
      <c r="D19" s="59"/>
      <c r="E19" s="59"/>
      <c r="F19" s="59"/>
      <c r="G19" s="101"/>
      <c r="H19" s="101"/>
      <c r="I19" s="101"/>
      <c r="J19" s="101"/>
      <c r="K19" s="101"/>
      <c r="L19" s="101"/>
      <c r="M19" s="59"/>
      <c r="N19" s="59"/>
      <c r="O19" s="59"/>
      <c r="P19" s="59"/>
      <c r="Q19" s="552"/>
      <c r="R19" s="461"/>
      <c r="S19" s="550"/>
      <c r="T19" s="549"/>
      <c r="U19" s="461"/>
      <c r="V19" s="550"/>
      <c r="W19" s="553"/>
      <c r="X19" s="473"/>
      <c r="Y19" s="560"/>
      <c r="Z19" s="473"/>
      <c r="AA19" s="560"/>
      <c r="AB19" s="449"/>
      <c r="AC19" s="34"/>
      <c r="AD19" s="34"/>
      <c r="AE19" s="1"/>
      <c r="AF19" s="1"/>
      <c r="AG19" s="1"/>
      <c r="AH19" s="1"/>
      <c r="AI19" s="1"/>
      <c r="AJ19" s="1"/>
      <c r="AK19" s="1"/>
      <c r="AL19" s="1"/>
      <c r="AM19" s="1"/>
    </row>
    <row r="20" spans="1:39" ht="7.5" customHeight="1">
      <c r="A20" s="10"/>
      <c r="B20" s="5"/>
      <c r="C20" s="59"/>
      <c r="D20" s="59"/>
      <c r="E20" s="59"/>
      <c r="F20" s="59"/>
      <c r="G20" s="59"/>
      <c r="H20" s="59"/>
      <c r="I20" s="59"/>
      <c r="J20" s="59"/>
      <c r="K20" s="59"/>
      <c r="L20" s="59"/>
      <c r="M20" s="59"/>
      <c r="N20" s="59"/>
      <c r="O20" s="59"/>
      <c r="P20" s="59"/>
      <c r="Q20" s="59"/>
      <c r="R20" s="59"/>
      <c r="S20" s="59"/>
      <c r="T20" s="59"/>
      <c r="U20" s="59"/>
      <c r="V20" s="59"/>
      <c r="W20" s="59"/>
      <c r="X20" s="59"/>
      <c r="Y20" s="59"/>
      <c r="Z20" s="59"/>
      <c r="AA20" s="11"/>
      <c r="AB20" s="12"/>
      <c r="AC20" s="1"/>
      <c r="AD20" s="1"/>
      <c r="AE20" s="1"/>
      <c r="AF20" s="1"/>
      <c r="AG20" s="1"/>
      <c r="AH20" s="1"/>
      <c r="AI20" s="1"/>
      <c r="AJ20" s="1"/>
      <c r="AK20" s="1"/>
      <c r="AL20" s="1"/>
      <c r="AM20" s="1"/>
    </row>
    <row r="21" spans="1:39" ht="17.25" customHeight="1">
      <c r="A21" s="471" t="s">
        <v>46</v>
      </c>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47"/>
      <c r="AC21" s="1"/>
      <c r="AD21" s="1"/>
      <c r="AE21" s="1"/>
      <c r="AF21" s="1"/>
      <c r="AG21" s="1"/>
      <c r="AH21" s="1"/>
      <c r="AI21" s="1"/>
      <c r="AJ21" s="1"/>
      <c r="AK21" s="1"/>
      <c r="AL21" s="1"/>
      <c r="AM21" s="1"/>
    </row>
    <row r="22" spans="1:39" ht="15" customHeight="1">
      <c r="A22" s="516" t="s">
        <v>47</v>
      </c>
      <c r="B22" s="508" t="s">
        <v>48</v>
      </c>
      <c r="C22" s="518"/>
      <c r="D22" s="472" t="s">
        <v>100</v>
      </c>
      <c r="E22" s="464"/>
      <c r="F22" s="464"/>
      <c r="G22" s="464"/>
      <c r="H22" s="464"/>
      <c r="I22" s="464"/>
      <c r="J22" s="464"/>
      <c r="K22" s="464"/>
      <c r="L22" s="464"/>
      <c r="M22" s="464"/>
      <c r="N22" s="464"/>
      <c r="O22" s="473"/>
      <c r="P22" s="506" t="s">
        <v>40</v>
      </c>
      <c r="Q22" s="508" t="s">
        <v>50</v>
      </c>
      <c r="R22" s="509"/>
      <c r="S22" s="509"/>
      <c r="T22" s="509"/>
      <c r="U22" s="509"/>
      <c r="V22" s="509"/>
      <c r="W22" s="509"/>
      <c r="X22" s="509"/>
      <c r="Y22" s="509"/>
      <c r="Z22" s="509"/>
      <c r="AA22" s="509"/>
      <c r="AB22" s="510"/>
      <c r="AC22" s="1"/>
      <c r="AD22" s="1"/>
      <c r="AE22" s="1"/>
      <c r="AF22" s="1"/>
      <c r="AG22" s="1"/>
      <c r="AH22" s="1"/>
      <c r="AI22" s="1"/>
      <c r="AJ22" s="1"/>
      <c r="AK22" s="1"/>
      <c r="AL22" s="1"/>
      <c r="AM22" s="1"/>
    </row>
    <row r="23" spans="1:39" ht="27" customHeight="1">
      <c r="A23" s="517"/>
      <c r="B23" s="511"/>
      <c r="C23" s="519"/>
      <c r="D23" s="60" t="s">
        <v>28</v>
      </c>
      <c r="E23" s="60" t="s">
        <v>29</v>
      </c>
      <c r="F23" s="60" t="s">
        <v>30</v>
      </c>
      <c r="G23" s="60" t="s">
        <v>31</v>
      </c>
      <c r="H23" s="60" t="s">
        <v>32</v>
      </c>
      <c r="I23" s="60" t="s">
        <v>33</v>
      </c>
      <c r="J23" s="60" t="s">
        <v>34</v>
      </c>
      <c r="K23" s="60" t="s">
        <v>35</v>
      </c>
      <c r="L23" s="60" t="s">
        <v>36</v>
      </c>
      <c r="M23" s="60" t="s">
        <v>37</v>
      </c>
      <c r="N23" s="60" t="s">
        <v>38</v>
      </c>
      <c r="O23" s="60" t="s">
        <v>39</v>
      </c>
      <c r="P23" s="507"/>
      <c r="Q23" s="511"/>
      <c r="R23" s="512"/>
      <c r="S23" s="512"/>
      <c r="T23" s="512"/>
      <c r="U23" s="512"/>
      <c r="V23" s="512"/>
      <c r="W23" s="512"/>
      <c r="X23" s="512"/>
      <c r="Y23" s="512"/>
      <c r="Z23" s="512"/>
      <c r="AA23" s="512"/>
      <c r="AB23" s="513"/>
      <c r="AC23" s="1"/>
      <c r="AD23" s="1"/>
      <c r="AE23" s="1"/>
      <c r="AF23" s="1"/>
      <c r="AG23" s="1"/>
      <c r="AH23" s="1"/>
      <c r="AI23" s="1"/>
      <c r="AJ23" s="1"/>
      <c r="AK23" s="1"/>
      <c r="AL23" s="1"/>
      <c r="AM23" s="1"/>
    </row>
    <row r="24" spans="1:39" ht="42" customHeight="1">
      <c r="A24" s="61"/>
      <c r="B24" s="580"/>
      <c r="C24" s="518"/>
      <c r="D24" s="63"/>
      <c r="E24" s="63"/>
      <c r="F24" s="63"/>
      <c r="G24" s="63"/>
      <c r="H24" s="63"/>
      <c r="I24" s="63"/>
      <c r="J24" s="63"/>
      <c r="K24" s="63"/>
      <c r="L24" s="63"/>
      <c r="M24" s="63"/>
      <c r="N24" s="63"/>
      <c r="O24" s="63"/>
      <c r="P24" s="64">
        <f>SUM(D24:O24)</f>
        <v>0</v>
      </c>
      <c r="Q24" s="579" t="s">
        <v>53</v>
      </c>
      <c r="R24" s="464"/>
      <c r="S24" s="464"/>
      <c r="T24" s="464"/>
      <c r="U24" s="464"/>
      <c r="V24" s="464"/>
      <c r="W24" s="464"/>
      <c r="X24" s="464"/>
      <c r="Y24" s="464"/>
      <c r="Z24" s="464"/>
      <c r="AA24" s="464"/>
      <c r="AB24" s="449"/>
      <c r="AC24" s="1"/>
      <c r="AD24" s="1"/>
      <c r="AE24" s="1"/>
      <c r="AF24" s="1"/>
      <c r="AG24" s="1"/>
      <c r="AH24" s="1"/>
      <c r="AI24" s="1"/>
      <c r="AJ24" s="1"/>
      <c r="AK24" s="1"/>
      <c r="AL24" s="1"/>
      <c r="AM24" s="1"/>
    </row>
    <row r="25" spans="1:39" ht="21.75" customHeight="1">
      <c r="A25" s="471" t="s">
        <v>54</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47"/>
      <c r="AC25" s="1"/>
      <c r="AD25" s="1"/>
      <c r="AE25" s="1"/>
      <c r="AF25" s="1"/>
      <c r="AG25" s="1"/>
      <c r="AH25" s="1"/>
      <c r="AI25" s="1"/>
      <c r="AJ25" s="1"/>
      <c r="AK25" s="1"/>
      <c r="AL25" s="1"/>
      <c r="AM25" s="1"/>
    </row>
    <row r="26" spans="1:39" ht="22.5" customHeight="1">
      <c r="A26" s="527" t="s">
        <v>55</v>
      </c>
      <c r="B26" s="506" t="s">
        <v>56</v>
      </c>
      <c r="C26" s="506" t="s">
        <v>48</v>
      </c>
      <c r="D26" s="472" t="s">
        <v>57</v>
      </c>
      <c r="E26" s="464"/>
      <c r="F26" s="464"/>
      <c r="G26" s="464"/>
      <c r="H26" s="464"/>
      <c r="I26" s="464"/>
      <c r="J26" s="464"/>
      <c r="K26" s="464"/>
      <c r="L26" s="464"/>
      <c r="M26" s="464"/>
      <c r="N26" s="464"/>
      <c r="O26" s="464"/>
      <c r="P26" s="473"/>
      <c r="Q26" s="472" t="s">
        <v>58</v>
      </c>
      <c r="R26" s="464"/>
      <c r="S26" s="464"/>
      <c r="T26" s="464"/>
      <c r="U26" s="464"/>
      <c r="V26" s="464"/>
      <c r="W26" s="464"/>
      <c r="X26" s="464"/>
      <c r="Y26" s="464"/>
      <c r="Z26" s="464"/>
      <c r="AA26" s="464"/>
      <c r="AB26" s="449"/>
      <c r="AC26" s="1"/>
      <c r="AD26" s="1"/>
      <c r="AE26" s="65"/>
      <c r="AF26" s="65"/>
      <c r="AG26" s="65"/>
      <c r="AH26" s="65"/>
      <c r="AI26" s="65"/>
      <c r="AJ26" s="65"/>
      <c r="AK26" s="65"/>
      <c r="AL26" s="65"/>
      <c r="AM26" s="65"/>
    </row>
    <row r="27" spans="1:39" ht="22.5" customHeight="1">
      <c r="A27" s="528"/>
      <c r="B27" s="507"/>
      <c r="C27" s="507"/>
      <c r="D27" s="60" t="s">
        <v>28</v>
      </c>
      <c r="E27" s="60" t="s">
        <v>29</v>
      </c>
      <c r="F27" s="60" t="s">
        <v>30</v>
      </c>
      <c r="G27" s="60" t="s">
        <v>31</v>
      </c>
      <c r="H27" s="60" t="s">
        <v>32</v>
      </c>
      <c r="I27" s="60" t="s">
        <v>33</v>
      </c>
      <c r="J27" s="60" t="s">
        <v>34</v>
      </c>
      <c r="K27" s="60" t="s">
        <v>35</v>
      </c>
      <c r="L27" s="60" t="s">
        <v>36</v>
      </c>
      <c r="M27" s="60" t="s">
        <v>37</v>
      </c>
      <c r="N27" s="60" t="s">
        <v>38</v>
      </c>
      <c r="O27" s="60" t="s">
        <v>39</v>
      </c>
      <c r="P27" s="60" t="s">
        <v>40</v>
      </c>
      <c r="Q27" s="484" t="s">
        <v>59</v>
      </c>
      <c r="R27" s="485"/>
      <c r="S27" s="485"/>
      <c r="T27" s="486"/>
      <c r="U27" s="484" t="s">
        <v>60</v>
      </c>
      <c r="V27" s="485"/>
      <c r="W27" s="485"/>
      <c r="X27" s="486"/>
      <c r="Y27" s="484" t="s">
        <v>61</v>
      </c>
      <c r="Z27" s="485"/>
      <c r="AA27" s="485"/>
      <c r="AB27" s="487"/>
      <c r="AC27" s="1"/>
      <c r="AD27" s="1"/>
      <c r="AE27" s="65"/>
      <c r="AF27" s="65"/>
      <c r="AG27" s="65"/>
      <c r="AH27" s="65"/>
      <c r="AI27" s="65"/>
      <c r="AJ27" s="65"/>
      <c r="AK27" s="65"/>
      <c r="AL27" s="65"/>
      <c r="AM27" s="65"/>
    </row>
    <row r="28" spans="1:39" ht="33" customHeight="1">
      <c r="A28" s="572"/>
      <c r="B28" s="573"/>
      <c r="C28" s="66" t="s">
        <v>62</v>
      </c>
      <c r="D28" s="63"/>
      <c r="E28" s="63"/>
      <c r="F28" s="63"/>
      <c r="G28" s="63"/>
      <c r="H28" s="63"/>
      <c r="I28" s="63"/>
      <c r="J28" s="63"/>
      <c r="K28" s="63"/>
      <c r="L28" s="63"/>
      <c r="M28" s="63"/>
      <c r="N28" s="63"/>
      <c r="O28" s="63"/>
      <c r="P28" s="102">
        <f t="shared" ref="P28:P29" si="0">SUM(D28:O28)</f>
        <v>0</v>
      </c>
      <c r="Q28" s="547" t="s">
        <v>63</v>
      </c>
      <c r="R28" s="509"/>
      <c r="S28" s="509"/>
      <c r="T28" s="518"/>
      <c r="U28" s="547" t="s">
        <v>64</v>
      </c>
      <c r="V28" s="509"/>
      <c r="W28" s="509"/>
      <c r="X28" s="518"/>
      <c r="Y28" s="547" t="s">
        <v>65</v>
      </c>
      <c r="Z28" s="509"/>
      <c r="AA28" s="509"/>
      <c r="AB28" s="510"/>
      <c r="AC28" s="1"/>
      <c r="AD28" s="1"/>
      <c r="AE28" s="65"/>
      <c r="AF28" s="65"/>
      <c r="AG28" s="65"/>
      <c r="AH28" s="65"/>
      <c r="AI28" s="65"/>
      <c r="AJ28" s="65"/>
      <c r="AK28" s="65"/>
      <c r="AL28" s="65"/>
      <c r="AM28" s="65"/>
    </row>
    <row r="29" spans="1:39" ht="33.75" customHeight="1">
      <c r="A29" s="530"/>
      <c r="B29" s="532"/>
      <c r="C29" s="69" t="s">
        <v>66</v>
      </c>
      <c r="D29" s="103"/>
      <c r="E29" s="103"/>
      <c r="F29" s="103"/>
      <c r="G29" s="104"/>
      <c r="H29" s="104"/>
      <c r="I29" s="104"/>
      <c r="J29" s="104"/>
      <c r="K29" s="104"/>
      <c r="L29" s="104"/>
      <c r="M29" s="104"/>
      <c r="N29" s="104"/>
      <c r="O29" s="104"/>
      <c r="P29" s="105">
        <f t="shared" si="0"/>
        <v>0</v>
      </c>
      <c r="Q29" s="548"/>
      <c r="R29" s="443"/>
      <c r="S29" s="443"/>
      <c r="T29" s="554"/>
      <c r="U29" s="548"/>
      <c r="V29" s="443"/>
      <c r="W29" s="443"/>
      <c r="X29" s="554"/>
      <c r="Y29" s="548"/>
      <c r="Z29" s="443"/>
      <c r="AA29" s="443"/>
      <c r="AB29" s="444"/>
      <c r="AC29" s="70"/>
      <c r="AD29" s="1"/>
      <c r="AE29" s="65"/>
      <c r="AF29" s="65"/>
      <c r="AG29" s="65"/>
      <c r="AH29" s="65"/>
      <c r="AI29" s="65"/>
      <c r="AJ29" s="65"/>
      <c r="AK29" s="65"/>
      <c r="AL29" s="65"/>
      <c r="AM29" s="65"/>
    </row>
    <row r="30" spans="1:39" ht="25.5" customHeight="1">
      <c r="A30" s="537" t="s">
        <v>67</v>
      </c>
      <c r="B30" s="538" t="s">
        <v>68</v>
      </c>
      <c r="C30" s="540" t="s">
        <v>69</v>
      </c>
      <c r="D30" s="457"/>
      <c r="E30" s="457"/>
      <c r="F30" s="457"/>
      <c r="G30" s="457"/>
      <c r="H30" s="457"/>
      <c r="I30" s="457"/>
      <c r="J30" s="457"/>
      <c r="K30" s="457"/>
      <c r="L30" s="457"/>
      <c r="M30" s="457"/>
      <c r="N30" s="457"/>
      <c r="O30" s="457"/>
      <c r="P30" s="541"/>
      <c r="Q30" s="540" t="s">
        <v>70</v>
      </c>
      <c r="R30" s="457"/>
      <c r="S30" s="457"/>
      <c r="T30" s="457"/>
      <c r="U30" s="457"/>
      <c r="V30" s="457"/>
      <c r="W30" s="457"/>
      <c r="X30" s="457"/>
      <c r="Y30" s="457"/>
      <c r="Z30" s="457"/>
      <c r="AA30" s="457"/>
      <c r="AB30" s="447"/>
      <c r="AC30" s="1"/>
      <c r="AD30" s="1"/>
      <c r="AE30" s="65"/>
      <c r="AF30" s="65"/>
      <c r="AG30" s="65"/>
      <c r="AH30" s="65"/>
      <c r="AI30" s="65"/>
      <c r="AJ30" s="65"/>
      <c r="AK30" s="65"/>
      <c r="AL30" s="65"/>
      <c r="AM30" s="65"/>
    </row>
    <row r="31" spans="1:39" ht="25.5" customHeight="1">
      <c r="A31" s="528"/>
      <c r="B31" s="507"/>
      <c r="C31" s="60" t="s">
        <v>71</v>
      </c>
      <c r="D31" s="60" t="s">
        <v>72</v>
      </c>
      <c r="E31" s="60" t="s">
        <v>73</v>
      </c>
      <c r="F31" s="60" t="s">
        <v>74</v>
      </c>
      <c r="G31" s="60" t="s">
        <v>75</v>
      </c>
      <c r="H31" s="60" t="s">
        <v>76</v>
      </c>
      <c r="I31" s="60" t="s">
        <v>77</v>
      </c>
      <c r="J31" s="60" t="s">
        <v>78</v>
      </c>
      <c r="K31" s="60" t="s">
        <v>79</v>
      </c>
      <c r="L31" s="60" t="s">
        <v>80</v>
      </c>
      <c r="M31" s="60" t="s">
        <v>81</v>
      </c>
      <c r="N31" s="60" t="s">
        <v>82</v>
      </c>
      <c r="O31" s="60" t="s">
        <v>83</v>
      </c>
      <c r="P31" s="60" t="s">
        <v>84</v>
      </c>
      <c r="Q31" s="472" t="s">
        <v>85</v>
      </c>
      <c r="R31" s="464"/>
      <c r="S31" s="464"/>
      <c r="T31" s="464"/>
      <c r="U31" s="464"/>
      <c r="V31" s="464"/>
      <c r="W31" s="464"/>
      <c r="X31" s="464"/>
      <c r="Y31" s="464"/>
      <c r="Z31" s="464"/>
      <c r="AA31" s="464"/>
      <c r="AB31" s="449"/>
      <c r="AC31" s="1"/>
      <c r="AD31" s="1"/>
      <c r="AE31" s="71"/>
      <c r="AF31" s="71"/>
      <c r="AG31" s="71"/>
      <c r="AH31" s="71"/>
      <c r="AI31" s="71"/>
      <c r="AJ31" s="71"/>
      <c r="AK31" s="71"/>
      <c r="AL31" s="71"/>
      <c r="AM31" s="71"/>
    </row>
    <row r="32" spans="1:39" ht="28.5" customHeight="1">
      <c r="A32" s="578"/>
      <c r="B32" s="570"/>
      <c r="C32" s="66" t="s">
        <v>62</v>
      </c>
      <c r="D32" s="106"/>
      <c r="E32" s="106"/>
      <c r="F32" s="106"/>
      <c r="G32" s="106"/>
      <c r="H32" s="106"/>
      <c r="I32" s="106"/>
      <c r="J32" s="106"/>
      <c r="K32" s="106"/>
      <c r="L32" s="106"/>
      <c r="M32" s="106"/>
      <c r="N32" s="106"/>
      <c r="O32" s="106"/>
      <c r="P32" s="73">
        <f t="shared" ref="P32:P39" si="1">SUM(D32:O32)</f>
        <v>0</v>
      </c>
      <c r="Q32" s="581" t="s">
        <v>86</v>
      </c>
      <c r="R32" s="509"/>
      <c r="S32" s="509"/>
      <c r="T32" s="509"/>
      <c r="U32" s="509"/>
      <c r="V32" s="509"/>
      <c r="W32" s="509"/>
      <c r="X32" s="509"/>
      <c r="Y32" s="509"/>
      <c r="Z32" s="509"/>
      <c r="AA32" s="509"/>
      <c r="AB32" s="510"/>
      <c r="AC32" s="74"/>
      <c r="AD32" s="1"/>
      <c r="AE32" s="75"/>
      <c r="AF32" s="75"/>
      <c r="AG32" s="75"/>
      <c r="AH32" s="75"/>
      <c r="AI32" s="75"/>
      <c r="AJ32" s="75"/>
      <c r="AK32" s="75"/>
      <c r="AL32" s="75"/>
      <c r="AM32" s="75"/>
    </row>
    <row r="33" spans="1:39" ht="28.5" customHeight="1">
      <c r="A33" s="528"/>
      <c r="B33" s="507"/>
      <c r="C33" s="76" t="s">
        <v>66</v>
      </c>
      <c r="D33" s="77"/>
      <c r="E33" s="77"/>
      <c r="F33" s="77"/>
      <c r="G33" s="77"/>
      <c r="H33" s="77"/>
      <c r="I33" s="77"/>
      <c r="J33" s="77"/>
      <c r="K33" s="77"/>
      <c r="L33" s="77"/>
      <c r="M33" s="77"/>
      <c r="N33" s="77"/>
      <c r="O33" s="77"/>
      <c r="P33" s="78">
        <f t="shared" si="1"/>
        <v>0</v>
      </c>
      <c r="Q33" s="543"/>
      <c r="R33" s="440"/>
      <c r="S33" s="440"/>
      <c r="T33" s="440"/>
      <c r="U33" s="440"/>
      <c r="V33" s="440"/>
      <c r="W33" s="440"/>
      <c r="X33" s="440"/>
      <c r="Y33" s="440"/>
      <c r="Z33" s="440"/>
      <c r="AA33" s="440"/>
      <c r="AB33" s="441"/>
      <c r="AC33" s="74"/>
      <c r="AD33" s="1"/>
      <c r="AE33" s="1"/>
      <c r="AF33" s="1"/>
      <c r="AG33" s="1"/>
      <c r="AH33" s="1"/>
      <c r="AI33" s="1"/>
      <c r="AJ33" s="1"/>
      <c r="AK33" s="1"/>
      <c r="AL33" s="1"/>
      <c r="AM33" s="1"/>
    </row>
    <row r="34" spans="1:39" ht="28.5" customHeight="1">
      <c r="A34" s="575"/>
      <c r="B34" s="576"/>
      <c r="C34" s="79" t="s">
        <v>62</v>
      </c>
      <c r="D34" s="107"/>
      <c r="E34" s="107"/>
      <c r="F34" s="107"/>
      <c r="G34" s="107"/>
      <c r="H34" s="107"/>
      <c r="I34" s="107"/>
      <c r="J34" s="107"/>
      <c r="K34" s="107"/>
      <c r="L34" s="107"/>
      <c r="M34" s="107"/>
      <c r="N34" s="107"/>
      <c r="O34" s="107"/>
      <c r="P34" s="78">
        <f t="shared" si="1"/>
        <v>0</v>
      </c>
      <c r="Q34" s="547"/>
      <c r="R34" s="509"/>
      <c r="S34" s="509"/>
      <c r="T34" s="509"/>
      <c r="U34" s="509"/>
      <c r="V34" s="509"/>
      <c r="W34" s="509"/>
      <c r="X34" s="509"/>
      <c r="Y34" s="509"/>
      <c r="Z34" s="509"/>
      <c r="AA34" s="509"/>
      <c r="AB34" s="510"/>
      <c r="AC34" s="74"/>
      <c r="AD34" s="1"/>
      <c r="AE34" s="1"/>
      <c r="AF34" s="1"/>
      <c r="AG34" s="1"/>
      <c r="AH34" s="1"/>
      <c r="AI34" s="1"/>
      <c r="AJ34" s="1"/>
      <c r="AK34" s="1"/>
      <c r="AL34" s="1"/>
      <c r="AM34" s="1"/>
    </row>
    <row r="35" spans="1:39" ht="28.5" customHeight="1">
      <c r="A35" s="528"/>
      <c r="B35" s="507"/>
      <c r="C35" s="76" t="s">
        <v>66</v>
      </c>
      <c r="D35" s="77"/>
      <c r="E35" s="77"/>
      <c r="F35" s="77"/>
      <c r="G35" s="77"/>
      <c r="H35" s="77"/>
      <c r="I35" s="77"/>
      <c r="J35" s="77"/>
      <c r="K35" s="77"/>
      <c r="L35" s="80"/>
      <c r="M35" s="80"/>
      <c r="N35" s="80"/>
      <c r="O35" s="80"/>
      <c r="P35" s="78">
        <f t="shared" si="1"/>
        <v>0</v>
      </c>
      <c r="Q35" s="543"/>
      <c r="R35" s="440"/>
      <c r="S35" s="440"/>
      <c r="T35" s="440"/>
      <c r="U35" s="440"/>
      <c r="V35" s="440"/>
      <c r="W35" s="440"/>
      <c r="X35" s="440"/>
      <c r="Y35" s="440"/>
      <c r="Z35" s="440"/>
      <c r="AA35" s="440"/>
      <c r="AB35" s="441"/>
      <c r="AC35" s="74"/>
      <c r="AD35" s="1"/>
      <c r="AE35" s="1"/>
      <c r="AF35" s="1"/>
      <c r="AG35" s="1"/>
      <c r="AH35" s="1"/>
      <c r="AI35" s="1"/>
      <c r="AJ35" s="1"/>
      <c r="AK35" s="1"/>
      <c r="AL35" s="1"/>
      <c r="AM35" s="1"/>
    </row>
    <row r="36" spans="1:39" ht="28.5" customHeight="1">
      <c r="A36" s="577"/>
      <c r="B36" s="576"/>
      <c r="C36" s="79" t="s">
        <v>62</v>
      </c>
      <c r="D36" s="107"/>
      <c r="E36" s="107"/>
      <c r="F36" s="107"/>
      <c r="G36" s="107"/>
      <c r="H36" s="107"/>
      <c r="I36" s="107"/>
      <c r="J36" s="107"/>
      <c r="K36" s="107"/>
      <c r="L36" s="107"/>
      <c r="M36" s="107"/>
      <c r="N36" s="107"/>
      <c r="O36" s="107"/>
      <c r="P36" s="78">
        <f t="shared" si="1"/>
        <v>0</v>
      </c>
      <c r="Q36" s="547"/>
      <c r="R36" s="509"/>
      <c r="S36" s="509"/>
      <c r="T36" s="509"/>
      <c r="U36" s="509"/>
      <c r="V36" s="509"/>
      <c r="W36" s="509"/>
      <c r="X36" s="509"/>
      <c r="Y36" s="509"/>
      <c r="Z36" s="509"/>
      <c r="AA36" s="509"/>
      <c r="AB36" s="510"/>
      <c r="AC36" s="74"/>
      <c r="AD36" s="1"/>
      <c r="AE36" s="1"/>
      <c r="AF36" s="1"/>
      <c r="AG36" s="1"/>
      <c r="AH36" s="1"/>
      <c r="AI36" s="1"/>
      <c r="AJ36" s="1"/>
      <c r="AK36" s="1"/>
      <c r="AL36" s="1"/>
      <c r="AM36" s="1"/>
    </row>
    <row r="37" spans="1:39" ht="28.5" customHeight="1">
      <c r="A37" s="528"/>
      <c r="B37" s="507"/>
      <c r="C37" s="76" t="s">
        <v>66</v>
      </c>
      <c r="D37" s="77"/>
      <c r="E37" s="77"/>
      <c r="F37" s="77"/>
      <c r="G37" s="77"/>
      <c r="H37" s="77"/>
      <c r="I37" s="77"/>
      <c r="J37" s="77"/>
      <c r="K37" s="77"/>
      <c r="L37" s="80"/>
      <c r="M37" s="80"/>
      <c r="N37" s="80"/>
      <c r="O37" s="80"/>
      <c r="P37" s="78">
        <f t="shared" si="1"/>
        <v>0</v>
      </c>
      <c r="Q37" s="543"/>
      <c r="R37" s="440"/>
      <c r="S37" s="440"/>
      <c r="T37" s="440"/>
      <c r="U37" s="440"/>
      <c r="V37" s="440"/>
      <c r="W37" s="440"/>
      <c r="X37" s="440"/>
      <c r="Y37" s="440"/>
      <c r="Z37" s="440"/>
      <c r="AA37" s="440"/>
      <c r="AB37" s="441"/>
      <c r="AC37" s="74"/>
      <c r="AD37" s="1"/>
      <c r="AE37" s="1"/>
      <c r="AF37" s="1"/>
      <c r="AG37" s="1"/>
      <c r="AH37" s="1"/>
      <c r="AI37" s="1"/>
      <c r="AJ37" s="1"/>
      <c r="AK37" s="1"/>
      <c r="AL37" s="1"/>
      <c r="AM37" s="1"/>
    </row>
    <row r="38" spans="1:39" ht="28.5" customHeight="1">
      <c r="A38" s="575"/>
      <c r="B38" s="576"/>
      <c r="C38" s="79" t="s">
        <v>62</v>
      </c>
      <c r="D38" s="107"/>
      <c r="E38" s="107"/>
      <c r="F38" s="107"/>
      <c r="G38" s="107"/>
      <c r="H38" s="107"/>
      <c r="I38" s="107"/>
      <c r="J38" s="107"/>
      <c r="K38" s="107"/>
      <c r="L38" s="107"/>
      <c r="M38" s="107"/>
      <c r="N38" s="107"/>
      <c r="O38" s="107"/>
      <c r="P38" s="78">
        <f t="shared" si="1"/>
        <v>0</v>
      </c>
      <c r="Q38" s="547"/>
      <c r="R38" s="509"/>
      <c r="S38" s="509"/>
      <c r="T38" s="509"/>
      <c r="U38" s="509"/>
      <c r="V38" s="509"/>
      <c r="W38" s="509"/>
      <c r="X38" s="509"/>
      <c r="Y38" s="509"/>
      <c r="Z38" s="509"/>
      <c r="AA38" s="509"/>
      <c r="AB38" s="510"/>
      <c r="AC38" s="74"/>
      <c r="AD38" s="1"/>
      <c r="AE38" s="1"/>
      <c r="AF38" s="1"/>
      <c r="AG38" s="1"/>
      <c r="AH38" s="1"/>
      <c r="AI38" s="1"/>
      <c r="AJ38" s="1"/>
      <c r="AK38" s="1"/>
      <c r="AL38" s="1"/>
      <c r="AM38" s="1"/>
    </row>
    <row r="39" spans="1:39" ht="28.5" customHeight="1">
      <c r="A39" s="530"/>
      <c r="B39" s="532"/>
      <c r="C39" s="69" t="s">
        <v>66</v>
      </c>
      <c r="D39" s="108"/>
      <c r="E39" s="108"/>
      <c r="F39" s="108"/>
      <c r="G39" s="108"/>
      <c r="H39" s="108"/>
      <c r="I39" s="108"/>
      <c r="J39" s="108"/>
      <c r="K39" s="108"/>
      <c r="L39" s="109"/>
      <c r="M39" s="109"/>
      <c r="N39" s="109"/>
      <c r="O39" s="109"/>
      <c r="P39" s="110">
        <f t="shared" si="1"/>
        <v>0</v>
      </c>
      <c r="Q39" s="548"/>
      <c r="R39" s="443"/>
      <c r="S39" s="443"/>
      <c r="T39" s="443"/>
      <c r="U39" s="443"/>
      <c r="V39" s="443"/>
      <c r="W39" s="443"/>
      <c r="X39" s="443"/>
      <c r="Y39" s="443"/>
      <c r="Z39" s="443"/>
      <c r="AA39" s="443"/>
      <c r="AB39" s="444"/>
      <c r="AC39" s="74"/>
      <c r="AD39" s="1"/>
      <c r="AE39" s="1"/>
      <c r="AF39" s="1"/>
      <c r="AG39" s="1"/>
      <c r="AH39" s="1"/>
      <c r="AI39" s="1"/>
      <c r="AJ39" s="1"/>
      <c r="AK39" s="1"/>
      <c r="AL39" s="1"/>
      <c r="AM39" s="1"/>
    </row>
    <row r="40" spans="1:39" ht="14.25" customHeight="1">
      <c r="A40" s="1" t="s">
        <v>87</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 ref="Q36:AB37"/>
    <mergeCell ref="Q34:AB35"/>
    <mergeCell ref="A38:A39"/>
    <mergeCell ref="B38:B39"/>
    <mergeCell ref="Q38:AB39"/>
    <mergeCell ref="A36:A37"/>
    <mergeCell ref="B34:B35"/>
    <mergeCell ref="B36:B37"/>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C13:Q13"/>
    <mergeCell ref="C7:K9"/>
    <mergeCell ref="W11:X11"/>
    <mergeCell ref="S13:T13"/>
    <mergeCell ref="C11:K11"/>
    <mergeCell ref="B1:Y1"/>
    <mergeCell ref="B2:Y2"/>
    <mergeCell ref="R11:V11"/>
    <mergeCell ref="M11:Q11"/>
    <mergeCell ref="U7:V9"/>
    <mergeCell ref="W7:X9"/>
    <mergeCell ref="R7:T9"/>
    <mergeCell ref="B3:Y4"/>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Q16:V16"/>
    <mergeCell ref="W16:AB16"/>
    <mergeCell ref="T17:V17"/>
    <mergeCell ref="Y17:Z17"/>
    <mergeCell ref="AA17:AB17"/>
    <mergeCell ref="Q17:S17"/>
    <mergeCell ref="W17:X17"/>
    <mergeCell ref="Y28:AB29"/>
    <mergeCell ref="Q26:AB26"/>
    <mergeCell ref="Q27:T27"/>
    <mergeCell ref="T19:V19"/>
    <mergeCell ref="T18:V18"/>
    <mergeCell ref="Q19:S19"/>
    <mergeCell ref="W19:X19"/>
    <mergeCell ref="Q28:T29"/>
    <mergeCell ref="U27:X27"/>
    <mergeCell ref="U28:X29"/>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topLeftCell="A34" zoomScale="55" zoomScaleNormal="55" workbookViewId="0">
      <selection activeCell="Q49" sqref="Q49:AD50"/>
    </sheetView>
  </sheetViews>
  <sheetFormatPr baseColWidth="10" defaultColWidth="14.42578125" defaultRowHeight="15" customHeight="1"/>
  <cols>
    <col min="1" max="1" width="38.42578125" customWidth="1"/>
    <col min="2" max="2" width="17.42578125" customWidth="1"/>
    <col min="3" max="3" width="15.42578125" customWidth="1"/>
    <col min="4" max="4" width="12.5703125" customWidth="1"/>
    <col min="5" max="15" width="12.85546875" customWidth="1"/>
    <col min="16" max="16" width="14" customWidth="1"/>
    <col min="17" max="17" width="15.28515625" bestFit="1" customWidth="1"/>
    <col min="18" max="21" width="14" customWidth="1"/>
    <col min="22" max="28" width="15.42578125" customWidth="1"/>
    <col min="29" max="29" width="16.42578125" bestFit="1" customWidth="1"/>
    <col min="30" max="30" width="15.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39"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101</v>
      </c>
      <c r="D17" s="453"/>
      <c r="E17" s="453"/>
      <c r="F17" s="453"/>
      <c r="G17" s="453"/>
      <c r="H17" s="453"/>
      <c r="I17" s="453"/>
      <c r="J17" s="453"/>
      <c r="K17" s="453"/>
      <c r="L17" s="453"/>
      <c r="M17" s="453"/>
      <c r="N17" s="453"/>
      <c r="O17" s="453"/>
      <c r="P17" s="453"/>
      <c r="Q17" s="454"/>
      <c r="R17" s="452" t="s">
        <v>23</v>
      </c>
      <c r="S17" s="453"/>
      <c r="T17" s="453"/>
      <c r="U17" s="453"/>
      <c r="V17" s="454"/>
      <c r="W17" s="582">
        <v>13</v>
      </c>
      <c r="X17" s="454"/>
      <c r="Y17" s="523" t="s">
        <v>24</v>
      </c>
      <c r="Z17" s="453"/>
      <c r="AA17" s="453"/>
      <c r="AB17" s="454"/>
      <c r="AC17" s="479">
        <f>+B34</f>
        <v>0.15000000000000002</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thickBot="1">
      <c r="A22" s="520" t="s">
        <v>42</v>
      </c>
      <c r="B22" s="521"/>
      <c r="C22" s="39"/>
      <c r="D22" s="40"/>
      <c r="E22" s="40"/>
      <c r="F22" s="40"/>
      <c r="G22" s="40"/>
      <c r="H22" s="40"/>
      <c r="I22" s="40"/>
      <c r="J22" s="40"/>
      <c r="K22" s="40"/>
      <c r="L22" s="40"/>
      <c r="M22" s="40"/>
      <c r="N22" s="40"/>
      <c r="O22" s="41">
        <f t="shared" ref="O22:O25" si="0">SUM(C22:N22)</f>
        <v>0</v>
      </c>
      <c r="P22" s="42"/>
      <c r="Q22" s="111">
        <v>205977520</v>
      </c>
      <c r="R22" s="112"/>
      <c r="S22" s="112"/>
      <c r="T22" s="112"/>
      <c r="U22" s="112">
        <v>16380000</v>
      </c>
      <c r="V22" s="112"/>
      <c r="W22" s="112"/>
      <c r="X22" s="112">
        <v>32620000</v>
      </c>
      <c r="Y22" s="112"/>
      <c r="Z22" s="112"/>
      <c r="AA22" s="112"/>
      <c r="AB22" s="112"/>
      <c r="AC22" s="41">
        <f t="shared" ref="AC22:AC23" si="1">SUM(Q22:AB22)</f>
        <v>254977520</v>
      </c>
      <c r="AD22" s="43"/>
      <c r="AE22" s="34"/>
      <c r="AF22" s="34"/>
      <c r="AG22" s="1"/>
      <c r="AH22" s="1"/>
      <c r="AI22" s="1"/>
      <c r="AJ22" s="1"/>
      <c r="AK22" s="1"/>
      <c r="AL22" s="1"/>
      <c r="AM22" s="1"/>
      <c r="AN22" s="1"/>
      <c r="AO22" s="1"/>
    </row>
    <row r="23" spans="1:41" ht="31.5" customHeight="1">
      <c r="A23" s="514" t="s">
        <v>43</v>
      </c>
      <c r="B23" s="515"/>
      <c r="C23" s="44"/>
      <c r="D23" s="45"/>
      <c r="E23" s="45"/>
      <c r="F23" s="45"/>
      <c r="G23" s="45"/>
      <c r="H23" s="45"/>
      <c r="I23" s="45"/>
      <c r="J23" s="45"/>
      <c r="K23" s="45"/>
      <c r="L23" s="45"/>
      <c r="M23" s="45"/>
      <c r="N23" s="45"/>
      <c r="O23" s="46">
        <f t="shared" si="0"/>
        <v>0</v>
      </c>
      <c r="P23" s="47" t="str">
        <f>IFERROR(O23/(SUMIF(C23:N23,"&gt;0",C22:N22))," ")</f>
        <v xml:space="preserve"> </v>
      </c>
      <c r="Q23" s="300">
        <v>205977520</v>
      </c>
      <c r="R23" s="48"/>
      <c r="S23" s="48"/>
      <c r="T23" s="48"/>
      <c r="U23" s="48"/>
      <c r="V23" s="48"/>
      <c r="W23" s="48"/>
      <c r="X23" s="48"/>
      <c r="Y23" s="48"/>
      <c r="Z23" s="48"/>
      <c r="AA23" s="48"/>
      <c r="AB23" s="48"/>
      <c r="AC23" s="46">
        <f t="shared" si="1"/>
        <v>205977520</v>
      </c>
      <c r="AD23" s="49">
        <f>IFERROR(AC23/(SUMIF(Q23:AB23,"&gt;0",Q22:AB22))," ")</f>
        <v>1</v>
      </c>
      <c r="AE23" s="34"/>
      <c r="AF23" s="34"/>
      <c r="AG23" s="1"/>
      <c r="AH23" s="1"/>
      <c r="AI23" s="1"/>
      <c r="AJ23" s="1"/>
      <c r="AK23" s="1"/>
      <c r="AL23" s="1"/>
      <c r="AM23" s="1"/>
      <c r="AN23" s="1"/>
      <c r="AO23" s="1"/>
    </row>
    <row r="24" spans="1:41" ht="31.5" customHeight="1">
      <c r="A24" s="514" t="s">
        <v>44</v>
      </c>
      <c r="B24" s="515"/>
      <c r="C24" s="50"/>
      <c r="D24" s="51">
        <v>3429333</v>
      </c>
      <c r="E24" s="51">
        <v>179378</v>
      </c>
      <c r="F24" s="51"/>
      <c r="G24" s="46"/>
      <c r="H24" s="46"/>
      <c r="I24" s="46"/>
      <c r="J24" s="46"/>
      <c r="K24" s="46"/>
      <c r="L24" s="46"/>
      <c r="M24" s="46"/>
      <c r="N24" s="46"/>
      <c r="O24" s="46">
        <f t="shared" si="0"/>
        <v>3608711</v>
      </c>
      <c r="P24" s="52"/>
      <c r="Q24" s="113"/>
      <c r="R24" s="51">
        <v>11266053</v>
      </c>
      <c r="S24" s="51">
        <v>17724800</v>
      </c>
      <c r="T24" s="51">
        <v>17724800</v>
      </c>
      <c r="U24" s="51">
        <v>17724800</v>
      </c>
      <c r="V24" s="51">
        <v>17724800</v>
      </c>
      <c r="W24" s="51">
        <v>34104800</v>
      </c>
      <c r="X24" s="51">
        <f>17724800-793333</f>
        <v>16931467</v>
      </c>
      <c r="Y24" s="51">
        <f>17724800-793333</f>
        <v>16931467</v>
      </c>
      <c r="Z24" s="51">
        <f>17724800-793334</f>
        <v>16931466</v>
      </c>
      <c r="AA24" s="51">
        <v>24724800</v>
      </c>
      <c r="AB24" s="51">
        <f>24724800+38463467</f>
        <v>63188267</v>
      </c>
      <c r="AC24" s="46">
        <f>SUM(R24:AB24)</f>
        <v>254977520</v>
      </c>
      <c r="AD24" s="49"/>
      <c r="AE24" s="34"/>
      <c r="AF24" s="34"/>
      <c r="AG24" s="1"/>
      <c r="AH24" s="1"/>
      <c r="AI24" s="1"/>
      <c r="AJ24" s="1"/>
      <c r="AK24" s="1"/>
      <c r="AL24" s="1"/>
      <c r="AM24" s="1"/>
      <c r="AN24" s="1"/>
      <c r="AO24" s="1"/>
    </row>
    <row r="25" spans="1:41" ht="31.5" customHeight="1">
      <c r="A25" s="482" t="s">
        <v>45</v>
      </c>
      <c r="B25" s="483"/>
      <c r="C25" s="53"/>
      <c r="D25" s="54"/>
      <c r="E25" s="54"/>
      <c r="F25" s="54"/>
      <c r="G25" s="55"/>
      <c r="H25" s="55"/>
      <c r="I25" s="55"/>
      <c r="J25" s="55"/>
      <c r="K25" s="55"/>
      <c r="L25" s="55"/>
      <c r="M25" s="55"/>
      <c r="N25" s="55"/>
      <c r="O25" s="56">
        <f t="shared" si="0"/>
        <v>0</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66" customHeight="1">
      <c r="A30" s="61" t="s">
        <v>102</v>
      </c>
      <c r="B30" s="533" t="s">
        <v>166</v>
      </c>
      <c r="C30" s="518"/>
      <c r="D30" s="63"/>
      <c r="E30" s="63"/>
      <c r="F30" s="114"/>
      <c r="G30" s="63"/>
      <c r="H30" s="63"/>
      <c r="I30" s="63"/>
      <c r="J30" s="63"/>
      <c r="K30" s="63"/>
      <c r="L30" s="63"/>
      <c r="M30" s="63"/>
      <c r="N30" s="63"/>
      <c r="O30" s="63"/>
      <c r="P30" s="64">
        <f>SUM(D30:O30)</f>
        <v>0</v>
      </c>
      <c r="Q30" s="579"/>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33" customHeight="1">
      <c r="A34" s="529" t="s">
        <v>102</v>
      </c>
      <c r="B34" s="531">
        <f>SUM(B38,B40,B42)</f>
        <v>0.15000000000000002</v>
      </c>
      <c r="C34" s="66" t="s">
        <v>62</v>
      </c>
      <c r="D34" s="115">
        <v>13</v>
      </c>
      <c r="E34" s="115">
        <v>13</v>
      </c>
      <c r="F34" s="115">
        <v>13</v>
      </c>
      <c r="G34" s="115">
        <v>13</v>
      </c>
      <c r="H34" s="115">
        <v>13</v>
      </c>
      <c r="I34" s="115">
        <v>13</v>
      </c>
      <c r="J34" s="115">
        <v>13</v>
      </c>
      <c r="K34" s="115">
        <v>13</v>
      </c>
      <c r="L34" s="115">
        <v>13</v>
      </c>
      <c r="M34" s="115">
        <v>13</v>
      </c>
      <c r="N34" s="115">
        <v>13</v>
      </c>
      <c r="O34" s="115">
        <v>13</v>
      </c>
      <c r="P34" s="68">
        <f>+O34</f>
        <v>13</v>
      </c>
      <c r="Q34" s="591" t="s">
        <v>587</v>
      </c>
      <c r="R34" s="592"/>
      <c r="S34" s="592"/>
      <c r="T34" s="592"/>
      <c r="U34" s="592"/>
      <c r="V34" s="593"/>
      <c r="W34" s="547"/>
      <c r="X34" s="509"/>
      <c r="Y34" s="509"/>
      <c r="Z34" s="518"/>
      <c r="AA34" s="547"/>
      <c r="AB34" s="509"/>
      <c r="AC34" s="509"/>
      <c r="AD34" s="510"/>
      <c r="AE34" s="1"/>
      <c r="AF34" s="1"/>
      <c r="AG34" s="65"/>
      <c r="AH34" s="65"/>
      <c r="AI34" s="65"/>
      <c r="AJ34" s="65"/>
      <c r="AK34" s="65"/>
      <c r="AL34" s="65"/>
      <c r="AM34" s="65"/>
      <c r="AN34" s="65"/>
      <c r="AO34" s="65"/>
    </row>
    <row r="35" spans="1:41" ht="33.75" customHeight="1" thickBot="1">
      <c r="A35" s="530"/>
      <c r="B35" s="532"/>
      <c r="C35" s="69" t="s">
        <v>66</v>
      </c>
      <c r="D35" s="360">
        <v>0</v>
      </c>
      <c r="E35" s="372"/>
      <c r="F35" s="372"/>
      <c r="G35" s="360"/>
      <c r="H35" s="360"/>
      <c r="I35" s="360"/>
      <c r="J35" s="360"/>
      <c r="K35" s="360"/>
      <c r="L35" s="360"/>
      <c r="M35" s="360"/>
      <c r="N35" s="360"/>
      <c r="O35" s="360"/>
      <c r="P35" s="361">
        <f>SUM(D35:O35)</f>
        <v>0</v>
      </c>
      <c r="Q35" s="594"/>
      <c r="R35" s="595"/>
      <c r="S35" s="595"/>
      <c r="T35" s="595"/>
      <c r="U35" s="595"/>
      <c r="V35" s="596"/>
      <c r="W35" s="548"/>
      <c r="X35" s="443"/>
      <c r="Y35" s="443"/>
      <c r="Z35" s="554"/>
      <c r="AA35" s="548"/>
      <c r="AB35" s="443"/>
      <c r="AC35" s="443"/>
      <c r="AD35" s="444"/>
      <c r="AE35" s="70"/>
      <c r="AF35" s="1"/>
      <c r="AG35" s="65"/>
      <c r="AH35" s="65"/>
      <c r="AI35" s="65"/>
      <c r="AJ35" s="65"/>
      <c r="AK35" s="65"/>
      <c r="AL35" s="65"/>
      <c r="AM35" s="65"/>
      <c r="AN35" s="65"/>
      <c r="AO35" s="65"/>
    </row>
    <row r="36" spans="1:41" ht="33"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45"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32.25" customHeight="1">
      <c r="A38" s="535" t="s">
        <v>549</v>
      </c>
      <c r="B38" s="539">
        <v>0.05</v>
      </c>
      <c r="C38" s="66" t="s">
        <v>62</v>
      </c>
      <c r="D38" s="72">
        <v>0</v>
      </c>
      <c r="E38" s="72">
        <v>0</v>
      </c>
      <c r="F38" s="72">
        <v>0.25</v>
      </c>
      <c r="G38" s="72">
        <v>0</v>
      </c>
      <c r="H38" s="72">
        <v>0</v>
      </c>
      <c r="I38" s="72">
        <v>0.25</v>
      </c>
      <c r="J38" s="72">
        <v>0</v>
      </c>
      <c r="K38" s="72">
        <v>0</v>
      </c>
      <c r="L38" s="72">
        <v>0.25</v>
      </c>
      <c r="M38" s="72">
        <v>0</v>
      </c>
      <c r="N38" s="72">
        <v>0</v>
      </c>
      <c r="O38" s="72">
        <v>0.25</v>
      </c>
      <c r="P38" s="73">
        <f t="shared" ref="P38:P43" si="2">SUM(D38:O38)</f>
        <v>1</v>
      </c>
      <c r="Q38" s="494" t="s">
        <v>542</v>
      </c>
      <c r="R38" s="542"/>
      <c r="S38" s="542"/>
      <c r="T38" s="542"/>
      <c r="U38" s="542"/>
      <c r="V38" s="542"/>
      <c r="W38" s="542"/>
      <c r="X38" s="542"/>
      <c r="Y38" s="542"/>
      <c r="Z38" s="542"/>
      <c r="AA38" s="542"/>
      <c r="AB38" s="542"/>
      <c r="AC38" s="542"/>
      <c r="AD38" s="510"/>
      <c r="AE38" s="74"/>
      <c r="AF38" s="1"/>
      <c r="AG38" s="75"/>
      <c r="AH38" s="75"/>
      <c r="AI38" s="75"/>
      <c r="AJ38" s="75"/>
      <c r="AK38" s="75"/>
      <c r="AL38" s="75"/>
      <c r="AM38" s="75"/>
      <c r="AN38" s="75"/>
      <c r="AO38" s="75"/>
    </row>
    <row r="39" spans="1:41" ht="32.25" customHeight="1">
      <c r="A39" s="528"/>
      <c r="B39" s="507"/>
      <c r="C39" s="76" t="s">
        <v>66</v>
      </c>
      <c r="D39" s="322">
        <v>0</v>
      </c>
      <c r="E39" s="77"/>
      <c r="F39" s="77"/>
      <c r="G39" s="77"/>
      <c r="H39" s="77"/>
      <c r="I39" s="77"/>
      <c r="J39" s="77"/>
      <c r="K39" s="77"/>
      <c r="L39" s="77"/>
      <c r="M39" s="77"/>
      <c r="N39" s="77"/>
      <c r="O39" s="77"/>
      <c r="P39" s="78">
        <f t="shared" si="2"/>
        <v>0</v>
      </c>
      <c r="Q39" s="543"/>
      <c r="R39" s="544"/>
      <c r="S39" s="544"/>
      <c r="T39" s="544"/>
      <c r="U39" s="544"/>
      <c r="V39" s="544"/>
      <c r="W39" s="544"/>
      <c r="X39" s="544"/>
      <c r="Y39" s="544"/>
      <c r="Z39" s="544"/>
      <c r="AA39" s="544"/>
      <c r="AB39" s="544"/>
      <c r="AC39" s="544"/>
      <c r="AD39" s="526"/>
      <c r="AE39" s="74"/>
      <c r="AF39" s="1"/>
      <c r="AG39" s="1"/>
      <c r="AH39" s="1"/>
      <c r="AI39" s="1"/>
      <c r="AJ39" s="1"/>
      <c r="AK39" s="1"/>
      <c r="AL39" s="1"/>
      <c r="AM39" s="1"/>
      <c r="AN39" s="1"/>
      <c r="AO39" s="1"/>
    </row>
    <row r="40" spans="1:41" ht="32.25" customHeight="1">
      <c r="A40" s="535" t="s">
        <v>550</v>
      </c>
      <c r="B40" s="536">
        <v>0.05</v>
      </c>
      <c r="C40" s="79" t="s">
        <v>62</v>
      </c>
      <c r="D40" s="72">
        <v>8.3299999999999999E-2</v>
      </c>
      <c r="E40" s="72">
        <v>8.3299999999999999E-2</v>
      </c>
      <c r="F40" s="72">
        <v>8.3299999999999999E-2</v>
      </c>
      <c r="G40" s="72">
        <v>8.3299999999999999E-2</v>
      </c>
      <c r="H40" s="72">
        <v>8.3299999999999999E-2</v>
      </c>
      <c r="I40" s="72">
        <v>8.3299999999999999E-2</v>
      </c>
      <c r="J40" s="72">
        <v>8.3299999999999999E-2</v>
      </c>
      <c r="K40" s="72">
        <v>8.3299999999999999E-2</v>
      </c>
      <c r="L40" s="72">
        <v>8.3299999999999999E-2</v>
      </c>
      <c r="M40" s="72">
        <v>8.3299999999999999E-2</v>
      </c>
      <c r="N40" s="72">
        <v>8.3299999999999999E-2</v>
      </c>
      <c r="O40" s="72">
        <v>8.3299999999999999E-2</v>
      </c>
      <c r="P40" s="78">
        <f t="shared" si="2"/>
        <v>0.99960000000000016</v>
      </c>
      <c r="Q40" s="494" t="s">
        <v>537</v>
      </c>
      <c r="R40" s="495"/>
      <c r="S40" s="495"/>
      <c r="T40" s="495"/>
      <c r="U40" s="495"/>
      <c r="V40" s="495"/>
      <c r="W40" s="495"/>
      <c r="X40" s="495"/>
      <c r="Y40" s="495"/>
      <c r="Z40" s="495"/>
      <c r="AA40" s="495"/>
      <c r="AB40" s="495"/>
      <c r="AC40" s="495"/>
      <c r="AD40" s="586"/>
      <c r="AE40" s="74"/>
      <c r="AF40" s="1"/>
      <c r="AG40" s="1"/>
      <c r="AH40" s="1"/>
      <c r="AI40" s="1"/>
      <c r="AJ40" s="1"/>
      <c r="AK40" s="1"/>
      <c r="AL40" s="1"/>
      <c r="AM40" s="1"/>
      <c r="AN40" s="1"/>
      <c r="AO40" s="1"/>
    </row>
    <row r="41" spans="1:41" ht="32.25" customHeight="1">
      <c r="A41" s="528"/>
      <c r="B41" s="507"/>
      <c r="C41" s="76" t="s">
        <v>66</v>
      </c>
      <c r="D41" s="322">
        <v>0.08</v>
      </c>
      <c r="E41" s="77"/>
      <c r="F41" s="77"/>
      <c r="G41" s="77"/>
      <c r="H41" s="77"/>
      <c r="I41" s="77"/>
      <c r="J41" s="77"/>
      <c r="K41" s="77"/>
      <c r="L41" s="80"/>
      <c r="M41" s="80"/>
      <c r="N41" s="80"/>
      <c r="O41" s="80"/>
      <c r="P41" s="78">
        <f t="shared" si="2"/>
        <v>0.08</v>
      </c>
      <c r="Q41" s="587"/>
      <c r="R41" s="588"/>
      <c r="S41" s="588"/>
      <c r="T41" s="588"/>
      <c r="U41" s="588"/>
      <c r="V41" s="588"/>
      <c r="W41" s="588"/>
      <c r="X41" s="588"/>
      <c r="Y41" s="588"/>
      <c r="Z41" s="588"/>
      <c r="AA41" s="588"/>
      <c r="AB41" s="588"/>
      <c r="AC41" s="588"/>
      <c r="AD41" s="589"/>
      <c r="AE41" s="74"/>
      <c r="AF41" s="1"/>
      <c r="AG41" s="1"/>
      <c r="AH41" s="1"/>
      <c r="AI41" s="1"/>
      <c r="AJ41" s="1"/>
      <c r="AK41" s="1"/>
      <c r="AL41" s="1"/>
      <c r="AM41" s="1"/>
      <c r="AN41" s="1"/>
      <c r="AO41" s="1"/>
    </row>
    <row r="42" spans="1:41" ht="32.25" customHeight="1">
      <c r="A42" s="535" t="s">
        <v>551</v>
      </c>
      <c r="B42" s="536">
        <v>0.05</v>
      </c>
      <c r="C42" s="79" t="s">
        <v>62</v>
      </c>
      <c r="D42" s="72">
        <v>0</v>
      </c>
      <c r="E42" s="72">
        <v>0</v>
      </c>
      <c r="F42" s="72">
        <v>0</v>
      </c>
      <c r="G42" s="72">
        <v>0</v>
      </c>
      <c r="H42" s="72">
        <v>0</v>
      </c>
      <c r="I42" s="72">
        <v>0.5</v>
      </c>
      <c r="J42" s="72">
        <v>0</v>
      </c>
      <c r="K42" s="72">
        <v>0</v>
      </c>
      <c r="L42" s="72">
        <v>0</v>
      </c>
      <c r="M42" s="72">
        <v>0</v>
      </c>
      <c r="N42" s="72">
        <v>0.5</v>
      </c>
      <c r="O42" s="72">
        <v>0</v>
      </c>
      <c r="P42" s="78">
        <f t="shared" si="2"/>
        <v>1</v>
      </c>
      <c r="Q42" s="494" t="s">
        <v>600</v>
      </c>
      <c r="R42" s="542"/>
      <c r="S42" s="542"/>
      <c r="T42" s="542"/>
      <c r="U42" s="542"/>
      <c r="V42" s="542"/>
      <c r="W42" s="542"/>
      <c r="X42" s="542"/>
      <c r="Y42" s="542"/>
      <c r="Z42" s="542"/>
      <c r="AA42" s="542"/>
      <c r="AB42" s="542"/>
      <c r="AC42" s="542"/>
      <c r="AD42" s="510"/>
      <c r="AE42" s="74"/>
      <c r="AF42" s="1"/>
      <c r="AG42" s="1"/>
      <c r="AH42" s="1"/>
      <c r="AI42" s="1"/>
      <c r="AJ42" s="1"/>
      <c r="AK42" s="1"/>
      <c r="AL42" s="1"/>
      <c r="AM42" s="1"/>
      <c r="AN42" s="1"/>
      <c r="AO42" s="1"/>
    </row>
    <row r="43" spans="1:41" ht="32.25" customHeight="1">
      <c r="A43" s="528"/>
      <c r="B43" s="507"/>
      <c r="C43" s="76" t="s">
        <v>66</v>
      </c>
      <c r="D43" s="322">
        <v>0</v>
      </c>
      <c r="E43" s="77"/>
      <c r="F43" s="77"/>
      <c r="G43" s="77"/>
      <c r="H43" s="77"/>
      <c r="I43" s="77"/>
      <c r="J43" s="77"/>
      <c r="K43" s="77"/>
      <c r="L43" s="80"/>
      <c r="M43" s="80"/>
      <c r="N43" s="80"/>
      <c r="O43" s="80"/>
      <c r="P43" s="78">
        <f t="shared" si="2"/>
        <v>0</v>
      </c>
      <c r="Q43" s="583"/>
      <c r="R43" s="584"/>
      <c r="S43" s="584"/>
      <c r="T43" s="584"/>
      <c r="U43" s="584"/>
      <c r="V43" s="584"/>
      <c r="W43" s="584"/>
      <c r="X43" s="584"/>
      <c r="Y43" s="584"/>
      <c r="Z43" s="584"/>
      <c r="AA43" s="584"/>
      <c r="AB43" s="584"/>
      <c r="AC43" s="584"/>
      <c r="AD43" s="585"/>
      <c r="AE43" s="74"/>
      <c r="AF43" s="1"/>
      <c r="AG43" s="1"/>
      <c r="AH43" s="1"/>
      <c r="AI43" s="1"/>
      <c r="AJ43" s="1"/>
      <c r="AK43" s="1"/>
      <c r="AL43" s="1"/>
      <c r="AM43" s="1"/>
      <c r="AN43" s="1"/>
      <c r="AO43" s="1"/>
    </row>
    <row r="44" spans="1:41" ht="14.25" customHeight="1">
      <c r="A44" s="1" t="s">
        <v>87</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83" t="s">
        <v>88</v>
      </c>
      <c r="D46" s="116">
        <f t="shared" ref="D46:O46" si="3">AVERAGE(D38,D40,D42)</f>
        <v>2.7766666666666665E-2</v>
      </c>
      <c r="E46" s="116">
        <f t="shared" si="3"/>
        <v>2.7766666666666665E-2</v>
      </c>
      <c r="F46" s="116">
        <f t="shared" si="3"/>
        <v>0.11109999999999999</v>
      </c>
      <c r="G46" s="116">
        <f t="shared" si="3"/>
        <v>2.7766666666666665E-2</v>
      </c>
      <c r="H46" s="116">
        <f t="shared" si="3"/>
        <v>2.7766666666666665E-2</v>
      </c>
      <c r="I46" s="116">
        <f t="shared" si="3"/>
        <v>0.27776666666666666</v>
      </c>
      <c r="J46" s="116">
        <f t="shared" si="3"/>
        <v>2.7766666666666665E-2</v>
      </c>
      <c r="K46" s="116">
        <f t="shared" si="3"/>
        <v>2.7766666666666665E-2</v>
      </c>
      <c r="L46" s="116">
        <f t="shared" si="3"/>
        <v>0.11109999999999999</v>
      </c>
      <c r="M46" s="116">
        <f t="shared" si="3"/>
        <v>2.7766666666666665E-2</v>
      </c>
      <c r="N46" s="116">
        <f t="shared" si="3"/>
        <v>0.19443333333333335</v>
      </c>
      <c r="O46" s="116">
        <f t="shared" si="3"/>
        <v>0.11109999999999999</v>
      </c>
      <c r="P46" s="1"/>
      <c r="Q46" s="371">
        <f>+LEN(Q34)</f>
        <v>374</v>
      </c>
      <c r="R46" s="371">
        <f>+LEN(Q49)</f>
        <v>298</v>
      </c>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86" t="s">
        <v>89</v>
      </c>
      <c r="D47" s="117">
        <f t="shared" ref="D47:O47" si="4">AVERAGE(D39,D41,D43)</f>
        <v>2.6666666666666668E-2</v>
      </c>
      <c r="E47" s="117" t="e">
        <f t="shared" si="4"/>
        <v>#DIV/0!</v>
      </c>
      <c r="F47" s="117" t="e">
        <f t="shared" si="4"/>
        <v>#DIV/0!</v>
      </c>
      <c r="G47" s="117" t="e">
        <f t="shared" si="4"/>
        <v>#DIV/0!</v>
      </c>
      <c r="H47" s="117" t="e">
        <f t="shared" si="4"/>
        <v>#DIV/0!</v>
      </c>
      <c r="I47" s="117" t="e">
        <f t="shared" si="4"/>
        <v>#DIV/0!</v>
      </c>
      <c r="J47" s="117" t="e">
        <f t="shared" si="4"/>
        <v>#DIV/0!</v>
      </c>
      <c r="K47" s="117" t="e">
        <f t="shared" si="4"/>
        <v>#DIV/0!</v>
      </c>
      <c r="L47" s="117" t="e">
        <f t="shared" si="4"/>
        <v>#DIV/0!</v>
      </c>
      <c r="M47" s="117" t="e">
        <f t="shared" si="4"/>
        <v>#DIV/0!</v>
      </c>
      <c r="N47" s="117" t="e">
        <f t="shared" si="4"/>
        <v>#DIV/0!</v>
      </c>
      <c r="O47" s="117" t="e">
        <f t="shared" si="4"/>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118" t="s">
        <v>103</v>
      </c>
      <c r="D49" s="119">
        <v>13</v>
      </c>
      <c r="E49" s="119">
        <v>13</v>
      </c>
      <c r="F49" s="119">
        <v>13</v>
      </c>
      <c r="G49" s="119">
        <v>13</v>
      </c>
      <c r="H49" s="119">
        <v>13</v>
      </c>
      <c r="I49" s="119">
        <v>13</v>
      </c>
      <c r="J49" s="119">
        <v>13</v>
      </c>
      <c r="K49" s="119">
        <v>13</v>
      </c>
      <c r="L49" s="119">
        <v>13</v>
      </c>
      <c r="M49" s="119">
        <v>13</v>
      </c>
      <c r="N49" s="119">
        <v>13</v>
      </c>
      <c r="O49" s="119">
        <v>13</v>
      </c>
      <c r="P49" s="1"/>
      <c r="Q49" s="590" t="s">
        <v>596</v>
      </c>
      <c r="R49" s="590"/>
      <c r="S49" s="590"/>
      <c r="T49" s="590"/>
      <c r="U49" s="590"/>
      <c r="V49" s="590"/>
      <c r="W49" s="590"/>
      <c r="X49" s="590"/>
      <c r="Y49" s="590"/>
      <c r="Z49" s="590"/>
      <c r="AA49" s="590"/>
      <c r="AB49" s="590"/>
      <c r="AC49" s="590"/>
      <c r="AD49" s="590"/>
      <c r="AE49" s="1"/>
      <c r="AF49" s="1"/>
      <c r="AG49" s="1"/>
      <c r="AH49" s="1"/>
      <c r="AI49" s="1"/>
      <c r="AJ49" s="1"/>
      <c r="AK49" s="1"/>
      <c r="AL49" s="1"/>
      <c r="AM49" s="1"/>
      <c r="AN49" s="1"/>
      <c r="AO49" s="1"/>
    </row>
    <row r="50" spans="1:41" ht="54.6" customHeight="1">
      <c r="A50" s="1"/>
      <c r="B50" s="1"/>
      <c r="C50" s="120" t="s">
        <v>526</v>
      </c>
      <c r="D50" s="323">
        <v>0</v>
      </c>
      <c r="E50" s="121"/>
      <c r="F50" s="121"/>
      <c r="G50" s="121"/>
      <c r="H50" s="121"/>
      <c r="I50" s="121"/>
      <c r="J50" s="121"/>
      <c r="K50" s="121"/>
      <c r="L50" s="121"/>
      <c r="M50" s="121"/>
      <c r="N50" s="121"/>
      <c r="O50" s="121"/>
      <c r="P50" s="1"/>
      <c r="Q50" s="590"/>
      <c r="R50" s="590"/>
      <c r="S50" s="590"/>
      <c r="T50" s="590"/>
      <c r="U50" s="590"/>
      <c r="V50" s="590"/>
      <c r="W50" s="590"/>
      <c r="X50" s="590"/>
      <c r="Y50" s="590"/>
      <c r="Z50" s="590"/>
      <c r="AA50" s="590"/>
      <c r="AB50" s="590"/>
      <c r="AC50" s="590"/>
      <c r="AD50" s="590"/>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34 W34 AA34 Q38 Q40 Q49 Q42" xr:uid="{00000000-0002-0000-0200-000001000000}">
      <formula1>LTE(LEN(Q34),(2000))</formula1>
    </dataValidation>
    <dataValidation type="list" allowBlank="1" showInputMessage="1" showErrorMessage="1" prompt=" - " sqref="C7" xr:uid="{00000000-0002-0000-0200-000002000000}">
      <formula1>$C$21:$N$21</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100"/>
  <sheetViews>
    <sheetView showGridLines="0" topLeftCell="A31" zoomScale="55" zoomScaleNormal="55" workbookViewId="0">
      <selection activeCell="A34" sqref="A34:A35"/>
    </sheetView>
  </sheetViews>
  <sheetFormatPr baseColWidth="10" defaultColWidth="14.42578125" defaultRowHeight="15" customHeight="1"/>
  <cols>
    <col min="1" max="1" width="38.42578125" customWidth="1"/>
    <col min="2" max="2" width="15.42578125" customWidth="1"/>
    <col min="3" max="3" width="16.28515625" customWidth="1"/>
    <col min="4" max="4" width="13.5703125" bestFit="1" customWidth="1"/>
    <col min="5" max="5" width="14" bestFit="1" customWidth="1"/>
    <col min="6" max="14" width="12.85546875" customWidth="1"/>
    <col min="15" max="15" width="15.28515625" bestFit="1" customWidth="1"/>
    <col min="16" max="16" width="14.5703125" customWidth="1"/>
    <col min="17" max="17" width="16.7109375" bestFit="1" customWidth="1"/>
    <col min="18" max="20" width="14.5703125" customWidth="1"/>
    <col min="21" max="26" width="15.42578125" customWidth="1"/>
    <col min="27" max="28" width="14.85546875" customWidth="1"/>
    <col min="29" max="29" width="17.85546875" bestFit="1" customWidth="1"/>
    <col min="30" max="30" width="14.8554687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39"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104</v>
      </c>
      <c r="D17" s="453"/>
      <c r="E17" s="453"/>
      <c r="F17" s="453"/>
      <c r="G17" s="453"/>
      <c r="H17" s="453"/>
      <c r="I17" s="453"/>
      <c r="J17" s="453"/>
      <c r="K17" s="453"/>
      <c r="L17" s="453"/>
      <c r="M17" s="453"/>
      <c r="N17" s="453"/>
      <c r="O17" s="453"/>
      <c r="P17" s="453"/>
      <c r="Q17" s="454"/>
      <c r="R17" s="452" t="s">
        <v>23</v>
      </c>
      <c r="S17" s="453"/>
      <c r="T17" s="453"/>
      <c r="U17" s="453"/>
      <c r="V17" s="454"/>
      <c r="W17" s="603">
        <v>0.25</v>
      </c>
      <c r="X17" s="454"/>
      <c r="Y17" s="523" t="s">
        <v>24</v>
      </c>
      <c r="Z17" s="453"/>
      <c r="AA17" s="453"/>
      <c r="AB17" s="454"/>
      <c r="AC17" s="479">
        <f>+B34</f>
        <v>0.15000000000000002</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thickBo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thickBot="1">
      <c r="A22" s="597" t="s">
        <v>42</v>
      </c>
      <c r="B22" s="598"/>
      <c r="C22" s="380"/>
      <c r="D22" s="40"/>
      <c r="E22" s="40"/>
      <c r="F22" s="40"/>
      <c r="G22" s="40"/>
      <c r="H22" s="40"/>
      <c r="I22" s="40"/>
      <c r="J22" s="40"/>
      <c r="K22" s="40"/>
      <c r="L22" s="40"/>
      <c r="M22" s="40"/>
      <c r="N22" s="40"/>
      <c r="O22" s="41">
        <f t="shared" ref="O22:O25" si="0">SUM(C22:N22)</f>
        <v>0</v>
      </c>
      <c r="P22" s="42"/>
      <c r="Q22" s="307">
        <v>2207643126</v>
      </c>
      <c r="R22" s="308">
        <v>22500000</v>
      </c>
      <c r="S22" s="308"/>
      <c r="T22" s="308">
        <v>19980500</v>
      </c>
      <c r="U22" s="308">
        <f>1000000+2380000+2000000+104025833+16000000+22500000</f>
        <v>147905833</v>
      </c>
      <c r="V22" s="308">
        <f>9479506+1000000</f>
        <v>10479506</v>
      </c>
      <c r="W22" s="308">
        <v>15000000</v>
      </c>
      <c r="X22" s="308">
        <f>40000000+37500000</f>
        <v>77500000</v>
      </c>
      <c r="Y22" s="308"/>
      <c r="Z22" s="308"/>
      <c r="AA22" s="308"/>
      <c r="AB22" s="308"/>
      <c r="AC22" s="302">
        <f t="shared" ref="AC22:AC23" si="1">SUM(Q22:AB22)</f>
        <v>2501008965</v>
      </c>
      <c r="AD22" s="43"/>
      <c r="AE22" s="34"/>
      <c r="AF22" s="34"/>
      <c r="AG22" s="1"/>
      <c r="AH22" s="1"/>
      <c r="AI22" s="1"/>
      <c r="AJ22" s="1"/>
      <c r="AK22" s="1"/>
      <c r="AL22" s="1"/>
      <c r="AM22" s="1"/>
      <c r="AN22" s="1"/>
      <c r="AO22" s="1"/>
    </row>
    <row r="23" spans="1:41" ht="31.5" customHeight="1">
      <c r="A23" s="599" t="s">
        <v>43</v>
      </c>
      <c r="B23" s="600"/>
      <c r="C23" s="381"/>
      <c r="D23" s="45"/>
      <c r="E23" s="45"/>
      <c r="F23" s="45"/>
      <c r="G23" s="45"/>
      <c r="H23" s="45"/>
      <c r="I23" s="45"/>
      <c r="J23" s="45"/>
      <c r="K23" s="45"/>
      <c r="L23" s="45"/>
      <c r="M23" s="45"/>
      <c r="N23" s="45"/>
      <c r="O23" s="46">
        <f t="shared" si="0"/>
        <v>0</v>
      </c>
      <c r="P23" s="47" t="str">
        <f>IFERROR(O23/(SUMIF(C23:N23,"&gt;0",C22:N22))," ")</f>
        <v xml:space="preserve"> </v>
      </c>
      <c r="Q23" s="307">
        <v>2170219796</v>
      </c>
      <c r="R23" s="304"/>
      <c r="S23" s="304"/>
      <c r="T23" s="304"/>
      <c r="U23" s="304"/>
      <c r="V23" s="304"/>
      <c r="W23" s="304"/>
      <c r="X23" s="304"/>
      <c r="Y23" s="304"/>
      <c r="Z23" s="304"/>
      <c r="AA23" s="304"/>
      <c r="AB23" s="304"/>
      <c r="AC23" s="305">
        <f t="shared" si="1"/>
        <v>2170219796</v>
      </c>
      <c r="AD23" s="49">
        <f>IFERROR(AC23/(SUMIF(Q23:AB23,"&gt;0",Q22:AB22))," ")</f>
        <v>0.98304828821322821</v>
      </c>
      <c r="AE23" s="34"/>
      <c r="AF23" s="34"/>
      <c r="AG23" s="1"/>
      <c r="AH23" s="1"/>
      <c r="AI23" s="1"/>
      <c r="AJ23" s="1"/>
      <c r="AK23" s="1"/>
      <c r="AL23" s="1"/>
      <c r="AM23" s="1"/>
      <c r="AN23" s="1"/>
      <c r="AO23" s="1"/>
    </row>
    <row r="24" spans="1:41" ht="31.5" customHeight="1">
      <c r="A24" s="599" t="s">
        <v>44</v>
      </c>
      <c r="B24" s="600"/>
      <c r="C24" s="382"/>
      <c r="D24" s="51">
        <v>12368266</v>
      </c>
      <c r="E24" s="51">
        <v>69252528</v>
      </c>
      <c r="F24" s="51">
        <v>1175000</v>
      </c>
      <c r="G24" s="46"/>
      <c r="H24" s="46"/>
      <c r="I24" s="46"/>
      <c r="J24" s="46"/>
      <c r="K24" s="46"/>
      <c r="L24" s="46"/>
      <c r="M24" s="46"/>
      <c r="N24" s="46"/>
      <c r="O24" s="46">
        <f t="shared" si="0"/>
        <v>82795794</v>
      </c>
      <c r="P24" s="52"/>
      <c r="Q24" s="309"/>
      <c r="R24" s="310">
        <v>102901451.99999993</v>
      </c>
      <c r="S24" s="310">
        <v>191360940</v>
      </c>
      <c r="T24" s="310">
        <v>194735940</v>
      </c>
      <c r="U24" s="310">
        <v>193580996</v>
      </c>
      <c r="V24" s="310">
        <v>213334225</v>
      </c>
      <c r="W24" s="310">
        <v>222584225</v>
      </c>
      <c r="X24" s="310">
        <v>230877557</v>
      </c>
      <c r="Y24" s="310">
        <v>217063730</v>
      </c>
      <c r="Z24" s="310">
        <v>223377557</v>
      </c>
      <c r="AA24" s="310">
        <v>239459225</v>
      </c>
      <c r="AB24" s="310">
        <f>228877559+242855559</f>
        <v>471733118</v>
      </c>
      <c r="AC24" s="305">
        <f>SUM(R24:AB24)</f>
        <v>2501008965</v>
      </c>
      <c r="AD24" s="49"/>
      <c r="AE24" s="34"/>
      <c r="AF24" s="34"/>
      <c r="AG24" s="1"/>
      <c r="AH24" s="1"/>
      <c r="AI24" s="1"/>
      <c r="AJ24" s="1"/>
      <c r="AK24" s="1"/>
      <c r="AL24" s="1"/>
      <c r="AM24" s="1"/>
      <c r="AN24" s="1"/>
      <c r="AO24" s="1"/>
    </row>
    <row r="25" spans="1:41" ht="31.5" customHeight="1" thickBot="1">
      <c r="A25" s="601" t="s">
        <v>45</v>
      </c>
      <c r="B25" s="602"/>
      <c r="C25" s="383">
        <v>7349999.9999999991</v>
      </c>
      <c r="D25" s="54"/>
      <c r="E25" s="54"/>
      <c r="F25" s="54"/>
      <c r="G25" s="55"/>
      <c r="H25" s="55"/>
      <c r="I25" s="55"/>
      <c r="J25" s="55"/>
      <c r="K25" s="55"/>
      <c r="L25" s="55"/>
      <c r="M25" s="55"/>
      <c r="N25" s="55"/>
      <c r="O25" s="56">
        <f t="shared" si="0"/>
        <v>7349999.9999999991</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thickBo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55.5" customHeight="1">
      <c r="A30" s="61" t="s">
        <v>105</v>
      </c>
      <c r="B30" s="617">
        <f>+D30</f>
        <v>8.9999999999999993E-3</v>
      </c>
      <c r="C30" s="518"/>
      <c r="D30" s="122">
        <v>8.9999999999999993E-3</v>
      </c>
      <c r="E30" s="63"/>
      <c r="F30" s="114"/>
      <c r="G30" s="63"/>
      <c r="H30" s="63"/>
      <c r="I30" s="63"/>
      <c r="J30" s="63"/>
      <c r="K30" s="63"/>
      <c r="L30" s="63"/>
      <c r="M30" s="63"/>
      <c r="N30" s="63"/>
      <c r="O30" s="63"/>
      <c r="P30" s="64">
        <f>SUM(D30:O30)</f>
        <v>8.9999999999999993E-3</v>
      </c>
      <c r="Q30" s="470" t="s">
        <v>591</v>
      </c>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45.6" customHeight="1">
      <c r="A34" s="529" t="s">
        <v>105</v>
      </c>
      <c r="B34" s="531">
        <f>SUM(B38,B40,B42)</f>
        <v>0.15000000000000002</v>
      </c>
      <c r="C34" s="66" t="s">
        <v>62</v>
      </c>
      <c r="D34" s="122">
        <f>+(D49+D30)*$W$17</f>
        <v>2.3083333333333331E-2</v>
      </c>
      <c r="E34" s="131">
        <f t="shared" ref="E34:O34" si="2">+E49*$W$17</f>
        <v>2.0833333333333332E-2</v>
      </c>
      <c r="F34" s="131">
        <f t="shared" si="2"/>
        <v>2.0833333333333332E-2</v>
      </c>
      <c r="G34" s="131">
        <f t="shared" si="2"/>
        <v>2.0833333333333332E-2</v>
      </c>
      <c r="H34" s="131">
        <f t="shared" si="2"/>
        <v>2.0833333333333332E-2</v>
      </c>
      <c r="I34" s="131">
        <f t="shared" si="2"/>
        <v>2.0833333333333332E-2</v>
      </c>
      <c r="J34" s="131">
        <f t="shared" si="2"/>
        <v>2.0833333333333332E-2</v>
      </c>
      <c r="K34" s="131">
        <f t="shared" si="2"/>
        <v>2.0833333333333332E-2</v>
      </c>
      <c r="L34" s="131">
        <f t="shared" si="2"/>
        <v>2.0833333333333332E-2</v>
      </c>
      <c r="M34" s="131">
        <f t="shared" si="2"/>
        <v>2.0833333333333332E-2</v>
      </c>
      <c r="N34" s="131">
        <f t="shared" si="2"/>
        <v>2.0833333333333332E-2</v>
      </c>
      <c r="O34" s="131">
        <f t="shared" si="2"/>
        <v>2.0833333333333332E-2</v>
      </c>
      <c r="P34" s="366">
        <f t="shared" ref="P34" si="3">SUM(D34:O34)</f>
        <v>0.25225000000000003</v>
      </c>
      <c r="Q34" s="494" t="s">
        <v>588</v>
      </c>
      <c r="R34" s="614"/>
      <c r="S34" s="614"/>
      <c r="T34" s="614"/>
      <c r="U34" s="614"/>
      <c r="V34" s="615"/>
      <c r="W34" s="494" t="s">
        <v>589</v>
      </c>
      <c r="X34" s="614"/>
      <c r="Y34" s="614"/>
      <c r="Z34" s="615"/>
      <c r="AA34" s="547"/>
      <c r="AB34" s="509"/>
      <c r="AC34" s="509"/>
      <c r="AD34" s="510"/>
      <c r="AE34" s="1"/>
      <c r="AF34" s="1"/>
      <c r="AG34" s="65"/>
      <c r="AH34" s="65"/>
      <c r="AI34" s="65"/>
      <c r="AJ34" s="65"/>
      <c r="AK34" s="65"/>
      <c r="AL34" s="65"/>
      <c r="AM34" s="65"/>
      <c r="AN34" s="65"/>
      <c r="AO34" s="65"/>
    </row>
    <row r="35" spans="1:41" ht="45.6" customHeight="1" thickBot="1">
      <c r="A35" s="530"/>
      <c r="B35" s="532"/>
      <c r="C35" s="69" t="s">
        <v>66</v>
      </c>
      <c r="D35" s="363">
        <f>+(D50+D30)*$W$17</f>
        <v>1.5583333333333334E-2</v>
      </c>
      <c r="E35" s="364"/>
      <c r="F35" s="364"/>
      <c r="G35" s="364"/>
      <c r="H35" s="364"/>
      <c r="I35" s="364"/>
      <c r="J35" s="364"/>
      <c r="K35" s="364"/>
      <c r="L35" s="364"/>
      <c r="M35" s="364"/>
      <c r="N35" s="364"/>
      <c r="O35" s="364"/>
      <c r="P35" s="362">
        <f>+D35</f>
        <v>1.5583333333333334E-2</v>
      </c>
      <c r="Q35" s="497"/>
      <c r="R35" s="616"/>
      <c r="S35" s="616"/>
      <c r="T35" s="616"/>
      <c r="U35" s="616"/>
      <c r="V35" s="499"/>
      <c r="W35" s="497"/>
      <c r="X35" s="616"/>
      <c r="Y35" s="616"/>
      <c r="Z35" s="499"/>
      <c r="AA35" s="548"/>
      <c r="AB35" s="443"/>
      <c r="AC35" s="443"/>
      <c r="AD35" s="444"/>
      <c r="AE35" s="70"/>
      <c r="AF35" s="1"/>
      <c r="AG35" s="65"/>
      <c r="AH35" s="65"/>
      <c r="AI35" s="65"/>
      <c r="AJ35" s="65"/>
      <c r="AK35" s="65"/>
      <c r="AL35" s="65"/>
      <c r="AM35" s="65"/>
      <c r="AN35" s="65"/>
      <c r="AO35" s="65"/>
    </row>
    <row r="36" spans="1:41" ht="34.5"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48"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28.5" customHeight="1">
      <c r="A38" s="604" t="s">
        <v>552</v>
      </c>
      <c r="B38" s="539">
        <v>0.05</v>
      </c>
      <c r="C38" s="66" t="s">
        <v>62</v>
      </c>
      <c r="D38" s="72">
        <v>8.3333333333333343E-2</v>
      </c>
      <c r="E38" s="72">
        <v>8.3333333333333343E-2</v>
      </c>
      <c r="F38" s="72">
        <v>8.3333333333333343E-2</v>
      </c>
      <c r="G38" s="72">
        <v>8.3333333333333343E-2</v>
      </c>
      <c r="H38" s="72">
        <v>8.3333333333333343E-2</v>
      </c>
      <c r="I38" s="72">
        <v>8.3333333333333343E-2</v>
      </c>
      <c r="J38" s="72">
        <v>8.3333333333333343E-2</v>
      </c>
      <c r="K38" s="72">
        <v>8.3333333333333343E-2</v>
      </c>
      <c r="L38" s="72">
        <v>8.3333333333333343E-2</v>
      </c>
      <c r="M38" s="72">
        <v>8.3333333333333343E-2</v>
      </c>
      <c r="N38" s="72">
        <v>8.3333333333333343E-2</v>
      </c>
      <c r="O38" s="72">
        <v>8.3333333333333343E-2</v>
      </c>
      <c r="P38" s="73">
        <f t="shared" ref="P38:P43" si="4">SUM(D38:O38)</f>
        <v>1.0000000000000002</v>
      </c>
      <c r="Q38" s="607" t="s">
        <v>543</v>
      </c>
      <c r="R38" s="608"/>
      <c r="S38" s="608"/>
      <c r="T38" s="608"/>
      <c r="U38" s="608"/>
      <c r="V38" s="608"/>
      <c r="W38" s="608"/>
      <c r="X38" s="608"/>
      <c r="Y38" s="608"/>
      <c r="Z38" s="608"/>
      <c r="AA38" s="608"/>
      <c r="AB38" s="608"/>
      <c r="AC38" s="608"/>
      <c r="AD38" s="609"/>
      <c r="AE38" s="74"/>
      <c r="AF38" s="1"/>
      <c r="AG38" s="75"/>
      <c r="AH38" s="75"/>
      <c r="AI38" s="75"/>
      <c r="AJ38" s="75"/>
      <c r="AK38" s="75"/>
      <c r="AL38" s="75"/>
      <c r="AM38" s="75"/>
      <c r="AN38" s="75"/>
      <c r="AO38" s="75"/>
    </row>
    <row r="39" spans="1:41" ht="28.5" customHeight="1">
      <c r="A39" s="528"/>
      <c r="B39" s="507"/>
      <c r="C39" s="76" t="s">
        <v>66</v>
      </c>
      <c r="D39" s="322">
        <v>0.08</v>
      </c>
      <c r="E39" s="77"/>
      <c r="F39" s="77"/>
      <c r="G39" s="77"/>
      <c r="H39" s="77"/>
      <c r="I39" s="77"/>
      <c r="J39" s="77"/>
      <c r="K39" s="77"/>
      <c r="L39" s="77"/>
      <c r="M39" s="77"/>
      <c r="N39" s="77"/>
      <c r="O39" s="77"/>
      <c r="P39" s="78">
        <f t="shared" si="4"/>
        <v>0.08</v>
      </c>
      <c r="Q39" s="610"/>
      <c r="R39" s="611"/>
      <c r="S39" s="611"/>
      <c r="T39" s="611"/>
      <c r="U39" s="611"/>
      <c r="V39" s="611"/>
      <c r="W39" s="611"/>
      <c r="X39" s="611"/>
      <c r="Y39" s="611"/>
      <c r="Z39" s="611"/>
      <c r="AA39" s="611"/>
      <c r="AB39" s="611"/>
      <c r="AC39" s="611"/>
      <c r="AD39" s="612"/>
      <c r="AE39" s="74"/>
      <c r="AF39" s="1"/>
      <c r="AG39" s="1"/>
      <c r="AH39" s="1"/>
      <c r="AI39" s="1"/>
      <c r="AJ39" s="1"/>
      <c r="AK39" s="1"/>
      <c r="AL39" s="1"/>
      <c r="AM39" s="1"/>
      <c r="AN39" s="1"/>
      <c r="AO39" s="1"/>
    </row>
    <row r="40" spans="1:41" ht="47.45" customHeight="1">
      <c r="A40" s="604" t="s">
        <v>553</v>
      </c>
      <c r="B40" s="536">
        <v>0.05</v>
      </c>
      <c r="C40" s="79" t="s">
        <v>62</v>
      </c>
      <c r="D40" s="72">
        <v>8.3333333333333343E-2</v>
      </c>
      <c r="E40" s="72">
        <v>8.3333333333333343E-2</v>
      </c>
      <c r="F40" s="72">
        <v>8.3333333333333343E-2</v>
      </c>
      <c r="G40" s="72">
        <v>8.3333333333333343E-2</v>
      </c>
      <c r="H40" s="72">
        <v>8.3333333333333343E-2</v>
      </c>
      <c r="I40" s="72">
        <v>8.3333333333333343E-2</v>
      </c>
      <c r="J40" s="72">
        <v>8.3333333333333343E-2</v>
      </c>
      <c r="K40" s="72">
        <v>8.3333333333333343E-2</v>
      </c>
      <c r="L40" s="72">
        <v>8.3333333333333343E-2</v>
      </c>
      <c r="M40" s="72">
        <v>8.3333333333333343E-2</v>
      </c>
      <c r="N40" s="72">
        <v>8.3333333333333343E-2</v>
      </c>
      <c r="O40" s="72">
        <v>8.3333333333333343E-2</v>
      </c>
      <c r="P40" s="78">
        <f t="shared" si="4"/>
        <v>1.0000000000000002</v>
      </c>
      <c r="Q40" s="607" t="s">
        <v>590</v>
      </c>
      <c r="R40" s="608"/>
      <c r="S40" s="608"/>
      <c r="T40" s="608"/>
      <c r="U40" s="608"/>
      <c r="V40" s="608"/>
      <c r="W40" s="608"/>
      <c r="X40" s="608"/>
      <c r="Y40" s="608"/>
      <c r="Z40" s="608"/>
      <c r="AA40" s="608"/>
      <c r="AB40" s="608"/>
      <c r="AC40" s="608"/>
      <c r="AD40" s="609"/>
      <c r="AE40" s="74"/>
      <c r="AF40" s="1"/>
      <c r="AG40" s="1"/>
      <c r="AH40" s="1"/>
      <c r="AI40" s="1"/>
      <c r="AJ40" s="1"/>
      <c r="AK40" s="1"/>
      <c r="AL40" s="1"/>
      <c r="AM40" s="1"/>
      <c r="AN40" s="1"/>
      <c r="AO40" s="1"/>
    </row>
    <row r="41" spans="1:41" ht="47.45" customHeight="1">
      <c r="A41" s="528"/>
      <c r="B41" s="507"/>
      <c r="C41" s="76" t="s">
        <v>66</v>
      </c>
      <c r="D41" s="322">
        <v>0.08</v>
      </c>
      <c r="E41" s="77"/>
      <c r="F41" s="77"/>
      <c r="G41" s="77"/>
      <c r="H41" s="77"/>
      <c r="I41" s="77"/>
      <c r="J41" s="77"/>
      <c r="K41" s="77"/>
      <c r="L41" s="80"/>
      <c r="M41" s="80"/>
      <c r="N41" s="80"/>
      <c r="O41" s="80"/>
      <c r="P41" s="78">
        <f t="shared" si="4"/>
        <v>0.08</v>
      </c>
      <c r="Q41" s="610"/>
      <c r="R41" s="611"/>
      <c r="S41" s="611"/>
      <c r="T41" s="611"/>
      <c r="U41" s="611"/>
      <c r="V41" s="611"/>
      <c r="W41" s="611"/>
      <c r="X41" s="611"/>
      <c r="Y41" s="611"/>
      <c r="Z41" s="611"/>
      <c r="AA41" s="611"/>
      <c r="AB41" s="611"/>
      <c r="AC41" s="611"/>
      <c r="AD41" s="612"/>
      <c r="AE41" s="74"/>
      <c r="AF41" s="1"/>
      <c r="AG41" s="1"/>
      <c r="AH41" s="1"/>
      <c r="AI41" s="1"/>
      <c r="AJ41" s="1"/>
      <c r="AK41" s="1"/>
      <c r="AL41" s="1"/>
      <c r="AM41" s="1"/>
      <c r="AN41" s="1"/>
      <c r="AO41" s="1"/>
    </row>
    <row r="42" spans="1:41" ht="28.5" customHeight="1">
      <c r="A42" s="604" t="s">
        <v>554</v>
      </c>
      <c r="B42" s="536">
        <v>0.05</v>
      </c>
      <c r="C42" s="79" t="s">
        <v>62</v>
      </c>
      <c r="D42" s="72">
        <v>8.3333333333333343E-2</v>
      </c>
      <c r="E42" s="72">
        <v>8.3333333333333343E-2</v>
      </c>
      <c r="F42" s="72">
        <v>8.3333333333333343E-2</v>
      </c>
      <c r="G42" s="72">
        <v>8.3333333333333343E-2</v>
      </c>
      <c r="H42" s="72">
        <v>8.3333333333333343E-2</v>
      </c>
      <c r="I42" s="72">
        <v>8.3333333333333343E-2</v>
      </c>
      <c r="J42" s="72">
        <v>8.3333333333333343E-2</v>
      </c>
      <c r="K42" s="72">
        <v>8.3333333333333343E-2</v>
      </c>
      <c r="L42" s="72">
        <v>8.3333333333333343E-2</v>
      </c>
      <c r="M42" s="72">
        <v>8.3333333333333343E-2</v>
      </c>
      <c r="N42" s="72">
        <v>8.3333333333333343E-2</v>
      </c>
      <c r="O42" s="72">
        <v>8.3333333333333343E-2</v>
      </c>
      <c r="P42" s="78">
        <f t="shared" si="4"/>
        <v>1.0000000000000002</v>
      </c>
      <c r="Q42" s="605" t="s">
        <v>608</v>
      </c>
      <c r="R42" s="606"/>
      <c r="S42" s="606"/>
      <c r="T42" s="606"/>
      <c r="U42" s="606"/>
      <c r="V42" s="606"/>
      <c r="W42" s="606"/>
      <c r="X42" s="606"/>
      <c r="Y42" s="606"/>
      <c r="Z42" s="606"/>
      <c r="AA42" s="606"/>
      <c r="AB42" s="606"/>
      <c r="AC42" s="606"/>
      <c r="AD42" s="606"/>
      <c r="AE42" s="74"/>
      <c r="AF42" s="1"/>
      <c r="AG42" s="1"/>
      <c r="AH42" s="1"/>
      <c r="AI42" s="1"/>
      <c r="AJ42" s="1"/>
      <c r="AK42" s="1"/>
      <c r="AL42" s="1"/>
      <c r="AM42" s="1"/>
      <c r="AN42" s="1"/>
      <c r="AO42" s="1"/>
    </row>
    <row r="43" spans="1:41" ht="28.5" customHeight="1">
      <c r="A43" s="528"/>
      <c r="B43" s="507"/>
      <c r="C43" s="76" t="s">
        <v>66</v>
      </c>
      <c r="D43" s="322">
        <v>0</v>
      </c>
      <c r="E43" s="77"/>
      <c r="F43" s="77"/>
      <c r="G43" s="77"/>
      <c r="H43" s="77"/>
      <c r="I43" s="77"/>
      <c r="J43" s="77"/>
      <c r="K43" s="77"/>
      <c r="L43" s="80"/>
      <c r="M43" s="80"/>
      <c r="N43" s="80"/>
      <c r="O43" s="80"/>
      <c r="P43" s="78">
        <f t="shared" si="4"/>
        <v>0</v>
      </c>
      <c r="Q43" s="606"/>
      <c r="R43" s="606"/>
      <c r="S43" s="606"/>
      <c r="T43" s="606"/>
      <c r="U43" s="606"/>
      <c r="V43" s="606"/>
      <c r="W43" s="606"/>
      <c r="X43" s="606"/>
      <c r="Y43" s="606"/>
      <c r="Z43" s="606"/>
      <c r="AA43" s="606"/>
      <c r="AB43" s="606"/>
      <c r="AC43" s="606"/>
      <c r="AD43" s="606"/>
      <c r="AE43" s="74"/>
      <c r="AF43" s="1"/>
      <c r="AG43" s="1"/>
      <c r="AH43" s="1"/>
      <c r="AI43" s="1"/>
      <c r="AJ43" s="1"/>
      <c r="AK43" s="1"/>
      <c r="AL43" s="1"/>
      <c r="AM43" s="1"/>
      <c r="AN43" s="1"/>
      <c r="AO43" s="1"/>
    </row>
    <row r="44" spans="1:41" ht="14.25" customHeight="1">
      <c r="A44" s="1" t="s">
        <v>87</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124">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125">
        <f>+B30</f>
        <v>8.9999999999999993E-3</v>
      </c>
      <c r="D48" s="1"/>
      <c r="E48" s="1"/>
      <c r="F48" s="1"/>
      <c r="G48" s="1"/>
      <c r="H48" s="1"/>
      <c r="I48" s="1"/>
      <c r="J48" s="1"/>
      <c r="K48" s="1"/>
      <c r="L48" s="1"/>
      <c r="M48" s="1"/>
      <c r="N48" s="1"/>
      <c r="O48" s="1"/>
      <c r="P48" s="1"/>
      <c r="Q48" s="371">
        <f>+LEN(Q34)</f>
        <v>627</v>
      </c>
      <c r="R48" s="371">
        <f>+LEN(Q51)</f>
        <v>295</v>
      </c>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3" t="s">
        <v>88</v>
      </c>
      <c r="D49" s="116">
        <f t="shared" ref="D49:O49" si="5">AVERAGE(D38,D40,D42)</f>
        <v>8.3333333333333329E-2</v>
      </c>
      <c r="E49" s="116">
        <f t="shared" si="5"/>
        <v>8.3333333333333329E-2</v>
      </c>
      <c r="F49" s="116">
        <f t="shared" si="5"/>
        <v>8.3333333333333329E-2</v>
      </c>
      <c r="G49" s="116">
        <f t="shared" si="5"/>
        <v>8.3333333333333329E-2</v>
      </c>
      <c r="H49" s="116">
        <f t="shared" si="5"/>
        <v>8.3333333333333329E-2</v>
      </c>
      <c r="I49" s="116">
        <f t="shared" si="5"/>
        <v>8.3333333333333329E-2</v>
      </c>
      <c r="J49" s="116">
        <f t="shared" si="5"/>
        <v>8.3333333333333329E-2</v>
      </c>
      <c r="K49" s="116">
        <f t="shared" si="5"/>
        <v>8.3333333333333329E-2</v>
      </c>
      <c r="L49" s="116">
        <f t="shared" si="5"/>
        <v>8.3333333333333329E-2</v>
      </c>
      <c r="M49" s="116">
        <f t="shared" si="5"/>
        <v>8.3333333333333329E-2</v>
      </c>
      <c r="N49" s="116">
        <f t="shared" si="5"/>
        <v>8.3333333333333329E-2</v>
      </c>
      <c r="O49" s="116">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86" t="s">
        <v>89</v>
      </c>
      <c r="D50" s="117">
        <f t="shared" ref="D50:O50" si="6">AVERAGE(D39,D41,D43)</f>
        <v>5.3333333333333337E-2</v>
      </c>
      <c r="E50" s="117" t="e">
        <f t="shared" si="6"/>
        <v>#DIV/0!</v>
      </c>
      <c r="F50" s="117" t="e">
        <f t="shared" si="6"/>
        <v>#DIV/0!</v>
      </c>
      <c r="G50" s="117" t="e">
        <f t="shared" si="6"/>
        <v>#DIV/0!</v>
      </c>
      <c r="H50" s="117" t="e">
        <f t="shared" si="6"/>
        <v>#DIV/0!</v>
      </c>
      <c r="I50" s="117" t="e">
        <f t="shared" si="6"/>
        <v>#DIV/0!</v>
      </c>
      <c r="J50" s="117" t="e">
        <f t="shared" si="6"/>
        <v>#DIV/0!</v>
      </c>
      <c r="K50" s="117" t="e">
        <f t="shared" si="6"/>
        <v>#DIV/0!</v>
      </c>
      <c r="L50" s="117" t="e">
        <f t="shared" si="6"/>
        <v>#DIV/0!</v>
      </c>
      <c r="M50" s="117" t="e">
        <f t="shared" si="6"/>
        <v>#DIV/0!</v>
      </c>
      <c r="N50" s="117" t="e">
        <f t="shared" si="6"/>
        <v>#DIV/0!</v>
      </c>
      <c r="O50" s="117"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57.75" customHeight="1">
      <c r="A51" s="1"/>
      <c r="B51" s="1"/>
      <c r="C51" s="126" t="s">
        <v>106</v>
      </c>
      <c r="D51" s="324"/>
      <c r="E51" s="127"/>
      <c r="F51" s="127"/>
      <c r="G51" s="127"/>
      <c r="H51" s="127"/>
      <c r="I51" s="127"/>
      <c r="J51" s="127"/>
      <c r="K51" s="127"/>
      <c r="L51" s="127"/>
      <c r="M51" s="127"/>
      <c r="N51" s="127"/>
      <c r="O51" s="127"/>
      <c r="P51" s="1"/>
      <c r="Q51" s="613" t="s">
        <v>544</v>
      </c>
      <c r="R51" s="613"/>
      <c r="S51" s="613"/>
      <c r="T51" s="613"/>
      <c r="U51" s="613"/>
      <c r="V51" s="613"/>
      <c r="W51" s="613"/>
      <c r="X51" s="613"/>
      <c r="Y51" s="613"/>
      <c r="Z51" s="613"/>
      <c r="AA51" s="613"/>
      <c r="AB51" s="613"/>
      <c r="AC51" s="613"/>
      <c r="AD51" s="613"/>
      <c r="AE51" s="1"/>
      <c r="AF51" s="1"/>
      <c r="AG51" s="1"/>
      <c r="AH51" s="1"/>
      <c r="AI51" s="1"/>
      <c r="AJ51" s="1"/>
      <c r="AK51" s="1"/>
      <c r="AL51" s="1"/>
      <c r="AM51" s="1"/>
      <c r="AN51" s="1"/>
      <c r="AO51" s="1"/>
    </row>
    <row r="52" spans="1:41" ht="48.95" customHeight="1">
      <c r="A52" s="1"/>
      <c r="B52" s="1"/>
      <c r="C52" s="128" t="s">
        <v>107</v>
      </c>
      <c r="D52" s="325"/>
      <c r="E52" s="129"/>
      <c r="F52" s="129"/>
      <c r="G52" s="129"/>
      <c r="H52" s="129"/>
      <c r="I52" s="129"/>
      <c r="J52" s="129"/>
      <c r="K52" s="129"/>
      <c r="L52" s="129"/>
      <c r="M52" s="129"/>
      <c r="N52" s="129"/>
      <c r="O52" s="129"/>
      <c r="P52" s="1"/>
      <c r="Q52" s="613"/>
      <c r="R52" s="613"/>
      <c r="S52" s="613"/>
      <c r="T52" s="613"/>
      <c r="U52" s="613"/>
      <c r="V52" s="613"/>
      <c r="W52" s="613"/>
      <c r="X52" s="613"/>
      <c r="Y52" s="613"/>
      <c r="Z52" s="613"/>
      <c r="AA52" s="613"/>
      <c r="AB52" s="613"/>
      <c r="AC52" s="613"/>
      <c r="AD52" s="613"/>
      <c r="AE52" s="1"/>
      <c r="AF52" s="1"/>
      <c r="AG52" s="1"/>
      <c r="AH52" s="1"/>
      <c r="AI52" s="1"/>
      <c r="AJ52" s="1"/>
      <c r="AK52" s="1"/>
      <c r="AL52" s="1"/>
      <c r="AM52" s="1"/>
      <c r="AN52" s="1"/>
      <c r="AO52" s="1"/>
    </row>
    <row r="53" spans="1:41" ht="43.5" customHeight="1">
      <c r="A53" s="1"/>
      <c r="B53" s="1"/>
      <c r="C53" s="126" t="s">
        <v>108</v>
      </c>
      <c r="D53" s="326"/>
      <c r="E53" s="130"/>
      <c r="F53" s="130"/>
      <c r="G53" s="130"/>
      <c r="H53" s="130"/>
      <c r="I53" s="130"/>
      <c r="J53" s="130"/>
      <c r="K53" s="130"/>
      <c r="L53" s="130"/>
      <c r="M53" s="130"/>
      <c r="N53" s="130"/>
      <c r="O53" s="130"/>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Q51:AD52"/>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300-000000000000}">
      <formula1>LTE(LEN(Q30),(2000))</formula1>
    </dataValidation>
    <dataValidation type="custom" allowBlank="1" showInputMessage="1" showErrorMessage="1" prompt=" - " sqref="Q34 W34 AA34 Q38 Q40 Q42 Q51" xr:uid="{00000000-0002-0000-0300-000001000000}">
      <formula1>LTE(LEN(Q34),(2000))</formula1>
    </dataValidation>
    <dataValidation type="list" allowBlank="1" showInputMessage="1" showErrorMessage="1" prompt=" - " sqref="C7" xr:uid="{00000000-0002-0000-0300-000002000000}">
      <formula1>$C$21:$N$21</formula1>
    </dataValidation>
  </dataValidation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AO100"/>
  <sheetViews>
    <sheetView showGridLines="0" topLeftCell="A41" zoomScale="55" zoomScaleNormal="55" workbookViewId="0">
      <selection activeCell="V53" sqref="V53"/>
    </sheetView>
  </sheetViews>
  <sheetFormatPr baseColWidth="10" defaultColWidth="14.42578125" defaultRowHeight="15" customHeight="1"/>
  <cols>
    <col min="1" max="1" width="38.42578125" customWidth="1"/>
    <col min="2" max="3" width="15.42578125" customWidth="1"/>
    <col min="4" max="4" width="16.28515625" bestFit="1" customWidth="1"/>
    <col min="5" max="6" width="16.7109375" bestFit="1" customWidth="1"/>
    <col min="7" max="7" width="15.28515625" bestFit="1" customWidth="1"/>
    <col min="8" max="14" width="13" customWidth="1"/>
    <col min="15" max="15" width="17.85546875" bestFit="1" customWidth="1"/>
    <col min="16" max="16" width="14.42578125" customWidth="1"/>
    <col min="17" max="27" width="18.140625" customWidth="1"/>
    <col min="28" max="28" width="22.42578125" customWidth="1"/>
    <col min="29" max="29" width="19"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52.5"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109</v>
      </c>
      <c r="D17" s="453"/>
      <c r="E17" s="453"/>
      <c r="F17" s="453"/>
      <c r="G17" s="453"/>
      <c r="H17" s="453"/>
      <c r="I17" s="453"/>
      <c r="J17" s="453"/>
      <c r="K17" s="453"/>
      <c r="L17" s="453"/>
      <c r="M17" s="453"/>
      <c r="N17" s="453"/>
      <c r="O17" s="453"/>
      <c r="P17" s="453"/>
      <c r="Q17" s="454"/>
      <c r="R17" s="452" t="s">
        <v>23</v>
      </c>
      <c r="S17" s="453"/>
      <c r="T17" s="453"/>
      <c r="U17" s="453"/>
      <c r="V17" s="454"/>
      <c r="W17" s="618">
        <v>0.24</v>
      </c>
      <c r="X17" s="454"/>
      <c r="Y17" s="523" t="s">
        <v>24</v>
      </c>
      <c r="Z17" s="453"/>
      <c r="AA17" s="453"/>
      <c r="AB17" s="454"/>
      <c r="AC17" s="479">
        <f>+B34</f>
        <v>0.15000000000000002</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c r="A22" s="597" t="s">
        <v>42</v>
      </c>
      <c r="B22" s="598"/>
      <c r="C22" s="380"/>
      <c r="D22" s="40"/>
      <c r="E22" s="40"/>
      <c r="F22" s="40"/>
      <c r="G22" s="40"/>
      <c r="H22" s="40"/>
      <c r="I22" s="40"/>
      <c r="J22" s="40"/>
      <c r="K22" s="40"/>
      <c r="L22" s="40"/>
      <c r="M22" s="40"/>
      <c r="N22" s="40"/>
      <c r="O22" s="41">
        <f t="shared" ref="O22:O25" si="0">SUM(C22:N22)</f>
        <v>0</v>
      </c>
      <c r="P22" s="42"/>
      <c r="Q22" s="300">
        <v>2217335062</v>
      </c>
      <c r="R22" s="301">
        <v>22500000</v>
      </c>
      <c r="S22" s="301"/>
      <c r="T22" s="301">
        <v>19980500</v>
      </c>
      <c r="U22" s="301">
        <f>2310000+2000000+3270000000+14000000+22500000+679819862</f>
        <v>3990629862</v>
      </c>
      <c r="V22" s="301">
        <f>9479506+1000000</f>
        <v>10479506</v>
      </c>
      <c r="W22" s="301"/>
      <c r="X22" s="301">
        <f>35000000+37500000</f>
        <v>72500000</v>
      </c>
      <c r="Y22" s="301"/>
      <c r="Z22" s="301"/>
      <c r="AA22" s="301"/>
      <c r="AB22" s="301"/>
      <c r="AC22" s="302">
        <f t="shared" ref="AC22:AC23" si="1">SUM(Q22:AB22)</f>
        <v>6333424930</v>
      </c>
      <c r="AD22" s="43"/>
      <c r="AE22" s="34"/>
      <c r="AF22" s="34"/>
      <c r="AG22" s="1"/>
      <c r="AH22" s="1"/>
      <c r="AI22" s="1"/>
      <c r="AJ22" s="1"/>
      <c r="AK22" s="1"/>
      <c r="AL22" s="1"/>
      <c r="AM22" s="1"/>
      <c r="AN22" s="1"/>
      <c r="AO22" s="1"/>
    </row>
    <row r="23" spans="1:41" ht="31.5" customHeight="1">
      <c r="A23" s="599" t="s">
        <v>43</v>
      </c>
      <c r="B23" s="600"/>
      <c r="C23" s="381"/>
      <c r="D23" s="45"/>
      <c r="E23" s="45"/>
      <c r="F23" s="45"/>
      <c r="G23" s="45"/>
      <c r="H23" s="45"/>
      <c r="I23" s="45"/>
      <c r="J23" s="45"/>
      <c r="K23" s="45"/>
      <c r="L23" s="45"/>
      <c r="M23" s="45"/>
      <c r="N23" s="45"/>
      <c r="O23" s="46">
        <f t="shared" si="0"/>
        <v>0</v>
      </c>
      <c r="P23" s="47" t="str">
        <f>IFERROR(O23/(SUMIF(C23:N23,"&gt;0",C22:N22))," ")</f>
        <v xml:space="preserve"> </v>
      </c>
      <c r="Q23" s="311">
        <v>2217335062</v>
      </c>
      <c r="R23" s="306"/>
      <c r="S23" s="306"/>
      <c r="T23" s="306"/>
      <c r="U23" s="306"/>
      <c r="V23" s="306"/>
      <c r="W23" s="306"/>
      <c r="X23" s="306"/>
      <c r="Y23" s="306"/>
      <c r="Z23" s="306"/>
      <c r="AA23" s="306"/>
      <c r="AB23" s="306"/>
      <c r="AC23" s="305">
        <f t="shared" si="1"/>
        <v>2217335062</v>
      </c>
      <c r="AD23" s="49">
        <f>IFERROR(AC23/(SUMIF(Q23:AB23,"&gt;0",Q22:AB22))," ")</f>
        <v>1</v>
      </c>
      <c r="AE23" s="34"/>
      <c r="AF23" s="34"/>
      <c r="AG23" s="1"/>
      <c r="AH23" s="1"/>
      <c r="AI23" s="1"/>
      <c r="AJ23" s="1"/>
      <c r="AK23" s="1"/>
      <c r="AL23" s="1"/>
      <c r="AM23" s="1"/>
      <c r="AN23" s="1"/>
      <c r="AO23" s="1"/>
    </row>
    <row r="24" spans="1:41" ht="31.5" customHeight="1">
      <c r="A24" s="599" t="s">
        <v>44</v>
      </c>
      <c r="B24" s="600"/>
      <c r="C24" s="382"/>
      <c r="D24" s="51">
        <v>1036406616</v>
      </c>
      <c r="E24" s="51">
        <v>1680282732</v>
      </c>
      <c r="F24" s="51">
        <v>1080048922</v>
      </c>
      <c r="G24" s="51">
        <v>928996922</v>
      </c>
      <c r="H24" s="51"/>
      <c r="I24" s="51"/>
      <c r="J24" s="51"/>
      <c r="K24" s="51"/>
      <c r="L24" s="51"/>
      <c r="M24" s="51"/>
      <c r="N24" s="51"/>
      <c r="O24" s="46">
        <f t="shared" si="0"/>
        <v>4725735192</v>
      </c>
      <c r="P24" s="52"/>
      <c r="Q24" s="312"/>
      <c r="R24" s="306">
        <v>96865667</v>
      </c>
      <c r="S24" s="306">
        <v>196200867</v>
      </c>
      <c r="T24" s="306">
        <v>199575867</v>
      </c>
      <c r="U24" s="306">
        <v>198420923</v>
      </c>
      <c r="V24" s="306">
        <v>202767589</v>
      </c>
      <c r="W24" s="306">
        <v>1355778641</v>
      </c>
      <c r="X24" s="306">
        <v>685895446</v>
      </c>
      <c r="Y24" s="306">
        <v>672438285</v>
      </c>
      <c r="Z24" s="306">
        <v>663395446</v>
      </c>
      <c r="AA24" s="306">
        <v>693833779</v>
      </c>
      <c r="AB24" s="306">
        <f>682895446+685356974</f>
        <v>1368252420</v>
      </c>
      <c r="AC24" s="305">
        <f>SUM(R24:AB24)</f>
        <v>6333424930</v>
      </c>
      <c r="AD24" s="49"/>
      <c r="AE24" s="34"/>
      <c r="AF24" s="34"/>
      <c r="AG24" s="1"/>
      <c r="AH24" s="1"/>
      <c r="AI24" s="1"/>
      <c r="AJ24" s="1"/>
      <c r="AK24" s="1"/>
      <c r="AL24" s="1"/>
      <c r="AM24" s="1"/>
      <c r="AN24" s="1"/>
      <c r="AO24" s="1"/>
    </row>
    <row r="25" spans="1:41" ht="31.5" customHeight="1" thickBot="1">
      <c r="A25" s="601" t="s">
        <v>45</v>
      </c>
      <c r="B25" s="602"/>
      <c r="C25" s="383">
        <v>67254654</v>
      </c>
      <c r="D25" s="54"/>
      <c r="E25" s="54"/>
      <c r="F25" s="54"/>
      <c r="G25" s="55"/>
      <c r="H25" s="55"/>
      <c r="I25" s="55"/>
      <c r="J25" s="55"/>
      <c r="K25" s="55"/>
      <c r="L25" s="55"/>
      <c r="M25" s="55"/>
      <c r="N25" s="55"/>
      <c r="O25" s="56">
        <f t="shared" si="0"/>
        <v>67254654</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thickBo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58.5" customHeight="1">
      <c r="A30" s="61" t="s">
        <v>110</v>
      </c>
      <c r="B30" s="533" t="s">
        <v>166</v>
      </c>
      <c r="C30" s="518"/>
      <c r="D30" s="63"/>
      <c r="E30" s="63"/>
      <c r="F30" s="114"/>
      <c r="G30" s="63"/>
      <c r="H30" s="63"/>
      <c r="I30" s="63"/>
      <c r="J30" s="63"/>
      <c r="K30" s="63"/>
      <c r="L30" s="63"/>
      <c r="M30" s="63"/>
      <c r="N30" s="63"/>
      <c r="O30" s="63"/>
      <c r="P30" s="64">
        <f>SUM(D30:O30)</f>
        <v>0</v>
      </c>
      <c r="Q30" s="579"/>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114" customHeight="1">
      <c r="A34" s="529" t="s">
        <v>110</v>
      </c>
      <c r="B34" s="531">
        <f>SUM(B38,B40,B42)</f>
        <v>0.15000000000000002</v>
      </c>
      <c r="C34" s="66" t="s">
        <v>62</v>
      </c>
      <c r="D34" s="131">
        <f t="shared" ref="D34:O35" si="2">+D47*$W$17</f>
        <v>1.9552E-2</v>
      </c>
      <c r="E34" s="131">
        <f t="shared" si="2"/>
        <v>1.9552E-2</v>
      </c>
      <c r="F34" s="131">
        <f t="shared" si="2"/>
        <v>1.9552E-2</v>
      </c>
      <c r="G34" s="131">
        <f t="shared" si="2"/>
        <v>1.7774222222222219E-2</v>
      </c>
      <c r="H34" s="131">
        <f t="shared" si="2"/>
        <v>2.4886222222222223E-2</v>
      </c>
      <c r="I34" s="131">
        <f t="shared" si="2"/>
        <v>2.4886222222222223E-2</v>
      </c>
      <c r="J34" s="131">
        <f t="shared" si="2"/>
        <v>2.4886222222222223E-2</v>
      </c>
      <c r="K34" s="131">
        <f t="shared" si="2"/>
        <v>1.7774222222222219E-2</v>
      </c>
      <c r="L34" s="131">
        <f t="shared" si="2"/>
        <v>1.7774222222222219E-2</v>
      </c>
      <c r="M34" s="131">
        <f t="shared" si="2"/>
        <v>1.7774222222222219E-2</v>
      </c>
      <c r="N34" s="131">
        <f t="shared" si="2"/>
        <v>1.7774222222222219E-2</v>
      </c>
      <c r="O34" s="131">
        <f t="shared" si="2"/>
        <v>1.7774222222222219E-2</v>
      </c>
      <c r="P34" s="123">
        <f>SUM(D34:O34)</f>
        <v>0.23995999999999998</v>
      </c>
      <c r="Q34" s="494" t="s">
        <v>540</v>
      </c>
      <c r="R34" s="614"/>
      <c r="S34" s="614"/>
      <c r="T34" s="614"/>
      <c r="U34" s="614"/>
      <c r="V34" s="615"/>
      <c r="W34" s="547"/>
      <c r="X34" s="509"/>
      <c r="Y34" s="509"/>
      <c r="Z34" s="518"/>
      <c r="AA34" s="547"/>
      <c r="AB34" s="509"/>
      <c r="AC34" s="509"/>
      <c r="AD34" s="510"/>
      <c r="AE34" s="1"/>
      <c r="AF34" s="1"/>
      <c r="AG34" s="65"/>
      <c r="AH34" s="65"/>
      <c r="AI34" s="65"/>
      <c r="AJ34" s="65"/>
      <c r="AK34" s="65"/>
      <c r="AL34" s="65"/>
      <c r="AM34" s="65"/>
      <c r="AN34" s="65"/>
      <c r="AO34" s="65"/>
    </row>
    <row r="35" spans="1:41" ht="119.45" customHeight="1" thickBot="1">
      <c r="A35" s="530"/>
      <c r="B35" s="532"/>
      <c r="C35" s="69" t="s">
        <v>66</v>
      </c>
      <c r="D35" s="331">
        <f t="shared" si="2"/>
        <v>1.9199999999999998E-2</v>
      </c>
      <c r="E35" s="257" t="e">
        <f t="shared" ref="E35:O35" si="3">+E48</f>
        <v>#DIV/0!</v>
      </c>
      <c r="F35" s="257" t="e">
        <f t="shared" si="3"/>
        <v>#DIV/0!</v>
      </c>
      <c r="G35" s="257" t="e">
        <f t="shared" si="3"/>
        <v>#DIV/0!</v>
      </c>
      <c r="H35" s="257" t="e">
        <f t="shared" si="3"/>
        <v>#DIV/0!</v>
      </c>
      <c r="I35" s="257" t="e">
        <f t="shared" si="3"/>
        <v>#DIV/0!</v>
      </c>
      <c r="J35" s="257" t="e">
        <f t="shared" si="3"/>
        <v>#DIV/0!</v>
      </c>
      <c r="K35" s="257" t="e">
        <f t="shared" si="3"/>
        <v>#DIV/0!</v>
      </c>
      <c r="L35" s="257" t="e">
        <f t="shared" si="3"/>
        <v>#DIV/0!</v>
      </c>
      <c r="M35" s="257" t="e">
        <f t="shared" si="3"/>
        <v>#DIV/0!</v>
      </c>
      <c r="N35" s="257" t="e">
        <f t="shared" si="3"/>
        <v>#DIV/0!</v>
      </c>
      <c r="O35" s="257" t="e">
        <f t="shared" si="3"/>
        <v>#DIV/0!</v>
      </c>
      <c r="P35" s="365">
        <f>+D35</f>
        <v>1.9199999999999998E-2</v>
      </c>
      <c r="Q35" s="497"/>
      <c r="R35" s="616"/>
      <c r="S35" s="616"/>
      <c r="T35" s="616"/>
      <c r="U35" s="616"/>
      <c r="V35" s="499"/>
      <c r="W35" s="548"/>
      <c r="X35" s="443"/>
      <c r="Y35" s="443"/>
      <c r="Z35" s="554"/>
      <c r="AA35" s="548"/>
      <c r="AB35" s="443"/>
      <c r="AC35" s="443"/>
      <c r="AD35" s="444"/>
      <c r="AE35" s="70"/>
      <c r="AF35" s="1"/>
      <c r="AG35" s="65"/>
      <c r="AH35" s="65"/>
      <c r="AI35" s="65"/>
      <c r="AJ35" s="65"/>
      <c r="AK35" s="65"/>
      <c r="AL35" s="65"/>
      <c r="AM35" s="65"/>
      <c r="AN35" s="65"/>
      <c r="AO35" s="65"/>
    </row>
    <row r="36" spans="1:41" ht="33.75"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33.75"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62.1" customHeight="1">
      <c r="A38" s="535" t="s">
        <v>555</v>
      </c>
      <c r="B38" s="539">
        <v>0.05</v>
      </c>
      <c r="C38" s="66" t="s">
        <v>62</v>
      </c>
      <c r="D38" s="72">
        <v>0.1</v>
      </c>
      <c r="E38" s="72">
        <v>0.1</v>
      </c>
      <c r="F38" s="72">
        <v>0.1</v>
      </c>
      <c r="G38" s="72">
        <v>7.7777777777777779E-2</v>
      </c>
      <c r="H38" s="72">
        <v>7.7777777777777779E-2</v>
      </c>
      <c r="I38" s="72">
        <v>7.7777777777777779E-2</v>
      </c>
      <c r="J38" s="72">
        <v>7.7777777777777779E-2</v>
      </c>
      <c r="K38" s="72">
        <v>7.7777777777777779E-2</v>
      </c>
      <c r="L38" s="72">
        <v>7.7777777777777779E-2</v>
      </c>
      <c r="M38" s="72">
        <v>7.7777777777777779E-2</v>
      </c>
      <c r="N38" s="72">
        <v>7.7777777777777779E-2</v>
      </c>
      <c r="O38" s="72">
        <v>7.7777777777777779E-2</v>
      </c>
      <c r="P38" s="73">
        <f t="shared" ref="P38:P43" si="4">SUM(D38:O38)</f>
        <v>0.99999999999999978</v>
      </c>
      <c r="Q38" s="494" t="s">
        <v>545</v>
      </c>
      <c r="R38" s="509"/>
      <c r="S38" s="509"/>
      <c r="T38" s="509"/>
      <c r="U38" s="509"/>
      <c r="V38" s="509"/>
      <c r="W38" s="509"/>
      <c r="X38" s="509"/>
      <c r="Y38" s="509"/>
      <c r="Z38" s="509"/>
      <c r="AA38" s="509"/>
      <c r="AB38" s="509"/>
      <c r="AC38" s="509"/>
      <c r="AD38" s="510"/>
      <c r="AE38" s="74"/>
      <c r="AF38" s="1"/>
      <c r="AG38" s="75"/>
      <c r="AH38" s="75"/>
      <c r="AI38" s="75"/>
      <c r="AJ38" s="75"/>
      <c r="AK38" s="75"/>
      <c r="AL38" s="75"/>
      <c r="AM38" s="75"/>
      <c r="AN38" s="75"/>
      <c r="AO38" s="75"/>
    </row>
    <row r="39" spans="1:41" ht="62.1" customHeight="1">
      <c r="A39" s="528"/>
      <c r="B39" s="507"/>
      <c r="C39" s="76" t="s">
        <v>66</v>
      </c>
      <c r="D39" s="322">
        <v>0.1</v>
      </c>
      <c r="E39" s="77"/>
      <c r="F39" s="77"/>
      <c r="G39" s="77"/>
      <c r="H39" s="77"/>
      <c r="I39" s="77"/>
      <c r="J39" s="77"/>
      <c r="K39" s="77"/>
      <c r="L39" s="77"/>
      <c r="M39" s="77"/>
      <c r="N39" s="77"/>
      <c r="O39" s="77"/>
      <c r="P39" s="78">
        <f t="shared" si="4"/>
        <v>0.1</v>
      </c>
      <c r="Q39" s="543"/>
      <c r="R39" s="611"/>
      <c r="S39" s="611"/>
      <c r="T39" s="611"/>
      <c r="U39" s="611"/>
      <c r="V39" s="611"/>
      <c r="W39" s="611"/>
      <c r="X39" s="611"/>
      <c r="Y39" s="611"/>
      <c r="Z39" s="611"/>
      <c r="AA39" s="611"/>
      <c r="AB39" s="611"/>
      <c r="AC39" s="611"/>
      <c r="AD39" s="441"/>
      <c r="AE39" s="74"/>
      <c r="AF39" s="1"/>
      <c r="AG39" s="1"/>
      <c r="AH39" s="1"/>
      <c r="AI39" s="1"/>
      <c r="AJ39" s="1"/>
      <c r="AK39" s="1"/>
      <c r="AL39" s="1"/>
      <c r="AM39" s="1"/>
      <c r="AN39" s="1"/>
      <c r="AO39" s="1"/>
    </row>
    <row r="40" spans="1:41" ht="38.450000000000003" customHeight="1">
      <c r="A40" s="535" t="s">
        <v>556</v>
      </c>
      <c r="B40" s="539">
        <v>0.05</v>
      </c>
      <c r="C40" s="79" t="s">
        <v>62</v>
      </c>
      <c r="D40" s="72">
        <v>8.3299999999999999E-2</v>
      </c>
      <c r="E40" s="72">
        <v>8.3299999999999999E-2</v>
      </c>
      <c r="F40" s="72">
        <v>8.3299999999999999E-2</v>
      </c>
      <c r="G40" s="72">
        <v>8.3299999999999999E-2</v>
      </c>
      <c r="H40" s="72">
        <v>8.3299999999999999E-2</v>
      </c>
      <c r="I40" s="72">
        <v>8.3299999999999999E-2</v>
      </c>
      <c r="J40" s="72">
        <v>8.3299999999999999E-2</v>
      </c>
      <c r="K40" s="72">
        <v>8.3299999999999999E-2</v>
      </c>
      <c r="L40" s="72">
        <v>8.3299999999999999E-2</v>
      </c>
      <c r="M40" s="72">
        <v>8.3299999999999999E-2</v>
      </c>
      <c r="N40" s="72">
        <v>8.3299999999999999E-2</v>
      </c>
      <c r="O40" s="72">
        <v>8.3299999999999999E-2</v>
      </c>
      <c r="P40" s="78">
        <f t="shared" si="4"/>
        <v>0.99960000000000016</v>
      </c>
      <c r="Q40" s="619" t="s">
        <v>613</v>
      </c>
      <c r="R40" s="620"/>
      <c r="S40" s="620"/>
      <c r="T40" s="620"/>
      <c r="U40" s="620"/>
      <c r="V40" s="620"/>
      <c r="W40" s="620"/>
      <c r="X40" s="620"/>
      <c r="Y40" s="620"/>
      <c r="Z40" s="620"/>
      <c r="AA40" s="620"/>
      <c r="AB40" s="620"/>
      <c r="AC40" s="620"/>
      <c r="AD40" s="621"/>
      <c r="AE40" s="74"/>
      <c r="AF40" s="1"/>
      <c r="AG40" s="1"/>
      <c r="AH40" s="1"/>
      <c r="AI40" s="1"/>
      <c r="AJ40" s="1"/>
      <c r="AK40" s="1"/>
      <c r="AL40" s="1"/>
      <c r="AM40" s="1"/>
      <c r="AN40" s="1"/>
      <c r="AO40" s="1"/>
    </row>
    <row r="41" spans="1:41" ht="38.450000000000003" customHeight="1">
      <c r="A41" s="528"/>
      <c r="B41" s="507"/>
      <c r="C41" s="76" t="s">
        <v>66</v>
      </c>
      <c r="D41" s="322">
        <v>0.08</v>
      </c>
      <c r="E41" s="77"/>
      <c r="F41" s="77"/>
      <c r="G41" s="77"/>
      <c r="H41" s="77"/>
      <c r="I41" s="77"/>
      <c r="J41" s="77"/>
      <c r="K41" s="77"/>
      <c r="L41" s="80"/>
      <c r="M41" s="80"/>
      <c r="N41" s="80"/>
      <c r="O41" s="80"/>
      <c r="P41" s="78">
        <f t="shared" si="4"/>
        <v>0.08</v>
      </c>
      <c r="Q41" s="622"/>
      <c r="R41" s="623"/>
      <c r="S41" s="623"/>
      <c r="T41" s="623"/>
      <c r="U41" s="623"/>
      <c r="V41" s="623"/>
      <c r="W41" s="623"/>
      <c r="X41" s="623"/>
      <c r="Y41" s="623"/>
      <c r="Z41" s="623"/>
      <c r="AA41" s="623"/>
      <c r="AB41" s="623"/>
      <c r="AC41" s="623"/>
      <c r="AD41" s="624"/>
      <c r="AE41" s="74"/>
      <c r="AF41" s="1"/>
      <c r="AG41" s="1"/>
      <c r="AH41" s="1"/>
      <c r="AI41" s="1"/>
      <c r="AJ41" s="1"/>
      <c r="AK41" s="1"/>
      <c r="AL41" s="1"/>
      <c r="AM41" s="1"/>
      <c r="AN41" s="1"/>
      <c r="AO41" s="1"/>
    </row>
    <row r="42" spans="1:41" ht="45.6" customHeight="1">
      <c r="A42" s="535" t="s">
        <v>557</v>
      </c>
      <c r="B42" s="539">
        <v>0.05</v>
      </c>
      <c r="C42" s="79" t="s">
        <v>62</v>
      </c>
      <c r="D42" s="72">
        <v>6.1100000000000002E-2</v>
      </c>
      <c r="E42" s="72">
        <v>6.1100000000000002E-2</v>
      </c>
      <c r="F42" s="72">
        <v>6.1100000000000002E-2</v>
      </c>
      <c r="G42" s="72">
        <v>6.1100000000000002E-2</v>
      </c>
      <c r="H42" s="72">
        <v>0.15</v>
      </c>
      <c r="I42" s="72">
        <v>0.15</v>
      </c>
      <c r="J42" s="72">
        <v>0.15</v>
      </c>
      <c r="K42" s="72">
        <v>6.1100000000000002E-2</v>
      </c>
      <c r="L42" s="72">
        <v>6.1100000000000002E-2</v>
      </c>
      <c r="M42" s="72">
        <v>6.1100000000000002E-2</v>
      </c>
      <c r="N42" s="72">
        <v>6.1100000000000002E-2</v>
      </c>
      <c r="O42" s="72">
        <v>6.1100000000000002E-2</v>
      </c>
      <c r="P42" s="78">
        <f t="shared" si="4"/>
        <v>0.99990000000000023</v>
      </c>
      <c r="Q42" s="605" t="s">
        <v>601</v>
      </c>
      <c r="R42" s="606"/>
      <c r="S42" s="606"/>
      <c r="T42" s="606"/>
      <c r="U42" s="606"/>
      <c r="V42" s="606"/>
      <c r="W42" s="606"/>
      <c r="X42" s="606"/>
      <c r="Y42" s="606"/>
      <c r="Z42" s="606"/>
      <c r="AA42" s="606"/>
      <c r="AB42" s="606"/>
      <c r="AC42" s="606"/>
      <c r="AD42" s="606"/>
      <c r="AE42" s="74"/>
      <c r="AF42" s="1"/>
      <c r="AG42" s="1"/>
      <c r="AH42" s="1"/>
      <c r="AI42" s="1"/>
      <c r="AJ42" s="1"/>
      <c r="AK42" s="1"/>
      <c r="AL42" s="1"/>
      <c r="AM42" s="1"/>
      <c r="AN42" s="1"/>
      <c r="AO42" s="1"/>
    </row>
    <row r="43" spans="1:41" ht="45.6" customHeight="1">
      <c r="A43" s="528"/>
      <c r="B43" s="507"/>
      <c r="C43" s="76" t="s">
        <v>66</v>
      </c>
      <c r="D43" s="322">
        <v>0.06</v>
      </c>
      <c r="E43" s="77"/>
      <c r="F43" s="77"/>
      <c r="G43" s="77"/>
      <c r="H43" s="77"/>
      <c r="I43" s="77"/>
      <c r="J43" s="77"/>
      <c r="K43" s="77"/>
      <c r="L43" s="80"/>
      <c r="M43" s="80"/>
      <c r="N43" s="80"/>
      <c r="O43" s="80"/>
      <c r="P43" s="78">
        <f t="shared" si="4"/>
        <v>0.06</v>
      </c>
      <c r="Q43" s="606"/>
      <c r="R43" s="606"/>
      <c r="S43" s="606"/>
      <c r="T43" s="606"/>
      <c r="U43" s="606"/>
      <c r="V43" s="606"/>
      <c r="W43" s="606"/>
      <c r="X43" s="606"/>
      <c r="Y43" s="606"/>
      <c r="Z43" s="606"/>
      <c r="AA43" s="606"/>
      <c r="AB43" s="606"/>
      <c r="AC43" s="606"/>
      <c r="AD43" s="606"/>
      <c r="AE43" s="74"/>
      <c r="AF43" s="1"/>
      <c r="AG43" s="1"/>
      <c r="AH43" s="1"/>
      <c r="AI43" s="1"/>
      <c r="AJ43" s="1"/>
      <c r="AK43" s="1"/>
      <c r="AL43" s="1"/>
      <c r="AM43" s="1"/>
      <c r="AN43" s="1"/>
      <c r="AO43" s="1"/>
    </row>
    <row r="44" spans="1:41" ht="14.25" customHeight="1">
      <c r="A44" s="1" t="s">
        <v>87</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371">
        <f>+LEN(Q34)</f>
        <v>1739</v>
      </c>
      <c r="R46" s="371">
        <f>+LEN(Q49)</f>
        <v>298</v>
      </c>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83" t="s">
        <v>88</v>
      </c>
      <c r="D47" s="116">
        <f t="shared" ref="D47:O47" si="5">AVERAGE(D38,D40,D42)</f>
        <v>8.1466666666666673E-2</v>
      </c>
      <c r="E47" s="116">
        <f t="shared" si="5"/>
        <v>8.1466666666666673E-2</v>
      </c>
      <c r="F47" s="116">
        <f t="shared" si="5"/>
        <v>8.1466666666666673E-2</v>
      </c>
      <c r="G47" s="116">
        <f t="shared" si="5"/>
        <v>7.4059259259259255E-2</v>
      </c>
      <c r="H47" s="116">
        <f t="shared" si="5"/>
        <v>0.1036925925925926</v>
      </c>
      <c r="I47" s="116">
        <f t="shared" si="5"/>
        <v>0.1036925925925926</v>
      </c>
      <c r="J47" s="116">
        <f t="shared" si="5"/>
        <v>0.1036925925925926</v>
      </c>
      <c r="K47" s="116">
        <f t="shared" si="5"/>
        <v>7.4059259259259255E-2</v>
      </c>
      <c r="L47" s="116">
        <f t="shared" si="5"/>
        <v>7.4059259259259255E-2</v>
      </c>
      <c r="M47" s="116">
        <f t="shared" si="5"/>
        <v>7.4059259259259255E-2</v>
      </c>
      <c r="N47" s="116">
        <f t="shared" si="5"/>
        <v>7.4059259259259255E-2</v>
      </c>
      <c r="O47" s="116">
        <f t="shared" si="5"/>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86" t="s">
        <v>89</v>
      </c>
      <c r="D48" s="117">
        <f t="shared" ref="D48:O48" si="6">AVERAGE(D39,D41,D43)</f>
        <v>0.08</v>
      </c>
      <c r="E48" s="117" t="e">
        <f t="shared" si="6"/>
        <v>#DIV/0!</v>
      </c>
      <c r="F48" s="117" t="e">
        <f t="shared" si="6"/>
        <v>#DIV/0!</v>
      </c>
      <c r="G48" s="117" t="e">
        <f t="shared" si="6"/>
        <v>#DIV/0!</v>
      </c>
      <c r="H48" s="117" t="e">
        <f t="shared" si="6"/>
        <v>#DIV/0!</v>
      </c>
      <c r="I48" s="117" t="e">
        <f t="shared" si="6"/>
        <v>#DIV/0!</v>
      </c>
      <c r="J48" s="117" t="e">
        <f t="shared" si="6"/>
        <v>#DIV/0!</v>
      </c>
      <c r="K48" s="117" t="e">
        <f t="shared" si="6"/>
        <v>#DIV/0!</v>
      </c>
      <c r="L48" s="117" t="e">
        <f t="shared" si="6"/>
        <v>#DIV/0!</v>
      </c>
      <c r="M48" s="117" t="e">
        <f t="shared" si="6"/>
        <v>#DIV/0!</v>
      </c>
      <c r="N48" s="117" t="e">
        <f t="shared" si="6"/>
        <v>#DIV/0!</v>
      </c>
      <c r="O48" s="117"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27" t="s">
        <v>111</v>
      </c>
      <c r="D49" s="127">
        <f>+D41</f>
        <v>0.08</v>
      </c>
      <c r="E49" s="127">
        <f t="shared" ref="E49:F49" si="7">+D49+E41</f>
        <v>0.08</v>
      </c>
      <c r="F49" s="127">
        <f t="shared" si="7"/>
        <v>0.08</v>
      </c>
      <c r="G49" s="127"/>
      <c r="H49" s="127"/>
      <c r="I49" s="127"/>
      <c r="J49" s="127"/>
      <c r="K49" s="127"/>
      <c r="L49" s="127"/>
      <c r="M49" s="127"/>
      <c r="N49" s="127"/>
      <c r="O49" s="127"/>
      <c r="P49" s="1"/>
      <c r="Q49" s="590" t="s">
        <v>614</v>
      </c>
      <c r="R49" s="590"/>
      <c r="S49" s="590"/>
      <c r="T49" s="590"/>
      <c r="U49" s="590"/>
      <c r="V49" s="590"/>
      <c r="W49" s="590"/>
      <c r="X49" s="590"/>
      <c r="Y49" s="590"/>
      <c r="Z49" s="590"/>
      <c r="AA49" s="590"/>
      <c r="AB49" s="590"/>
      <c r="AC49" s="590"/>
      <c r="AD49" s="590"/>
      <c r="AE49" s="1"/>
      <c r="AF49" s="1"/>
      <c r="AG49" s="1"/>
      <c r="AH49" s="1"/>
      <c r="AI49" s="1"/>
      <c r="AJ49" s="1"/>
      <c r="AK49" s="1"/>
      <c r="AL49" s="1"/>
      <c r="AM49" s="1"/>
      <c r="AN49" s="1"/>
      <c r="AO49" s="1"/>
    </row>
    <row r="50" spans="1:41" ht="28.5" customHeight="1">
      <c r="A50" s="1"/>
      <c r="B50" s="1"/>
      <c r="C50" s="132" t="s">
        <v>112</v>
      </c>
      <c r="D50" s="332"/>
      <c r="E50" s="127"/>
      <c r="F50" s="127"/>
      <c r="G50" s="127"/>
      <c r="H50" s="127"/>
      <c r="I50" s="127"/>
      <c r="J50" s="127"/>
      <c r="K50" s="127"/>
      <c r="L50" s="127"/>
      <c r="M50" s="127"/>
      <c r="N50" s="127"/>
      <c r="O50" s="127"/>
      <c r="P50" s="1"/>
      <c r="Q50" s="590"/>
      <c r="R50" s="590"/>
      <c r="S50" s="590"/>
      <c r="T50" s="590"/>
      <c r="U50" s="590"/>
      <c r="V50" s="590"/>
      <c r="W50" s="590"/>
      <c r="X50" s="590"/>
      <c r="Y50" s="590"/>
      <c r="Z50" s="590"/>
      <c r="AA50" s="590"/>
      <c r="AB50" s="590"/>
      <c r="AC50" s="590"/>
      <c r="AD50" s="590"/>
      <c r="AE50" s="1"/>
      <c r="AF50" s="1"/>
      <c r="AG50" s="1"/>
      <c r="AH50" s="1"/>
      <c r="AI50" s="1"/>
      <c r="AJ50" s="1"/>
      <c r="AK50" s="1"/>
      <c r="AL50" s="1"/>
      <c r="AM50" s="1"/>
      <c r="AN50" s="1"/>
      <c r="AO50" s="1"/>
    </row>
    <row r="51" spans="1:41" ht="28.5" customHeight="1">
      <c r="A51" s="1"/>
      <c r="B51" s="1"/>
      <c r="C51" s="133" t="s">
        <v>113</v>
      </c>
      <c r="D51" s="333"/>
      <c r="E51" s="129"/>
      <c r="F51" s="129"/>
      <c r="G51" s="129"/>
      <c r="H51" s="129"/>
      <c r="I51" s="129"/>
      <c r="J51" s="129"/>
      <c r="K51" s="129"/>
      <c r="L51" s="129"/>
      <c r="M51" s="129"/>
      <c r="N51" s="129"/>
      <c r="O51" s="129"/>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133" t="s">
        <v>114</v>
      </c>
      <c r="D52" s="333"/>
      <c r="E52" s="129"/>
      <c r="F52" s="129"/>
      <c r="G52" s="129"/>
      <c r="H52" s="129"/>
      <c r="I52" s="129"/>
      <c r="J52" s="129"/>
      <c r="K52" s="129"/>
      <c r="L52" s="129"/>
      <c r="M52" s="129"/>
      <c r="N52" s="129"/>
      <c r="O52" s="12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8.5" customHeight="1">
      <c r="A53" s="1"/>
      <c r="B53" s="1"/>
      <c r="C53" s="132" t="s">
        <v>115</v>
      </c>
      <c r="D53" s="334"/>
      <c r="E53" s="130"/>
      <c r="F53" s="130"/>
      <c r="G53" s="130"/>
      <c r="H53" s="130"/>
      <c r="I53" s="130"/>
      <c r="J53" s="130"/>
      <c r="K53" s="130"/>
      <c r="L53" s="130"/>
      <c r="M53" s="130"/>
      <c r="N53" s="130"/>
      <c r="O53" s="130"/>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28.5" customHeight="1">
      <c r="A54" s="1"/>
      <c r="B54" s="1"/>
      <c r="C54" s="132" t="s">
        <v>116</v>
      </c>
      <c r="D54" s="326"/>
      <c r="E54" s="130"/>
      <c r="F54" s="130"/>
      <c r="G54" s="130"/>
      <c r="H54" s="127"/>
      <c r="I54" s="130"/>
      <c r="J54" s="130"/>
      <c r="K54" s="130"/>
      <c r="L54" s="130"/>
      <c r="M54" s="130"/>
      <c r="N54" s="130"/>
      <c r="O54" s="130"/>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W34 AA34 Q38 Q40 Q42 Q49" xr:uid="{00000000-0002-0000-0400-000001000000}">
      <formula1>LTE(LEN(Q34),(2000))</formula1>
    </dataValidation>
    <dataValidation type="list" allowBlank="1" showInputMessage="1" showErrorMessage="1" prompt=" - " sqref="C7" xr:uid="{00000000-0002-0000-0400-000002000000}">
      <formula1>$C$21:$N$21</formula1>
    </dataValidation>
  </dataValidations>
  <pageMargins left="0.7" right="0.7" top="0.75" bottom="0.75" header="0" footer="0"/>
  <pageSetup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topLeftCell="A31" zoomScale="55" zoomScaleNormal="55" workbookViewId="0">
      <selection activeCell="Q34" sqref="Q34:V35"/>
    </sheetView>
  </sheetViews>
  <sheetFormatPr baseColWidth="10" defaultColWidth="14.42578125" defaultRowHeight="15" customHeight="1"/>
  <cols>
    <col min="1" max="1" width="38.42578125" customWidth="1"/>
    <col min="2" max="3" width="15.42578125" customWidth="1"/>
    <col min="4" max="14" width="12.85546875" customWidth="1"/>
    <col min="15" max="15" width="13.5703125" bestFit="1" customWidth="1"/>
    <col min="16" max="16" width="14.42578125" customWidth="1"/>
    <col min="17" max="20" width="15" customWidth="1"/>
    <col min="21" max="22" width="18.140625" customWidth="1"/>
    <col min="23" max="28" width="15" customWidth="1"/>
    <col min="29" max="29" width="16.42578125" bestFit="1"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48.75"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117</v>
      </c>
      <c r="D17" s="453"/>
      <c r="E17" s="453"/>
      <c r="F17" s="453"/>
      <c r="G17" s="453"/>
      <c r="H17" s="453"/>
      <c r="I17" s="453"/>
      <c r="J17" s="453"/>
      <c r="K17" s="453"/>
      <c r="L17" s="453"/>
      <c r="M17" s="453"/>
      <c r="N17" s="453"/>
      <c r="O17" s="453"/>
      <c r="P17" s="453"/>
      <c r="Q17" s="454"/>
      <c r="R17" s="452" t="s">
        <v>23</v>
      </c>
      <c r="S17" s="453"/>
      <c r="T17" s="453"/>
      <c r="U17" s="453"/>
      <c r="V17" s="454"/>
      <c r="W17" s="522">
        <v>1</v>
      </c>
      <c r="X17" s="454"/>
      <c r="Y17" s="523" t="s">
        <v>24</v>
      </c>
      <c r="Z17" s="453"/>
      <c r="AA17" s="453"/>
      <c r="AB17" s="454"/>
      <c r="AC17" s="479">
        <f>+B34</f>
        <v>0.1</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thickBot="1">
      <c r="A22" s="520" t="s">
        <v>42</v>
      </c>
      <c r="B22" s="521"/>
      <c r="C22" s="39"/>
      <c r="D22" s="40"/>
      <c r="E22" s="40"/>
      <c r="F22" s="40"/>
      <c r="G22" s="40"/>
      <c r="H22" s="40"/>
      <c r="I22" s="40"/>
      <c r="J22" s="40"/>
      <c r="K22" s="40"/>
      <c r="L22" s="40"/>
      <c r="M22" s="40"/>
      <c r="N22" s="40"/>
      <c r="O22" s="41">
        <f t="shared" ref="O22:O25" si="0">SUM(C22:N22)</f>
        <v>0</v>
      </c>
      <c r="P22" s="42"/>
      <c r="Q22" s="300">
        <v>345554764</v>
      </c>
      <c r="R22" s="301"/>
      <c r="S22" s="301"/>
      <c r="T22" s="301"/>
      <c r="U22" s="301">
        <v>14000000</v>
      </c>
      <c r="V22" s="301"/>
      <c r="W22" s="301"/>
      <c r="X22" s="301">
        <v>35000000</v>
      </c>
      <c r="Y22" s="301"/>
      <c r="Z22" s="301"/>
      <c r="AA22" s="301"/>
      <c r="AB22" s="301"/>
      <c r="AC22" s="41">
        <f t="shared" ref="AC22:AC23" si="1">SUM(Q22:AB22)</f>
        <v>394554764</v>
      </c>
      <c r="AD22" s="43"/>
      <c r="AE22" s="34"/>
      <c r="AF22" s="34"/>
      <c r="AG22" s="1"/>
      <c r="AH22" s="1"/>
      <c r="AI22" s="1"/>
      <c r="AJ22" s="1"/>
      <c r="AK22" s="1"/>
      <c r="AL22" s="1"/>
      <c r="AM22" s="1"/>
      <c r="AN22" s="1"/>
      <c r="AO22" s="1"/>
    </row>
    <row r="23" spans="1:41" ht="31.5" customHeight="1">
      <c r="A23" s="514" t="s">
        <v>43</v>
      </c>
      <c r="B23" s="515"/>
      <c r="C23" s="44"/>
      <c r="D23" s="45"/>
      <c r="E23" s="45"/>
      <c r="F23" s="45"/>
      <c r="G23" s="45"/>
      <c r="H23" s="45"/>
      <c r="I23" s="45"/>
      <c r="J23" s="45"/>
      <c r="K23" s="45"/>
      <c r="L23" s="45"/>
      <c r="M23" s="45"/>
      <c r="N23" s="45"/>
      <c r="O23" s="46">
        <f t="shared" si="0"/>
        <v>0</v>
      </c>
      <c r="P23" s="47" t="str">
        <f>IFERROR(O23/(SUMIF(C23:N23,"&gt;0",C22:N22))," ")</f>
        <v xml:space="preserve"> </v>
      </c>
      <c r="Q23" s="300">
        <v>345554764</v>
      </c>
      <c r="R23" s="304"/>
      <c r="S23" s="304"/>
      <c r="T23" s="304"/>
      <c r="U23" s="304"/>
      <c r="V23" s="304"/>
      <c r="W23" s="304"/>
      <c r="X23" s="304"/>
      <c r="Y23" s="304"/>
      <c r="Z23" s="304"/>
      <c r="AA23" s="304"/>
      <c r="AB23" s="304"/>
      <c r="AC23" s="46">
        <f t="shared" si="1"/>
        <v>345554764</v>
      </c>
      <c r="AD23" s="49">
        <f>IFERROR(AC23/(SUMIF(Q23:AB23,"&gt;0",Q22:AB22))," ")</f>
        <v>1</v>
      </c>
      <c r="AE23" s="34"/>
      <c r="AF23" s="34"/>
      <c r="AG23" s="1"/>
      <c r="AH23" s="1"/>
      <c r="AI23" s="1"/>
      <c r="AJ23" s="1"/>
      <c r="AK23" s="1"/>
      <c r="AL23" s="1"/>
      <c r="AM23" s="1"/>
      <c r="AN23" s="1"/>
      <c r="AO23" s="1"/>
    </row>
    <row r="24" spans="1:41" ht="31.5" customHeight="1">
      <c r="A24" s="514" t="s">
        <v>44</v>
      </c>
      <c r="B24" s="515"/>
      <c r="C24" s="50"/>
      <c r="D24" s="51">
        <v>3000667</v>
      </c>
      <c r="E24" s="51">
        <v>179378</v>
      </c>
      <c r="F24" s="51"/>
      <c r="G24" s="46"/>
      <c r="H24" s="46"/>
      <c r="I24" s="46"/>
      <c r="J24" s="46"/>
      <c r="K24" s="46"/>
      <c r="L24" s="46"/>
      <c r="M24" s="46"/>
      <c r="N24" s="46"/>
      <c r="O24" s="46">
        <f t="shared" si="0"/>
        <v>3180045</v>
      </c>
      <c r="P24" s="52"/>
      <c r="Q24" s="309"/>
      <c r="R24" s="306">
        <v>11837729.999999998</v>
      </c>
      <c r="S24" s="306">
        <v>30358700</v>
      </c>
      <c r="T24" s="306">
        <v>30358700</v>
      </c>
      <c r="U24" s="306">
        <v>30358700</v>
      </c>
      <c r="V24" s="306">
        <v>30358700</v>
      </c>
      <c r="W24" s="306">
        <v>44358700</v>
      </c>
      <c r="X24" s="306">
        <v>30358700</v>
      </c>
      <c r="Y24" s="306">
        <v>30358700</v>
      </c>
      <c r="Z24" s="306">
        <v>30358700</v>
      </c>
      <c r="AA24" s="306">
        <v>37358700</v>
      </c>
      <c r="AB24" s="306">
        <f>37358700+51130034</f>
        <v>88488734</v>
      </c>
      <c r="AC24" s="46">
        <f>SUM(R24:AB24)</f>
        <v>394554764</v>
      </c>
      <c r="AD24" s="49"/>
      <c r="AE24" s="34"/>
      <c r="AF24" s="34"/>
      <c r="AG24" s="1"/>
      <c r="AH24" s="1"/>
      <c r="AI24" s="1"/>
      <c r="AJ24" s="1"/>
      <c r="AK24" s="1"/>
      <c r="AL24" s="1"/>
      <c r="AM24" s="1"/>
      <c r="AN24" s="1"/>
      <c r="AO24" s="1"/>
    </row>
    <row r="25" spans="1:41" ht="31.5" customHeight="1">
      <c r="A25" s="482" t="s">
        <v>45</v>
      </c>
      <c r="B25" s="483"/>
      <c r="C25" s="53"/>
      <c r="D25" s="54"/>
      <c r="E25" s="54"/>
      <c r="F25" s="54"/>
      <c r="G25" s="55"/>
      <c r="H25" s="55"/>
      <c r="I25" s="55"/>
      <c r="J25" s="55"/>
      <c r="K25" s="55"/>
      <c r="L25" s="55"/>
      <c r="M25" s="55"/>
      <c r="N25" s="55"/>
      <c r="O25" s="56">
        <f t="shared" si="0"/>
        <v>0</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106.5" customHeight="1">
      <c r="A30" s="61" t="s">
        <v>118</v>
      </c>
      <c r="B30" s="533" t="s">
        <v>166</v>
      </c>
      <c r="C30" s="518"/>
      <c r="D30" s="63"/>
      <c r="E30" s="63"/>
      <c r="F30" s="114"/>
      <c r="G30" s="63"/>
      <c r="H30" s="63"/>
      <c r="I30" s="63"/>
      <c r="J30" s="63"/>
      <c r="K30" s="63"/>
      <c r="L30" s="63"/>
      <c r="M30" s="63"/>
      <c r="N30" s="63"/>
      <c r="O30" s="63"/>
      <c r="P30" s="64">
        <f>SUM(D30:O30)</f>
        <v>0</v>
      </c>
      <c r="Q30" s="579"/>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54.75" customHeight="1">
      <c r="A34" s="529" t="s">
        <v>118</v>
      </c>
      <c r="B34" s="531">
        <f>SUM(B38,B40,B42)</f>
        <v>0.1</v>
      </c>
      <c r="C34" s="66" t="s">
        <v>62</v>
      </c>
      <c r="D34" s="131">
        <f t="shared" ref="D34:O34" si="2">+D46</f>
        <v>0.75249999999999995</v>
      </c>
      <c r="E34" s="131">
        <f t="shared" si="2"/>
        <v>0.80499999999999994</v>
      </c>
      <c r="F34" s="131">
        <f t="shared" si="2"/>
        <v>0.85749999999999993</v>
      </c>
      <c r="G34" s="131">
        <f t="shared" si="2"/>
        <v>0.8866666666666666</v>
      </c>
      <c r="H34" s="131">
        <f t="shared" si="2"/>
        <v>0.91583333333333328</v>
      </c>
      <c r="I34" s="131">
        <f t="shared" si="2"/>
        <v>0.94499999999999995</v>
      </c>
      <c r="J34" s="131">
        <f t="shared" si="2"/>
        <v>0.96666666666666656</v>
      </c>
      <c r="K34" s="131">
        <f t="shared" si="2"/>
        <v>0.97333333333333327</v>
      </c>
      <c r="L34" s="131">
        <f t="shared" si="2"/>
        <v>0.98</v>
      </c>
      <c r="M34" s="131">
        <f t="shared" si="2"/>
        <v>0.98666666666666669</v>
      </c>
      <c r="N34" s="131">
        <f t="shared" si="2"/>
        <v>0.9933333333333334</v>
      </c>
      <c r="O34" s="131">
        <f t="shared" si="2"/>
        <v>1</v>
      </c>
      <c r="P34" s="68">
        <f t="shared" ref="P34:P35" si="3">+O34</f>
        <v>1</v>
      </c>
      <c r="Q34" s="494" t="s">
        <v>607</v>
      </c>
      <c r="R34" s="614"/>
      <c r="S34" s="614"/>
      <c r="T34" s="614"/>
      <c r="U34" s="614"/>
      <c r="V34" s="615"/>
      <c r="W34" s="547"/>
      <c r="X34" s="509"/>
      <c r="Y34" s="509"/>
      <c r="Z34" s="518"/>
      <c r="AA34" s="547"/>
      <c r="AB34" s="509"/>
      <c r="AC34" s="509"/>
      <c r="AD34" s="510"/>
      <c r="AE34" s="1"/>
      <c r="AF34" s="1"/>
      <c r="AG34" s="65"/>
      <c r="AH34" s="65"/>
      <c r="AI34" s="65"/>
      <c r="AJ34" s="65"/>
      <c r="AK34" s="65"/>
      <c r="AL34" s="65"/>
      <c r="AM34" s="65"/>
      <c r="AN34" s="65"/>
      <c r="AO34" s="65"/>
    </row>
    <row r="35" spans="1:41" ht="54.75" customHeight="1">
      <c r="A35" s="530"/>
      <c r="B35" s="532"/>
      <c r="C35" s="69" t="s">
        <v>66</v>
      </c>
      <c r="D35" s="368">
        <f t="shared" ref="D35:O35" si="4">+D47</f>
        <v>0.75372499999999998</v>
      </c>
      <c r="E35" s="258">
        <f t="shared" si="4"/>
        <v>0.75372499999999998</v>
      </c>
      <c r="F35" s="258">
        <f t="shared" si="4"/>
        <v>0.75372499999999998</v>
      </c>
      <c r="G35" s="258">
        <f t="shared" si="4"/>
        <v>0.75372499999999998</v>
      </c>
      <c r="H35" s="258">
        <f t="shared" si="4"/>
        <v>0.75372499999999998</v>
      </c>
      <c r="I35" s="258">
        <f t="shared" si="4"/>
        <v>0.75372499999999998</v>
      </c>
      <c r="J35" s="258">
        <f t="shared" si="4"/>
        <v>0.75372499999999998</v>
      </c>
      <c r="K35" s="258">
        <f t="shared" si="4"/>
        <v>0.75372499999999998</v>
      </c>
      <c r="L35" s="258">
        <f t="shared" si="4"/>
        <v>0.75372499999999998</v>
      </c>
      <c r="M35" s="258">
        <f t="shared" si="4"/>
        <v>0.75372499999999998</v>
      </c>
      <c r="N35" s="258">
        <f t="shared" si="4"/>
        <v>0.75372499999999998</v>
      </c>
      <c r="O35" s="258">
        <f t="shared" si="4"/>
        <v>0.75372499999999998</v>
      </c>
      <c r="P35" s="259">
        <f t="shared" si="3"/>
        <v>0.75372499999999998</v>
      </c>
      <c r="Q35" s="497"/>
      <c r="R35" s="616"/>
      <c r="S35" s="616"/>
      <c r="T35" s="616"/>
      <c r="U35" s="616"/>
      <c r="V35" s="499"/>
      <c r="W35" s="548"/>
      <c r="X35" s="443"/>
      <c r="Y35" s="443"/>
      <c r="Z35" s="554"/>
      <c r="AA35" s="548"/>
      <c r="AB35" s="443"/>
      <c r="AC35" s="443"/>
      <c r="AD35" s="444"/>
      <c r="AE35" s="70"/>
      <c r="AF35" s="1"/>
      <c r="AG35" s="65"/>
      <c r="AH35" s="65"/>
      <c r="AI35" s="65"/>
      <c r="AJ35" s="65"/>
      <c r="AK35" s="65"/>
      <c r="AL35" s="65"/>
      <c r="AM35" s="65"/>
      <c r="AN35" s="65"/>
      <c r="AO35" s="65"/>
    </row>
    <row r="36" spans="1:41" ht="39"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44.1"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47.25" customHeight="1">
      <c r="A38" s="535" t="s">
        <v>558</v>
      </c>
      <c r="B38" s="539">
        <v>0.05</v>
      </c>
      <c r="C38" s="66" t="s">
        <v>62</v>
      </c>
      <c r="D38" s="72">
        <v>0.2</v>
      </c>
      <c r="E38" s="72">
        <v>0.2</v>
      </c>
      <c r="F38" s="72">
        <v>0.2</v>
      </c>
      <c r="G38" s="72">
        <v>4.4444444444444446E-2</v>
      </c>
      <c r="H38" s="72">
        <v>4.4444444444444446E-2</v>
      </c>
      <c r="I38" s="72">
        <v>4.4444444444444446E-2</v>
      </c>
      <c r="J38" s="72">
        <v>4.4444444444444446E-2</v>
      </c>
      <c r="K38" s="72">
        <v>4.4444444444444446E-2</v>
      </c>
      <c r="L38" s="72">
        <v>4.4444444444444446E-2</v>
      </c>
      <c r="M38" s="72">
        <v>4.4444444444444446E-2</v>
      </c>
      <c r="N38" s="72">
        <v>4.4444444444444446E-2</v>
      </c>
      <c r="O38" s="72">
        <v>4.4444444444444446E-2</v>
      </c>
      <c r="P38" s="73">
        <f t="shared" ref="P38:P41" si="5">SUM(D38:O38)</f>
        <v>0.99999999999999967</v>
      </c>
      <c r="Q38" s="494" t="s">
        <v>602</v>
      </c>
      <c r="R38" s="509"/>
      <c r="S38" s="509"/>
      <c r="T38" s="509"/>
      <c r="U38" s="509"/>
      <c r="V38" s="509"/>
      <c r="W38" s="509"/>
      <c r="X38" s="509"/>
      <c r="Y38" s="509"/>
      <c r="Z38" s="509"/>
      <c r="AA38" s="509"/>
      <c r="AB38" s="509"/>
      <c r="AC38" s="509"/>
      <c r="AD38" s="510"/>
      <c r="AE38" s="74"/>
      <c r="AF38" s="1"/>
      <c r="AG38" s="75"/>
      <c r="AH38" s="75"/>
      <c r="AI38" s="75"/>
      <c r="AJ38" s="75"/>
      <c r="AK38" s="75"/>
      <c r="AL38" s="75"/>
      <c r="AM38" s="75"/>
      <c r="AN38" s="75"/>
      <c r="AO38" s="75"/>
    </row>
    <row r="39" spans="1:41" ht="47.25" customHeight="1">
      <c r="A39" s="528"/>
      <c r="B39" s="507"/>
      <c r="C39" s="76" t="s">
        <v>66</v>
      </c>
      <c r="D39" s="322">
        <v>0.2</v>
      </c>
      <c r="E39" s="77"/>
      <c r="F39" s="77"/>
      <c r="G39" s="77"/>
      <c r="H39" s="77"/>
      <c r="I39" s="77"/>
      <c r="J39" s="77"/>
      <c r="K39" s="77"/>
      <c r="L39" s="77"/>
      <c r="M39" s="77"/>
      <c r="N39" s="77"/>
      <c r="O39" s="77"/>
      <c r="P39" s="78">
        <f t="shared" si="5"/>
        <v>0.2</v>
      </c>
      <c r="Q39" s="543"/>
      <c r="R39" s="611"/>
      <c r="S39" s="611"/>
      <c r="T39" s="611"/>
      <c r="U39" s="611"/>
      <c r="V39" s="611"/>
      <c r="W39" s="611"/>
      <c r="X39" s="611"/>
      <c r="Y39" s="611"/>
      <c r="Z39" s="611"/>
      <c r="AA39" s="611"/>
      <c r="AB39" s="611"/>
      <c r="AC39" s="611"/>
      <c r="AD39" s="441"/>
      <c r="AE39" s="74"/>
      <c r="AF39" s="1"/>
      <c r="AG39" s="1"/>
      <c r="AH39" s="1"/>
      <c r="AI39" s="1"/>
      <c r="AJ39" s="1"/>
      <c r="AK39" s="1"/>
      <c r="AL39" s="1"/>
      <c r="AM39" s="1"/>
      <c r="AN39" s="1"/>
      <c r="AO39" s="1"/>
    </row>
    <row r="40" spans="1:41" ht="31.5" customHeight="1">
      <c r="A40" s="535" t="s">
        <v>559</v>
      </c>
      <c r="B40" s="536">
        <v>0.05</v>
      </c>
      <c r="C40" s="79" t="s">
        <v>62</v>
      </c>
      <c r="D40" s="72">
        <v>0.15</v>
      </c>
      <c r="E40" s="72">
        <v>0.15</v>
      </c>
      <c r="F40" s="72">
        <v>0.15</v>
      </c>
      <c r="G40" s="72">
        <v>0.15</v>
      </c>
      <c r="H40" s="72">
        <v>0.15</v>
      </c>
      <c r="I40" s="72">
        <v>0.15</v>
      </c>
      <c r="J40" s="72">
        <v>0.1</v>
      </c>
      <c r="K40" s="72">
        <v>0</v>
      </c>
      <c r="L40" s="72">
        <v>0</v>
      </c>
      <c r="M40" s="72">
        <v>0</v>
      </c>
      <c r="N40" s="72">
        <v>0</v>
      </c>
      <c r="O40" s="72">
        <v>0</v>
      </c>
      <c r="P40" s="78">
        <f t="shared" si="5"/>
        <v>1</v>
      </c>
      <c r="Q40" s="545" t="s">
        <v>538</v>
      </c>
      <c r="R40" s="546"/>
      <c r="S40" s="546"/>
      <c r="T40" s="546"/>
      <c r="U40" s="546"/>
      <c r="V40" s="546"/>
      <c r="W40" s="546"/>
      <c r="X40" s="546"/>
      <c r="Y40" s="546"/>
      <c r="Z40" s="546"/>
      <c r="AA40" s="546"/>
      <c r="AB40" s="546"/>
      <c r="AC40" s="546"/>
      <c r="AD40" s="546"/>
      <c r="AE40" s="74"/>
      <c r="AF40" s="1"/>
      <c r="AG40" s="1"/>
      <c r="AH40" s="1"/>
      <c r="AI40" s="1"/>
      <c r="AJ40" s="1"/>
      <c r="AK40" s="1"/>
      <c r="AL40" s="1"/>
      <c r="AM40" s="1"/>
      <c r="AN40" s="1"/>
      <c r="AO40" s="1"/>
    </row>
    <row r="41" spans="1:41" ht="31.5" customHeight="1">
      <c r="A41" s="528"/>
      <c r="B41" s="507"/>
      <c r="C41" s="76" t="s">
        <v>66</v>
      </c>
      <c r="D41" s="322">
        <v>0.15</v>
      </c>
      <c r="E41" s="77"/>
      <c r="F41" s="77"/>
      <c r="G41" s="77"/>
      <c r="H41" s="77"/>
      <c r="I41" s="77"/>
      <c r="J41" s="77"/>
      <c r="K41" s="77"/>
      <c r="L41" s="80"/>
      <c r="M41" s="80"/>
      <c r="N41" s="80"/>
      <c r="O41" s="80"/>
      <c r="P41" s="78">
        <f t="shared" si="5"/>
        <v>0.15</v>
      </c>
      <c r="Q41" s="546"/>
      <c r="R41" s="546"/>
      <c r="S41" s="546"/>
      <c r="T41" s="546"/>
      <c r="U41" s="546"/>
      <c r="V41" s="546"/>
      <c r="W41" s="546"/>
      <c r="X41" s="546"/>
      <c r="Y41" s="546"/>
      <c r="Z41" s="546"/>
      <c r="AA41" s="546"/>
      <c r="AB41" s="546"/>
      <c r="AC41" s="546"/>
      <c r="AD41" s="546"/>
      <c r="AE41" s="74"/>
      <c r="AF41" s="1"/>
      <c r="AG41" s="1"/>
      <c r="AH41" s="1"/>
      <c r="AI41" s="1"/>
      <c r="AJ41" s="1"/>
      <c r="AK41" s="1"/>
      <c r="AL41" s="1"/>
      <c r="AM41" s="1"/>
      <c r="AN41" s="1"/>
      <c r="AO41" s="1"/>
    </row>
    <row r="42" spans="1:41" ht="14.25" customHeight="1">
      <c r="A42" s="1" t="s">
        <v>87</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371">
        <f>+LEN(Q34)</f>
        <v>603</v>
      </c>
      <c r="R44" s="371">
        <f>+LEN(Q47)</f>
        <v>299</v>
      </c>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34">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83" t="s">
        <v>88</v>
      </c>
      <c r="D46" s="116">
        <f>((((D38+D40)/2)*0.3)+C45)</f>
        <v>0.75249999999999995</v>
      </c>
      <c r="E46" s="84">
        <f t="shared" ref="E46:O46" si="6">((((E38+E40)/2)*0.3)+D46)</f>
        <v>0.80499999999999994</v>
      </c>
      <c r="F46" s="84">
        <f t="shared" si="6"/>
        <v>0.85749999999999993</v>
      </c>
      <c r="G46" s="84">
        <f t="shared" si="6"/>
        <v>0.8866666666666666</v>
      </c>
      <c r="H46" s="84">
        <f t="shared" si="6"/>
        <v>0.91583333333333328</v>
      </c>
      <c r="I46" s="84">
        <f t="shared" si="6"/>
        <v>0.94499999999999995</v>
      </c>
      <c r="J46" s="84">
        <f t="shared" si="6"/>
        <v>0.96666666666666656</v>
      </c>
      <c r="K46" s="84">
        <f t="shared" si="6"/>
        <v>0.97333333333333327</v>
      </c>
      <c r="L46" s="84">
        <f t="shared" si="6"/>
        <v>0.98</v>
      </c>
      <c r="M46" s="84">
        <f t="shared" si="6"/>
        <v>0.98666666666666669</v>
      </c>
      <c r="N46" s="84">
        <f t="shared" si="6"/>
        <v>0.9933333333333334</v>
      </c>
      <c r="O46" s="84">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86" t="s">
        <v>89</v>
      </c>
      <c r="D47" s="117">
        <f>((((D39+D41)/2)*0.307)+C45)</f>
        <v>0.75372499999999998</v>
      </c>
      <c r="E47" s="87">
        <f t="shared" ref="E47:O47" si="7">((((E39+E41)/2)*0.307)+D47)</f>
        <v>0.75372499999999998</v>
      </c>
      <c r="F47" s="87">
        <f t="shared" si="7"/>
        <v>0.75372499999999998</v>
      </c>
      <c r="G47" s="87">
        <f t="shared" si="7"/>
        <v>0.75372499999999998</v>
      </c>
      <c r="H47" s="87">
        <f t="shared" si="7"/>
        <v>0.75372499999999998</v>
      </c>
      <c r="I47" s="87">
        <f t="shared" si="7"/>
        <v>0.75372499999999998</v>
      </c>
      <c r="J47" s="87">
        <f t="shared" si="7"/>
        <v>0.75372499999999998</v>
      </c>
      <c r="K47" s="87">
        <f t="shared" si="7"/>
        <v>0.75372499999999998</v>
      </c>
      <c r="L47" s="87">
        <f t="shared" si="7"/>
        <v>0.75372499999999998</v>
      </c>
      <c r="M47" s="87">
        <f t="shared" si="7"/>
        <v>0.75372499999999998</v>
      </c>
      <c r="N47" s="87">
        <f t="shared" si="7"/>
        <v>0.75372499999999998</v>
      </c>
      <c r="O47" s="87">
        <f t="shared" si="7"/>
        <v>0.75372499999999998</v>
      </c>
      <c r="P47" s="1"/>
      <c r="Q47" s="590" t="s">
        <v>603</v>
      </c>
      <c r="R47" s="590"/>
      <c r="S47" s="590"/>
      <c r="T47" s="590"/>
      <c r="U47" s="590"/>
      <c r="V47" s="590"/>
      <c r="W47" s="590"/>
      <c r="X47" s="590"/>
      <c r="Y47" s="590"/>
      <c r="Z47" s="590"/>
      <c r="AA47" s="590"/>
      <c r="AB47" s="590"/>
      <c r="AC47" s="590"/>
      <c r="AD47" s="590"/>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590"/>
      <c r="R48" s="590"/>
      <c r="S48" s="590"/>
      <c r="T48" s="590"/>
      <c r="U48" s="590"/>
      <c r="V48" s="590"/>
      <c r="W48" s="590"/>
      <c r="X48" s="590"/>
      <c r="Y48" s="590"/>
      <c r="Z48" s="590"/>
      <c r="AA48" s="590"/>
      <c r="AB48" s="590"/>
      <c r="AC48" s="590"/>
      <c r="AD48" s="590"/>
      <c r="AE48" s="1"/>
      <c r="AF48" s="1"/>
      <c r="AG48" s="1"/>
      <c r="AH48" s="1"/>
      <c r="AI48" s="1"/>
      <c r="AJ48" s="1"/>
      <c r="AK48" s="1"/>
      <c r="AL48" s="1"/>
      <c r="AM48" s="1"/>
      <c r="AN48" s="1"/>
      <c r="AO48" s="1"/>
    </row>
    <row r="49" spans="1:41" ht="23.25" customHeight="1">
      <c r="A49" s="1"/>
      <c r="B49" s="1"/>
      <c r="C49" s="118" t="s">
        <v>119</v>
      </c>
      <c r="D49" s="135">
        <v>0.2</v>
      </c>
      <c r="E49" s="135">
        <v>0.2</v>
      </c>
      <c r="F49" s="135">
        <v>0.2</v>
      </c>
      <c r="G49" s="119"/>
      <c r="H49" s="119"/>
      <c r="I49" s="119"/>
      <c r="J49" s="119"/>
      <c r="K49" s="119"/>
      <c r="L49" s="119"/>
      <c r="M49" s="119"/>
      <c r="N49" s="119"/>
      <c r="O49" s="119"/>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120" t="s">
        <v>120</v>
      </c>
      <c r="D50" s="323"/>
      <c r="E50" s="121"/>
      <c r="F50" s="121"/>
      <c r="G50" s="121"/>
      <c r="H50" s="121"/>
      <c r="I50" s="121"/>
      <c r="J50" s="121"/>
      <c r="K50" s="121"/>
      <c r="L50" s="121"/>
      <c r="M50" s="121"/>
      <c r="N50" s="121"/>
      <c r="O50" s="12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118" t="s">
        <v>120</v>
      </c>
      <c r="D51" s="327"/>
      <c r="E51" s="119"/>
      <c r="F51" s="119"/>
      <c r="G51" s="119"/>
      <c r="H51" s="119"/>
      <c r="I51" s="119"/>
      <c r="J51" s="119"/>
      <c r="K51" s="119"/>
      <c r="L51" s="119"/>
      <c r="M51" s="119"/>
      <c r="N51" s="119"/>
      <c r="O51" s="119"/>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120" t="s">
        <v>121</v>
      </c>
      <c r="D52" s="323"/>
      <c r="E52" s="121"/>
      <c r="F52" s="121"/>
      <c r="G52" s="121"/>
      <c r="H52" s="121"/>
      <c r="I52" s="121"/>
      <c r="J52" s="121"/>
      <c r="K52" s="121"/>
      <c r="L52" s="121"/>
      <c r="M52" s="121"/>
      <c r="N52" s="121"/>
      <c r="O52" s="12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 ref="B30:C30"/>
    <mergeCell ref="A32:A33"/>
    <mergeCell ref="C32:C33"/>
    <mergeCell ref="A31:AD31"/>
    <mergeCell ref="D32:P32"/>
    <mergeCell ref="Q30:AD30"/>
    <mergeCell ref="Q32:AD32"/>
    <mergeCell ref="W33:Z33"/>
    <mergeCell ref="B32:B33"/>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B1:AA1"/>
    <mergeCell ref="AB1:AD1"/>
    <mergeCell ref="B2:AA2"/>
    <mergeCell ref="AB2:AD2"/>
    <mergeCell ref="B3:AA4"/>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0 Q47" xr:uid="{00000000-0002-0000-0500-000001000000}">
      <formula1>LTE(LEN(Q34),(2000))</formula1>
    </dataValidation>
    <dataValidation type="list" allowBlank="1" showInputMessage="1" showErrorMessage="1" prompt=" - " sqref="C7" xr:uid="{00000000-0002-0000-0500-000002000000}">
      <formula1>$C$21:$N$21</formula1>
    </dataValidation>
  </dataValidation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100"/>
  <sheetViews>
    <sheetView showGridLines="0" topLeftCell="A31" zoomScale="55" zoomScaleNormal="55" workbookViewId="0">
      <selection activeCell="Q44" sqref="Q44:AD45"/>
    </sheetView>
  </sheetViews>
  <sheetFormatPr baseColWidth="10" defaultColWidth="14.42578125" defaultRowHeight="15" customHeight="1"/>
  <cols>
    <col min="1" max="1" width="38.42578125" customWidth="1"/>
    <col min="2" max="2" width="15.42578125" customWidth="1"/>
    <col min="3" max="3" width="16.7109375" customWidth="1"/>
    <col min="4" max="4" width="15.28515625" bestFit="1" customWidth="1"/>
    <col min="5" max="14" width="12.85546875" customWidth="1"/>
    <col min="15" max="15" width="16.42578125" bestFit="1" customWidth="1"/>
    <col min="16" max="16" width="14.7109375" customWidth="1"/>
    <col min="17" max="27" width="18.140625" customWidth="1"/>
    <col min="28" max="28" width="22.42578125" customWidth="1"/>
    <col min="29" max="29" width="19"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49.5"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122</v>
      </c>
      <c r="D17" s="453"/>
      <c r="E17" s="453"/>
      <c r="F17" s="453"/>
      <c r="G17" s="453"/>
      <c r="H17" s="453"/>
      <c r="I17" s="453"/>
      <c r="J17" s="453"/>
      <c r="K17" s="453"/>
      <c r="L17" s="453"/>
      <c r="M17" s="453"/>
      <c r="N17" s="453"/>
      <c r="O17" s="453"/>
      <c r="P17" s="453"/>
      <c r="Q17" s="454"/>
      <c r="R17" s="452" t="s">
        <v>23</v>
      </c>
      <c r="S17" s="453"/>
      <c r="T17" s="453"/>
      <c r="U17" s="453"/>
      <c r="V17" s="454"/>
      <c r="W17" s="522">
        <v>1</v>
      </c>
      <c r="X17" s="454"/>
      <c r="Y17" s="523" t="s">
        <v>24</v>
      </c>
      <c r="Z17" s="453"/>
      <c r="AA17" s="453"/>
      <c r="AB17" s="454"/>
      <c r="AC17" s="479">
        <f>+B34</f>
        <v>0.2</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thickBot="1">
      <c r="A22" s="520" t="s">
        <v>42</v>
      </c>
      <c r="B22" s="521"/>
      <c r="C22" s="39"/>
      <c r="D22" s="40"/>
      <c r="E22" s="40"/>
      <c r="F22" s="40"/>
      <c r="G22" s="40"/>
      <c r="H22" s="40"/>
      <c r="I22" s="40"/>
      <c r="J22" s="40"/>
      <c r="K22" s="40"/>
      <c r="L22" s="40"/>
      <c r="M22" s="40"/>
      <c r="N22" s="40"/>
      <c r="O22" s="41">
        <f t="shared" ref="O22:O25" si="0">SUM(C22:N22)</f>
        <v>0</v>
      </c>
      <c r="P22" s="42"/>
      <c r="Q22" s="300">
        <v>371243829</v>
      </c>
      <c r="R22" s="301">
        <v>22500000</v>
      </c>
      <c r="S22" s="301"/>
      <c r="T22" s="301">
        <f>7200000+19980500</f>
        <v>27180500</v>
      </c>
      <c r="U22" s="301">
        <f>2310000+2000000+500000+14000000</f>
        <v>18810000</v>
      </c>
      <c r="V22" s="301">
        <v>1000000</v>
      </c>
      <c r="W22" s="301">
        <v>34000000</v>
      </c>
      <c r="X22" s="301">
        <f>35000000+37500000</f>
        <v>72500000</v>
      </c>
      <c r="Y22" s="301"/>
      <c r="Z22" s="301"/>
      <c r="AA22" s="301"/>
      <c r="AB22" s="301"/>
      <c r="AC22" s="41">
        <f t="shared" ref="AC22:AC23" si="1">SUM(Q22:AB22)</f>
        <v>547234329</v>
      </c>
      <c r="AD22" s="43"/>
      <c r="AE22" s="34"/>
      <c r="AF22" s="34"/>
      <c r="AG22" s="1"/>
      <c r="AH22" s="1"/>
      <c r="AI22" s="1"/>
      <c r="AJ22" s="1"/>
      <c r="AK22" s="1"/>
      <c r="AL22" s="1"/>
      <c r="AM22" s="1"/>
      <c r="AN22" s="1"/>
      <c r="AO22" s="1"/>
    </row>
    <row r="23" spans="1:41" ht="31.5" customHeight="1">
      <c r="A23" s="514" t="s">
        <v>43</v>
      </c>
      <c r="B23" s="515"/>
      <c r="C23" s="44"/>
      <c r="D23" s="45"/>
      <c r="E23" s="45"/>
      <c r="F23" s="45"/>
      <c r="G23" s="45"/>
      <c r="H23" s="45"/>
      <c r="I23" s="45"/>
      <c r="J23" s="45"/>
      <c r="K23" s="45"/>
      <c r="L23" s="45"/>
      <c r="M23" s="45"/>
      <c r="N23" s="45"/>
      <c r="O23" s="46">
        <f t="shared" si="0"/>
        <v>0</v>
      </c>
      <c r="P23" s="47" t="str">
        <f>IFERROR(O23/(SUMIF(C23:N23,"&gt;0",C22:N22))," ")</f>
        <v xml:space="preserve"> </v>
      </c>
      <c r="Q23" s="300">
        <v>371243829</v>
      </c>
      <c r="R23" s="304"/>
      <c r="S23" s="304"/>
      <c r="T23" s="304"/>
      <c r="U23" s="304"/>
      <c r="V23" s="304"/>
      <c r="W23" s="304"/>
      <c r="X23" s="304"/>
      <c r="Y23" s="304"/>
      <c r="Z23" s="304"/>
      <c r="AA23" s="304"/>
      <c r="AB23" s="304"/>
      <c r="AC23" s="46">
        <f t="shared" si="1"/>
        <v>371243829</v>
      </c>
      <c r="AD23" s="49">
        <f>IFERROR(AC23/(SUMIF(Q23:AB23,"&gt;0",Q22:AB22))," ")</f>
        <v>1</v>
      </c>
      <c r="AE23" s="34"/>
      <c r="AF23" s="34"/>
      <c r="AG23" s="1"/>
      <c r="AH23" s="1"/>
      <c r="AI23" s="1"/>
      <c r="AJ23" s="1"/>
      <c r="AK23" s="1"/>
      <c r="AL23" s="1"/>
      <c r="AM23" s="1"/>
      <c r="AN23" s="1"/>
      <c r="AO23" s="1"/>
    </row>
    <row r="24" spans="1:41" ht="31.5" customHeight="1">
      <c r="A24" s="514" t="s">
        <v>44</v>
      </c>
      <c r="B24" s="515"/>
      <c r="C24" s="50"/>
      <c r="D24" s="51">
        <v>200686598</v>
      </c>
      <c r="E24" s="51">
        <v>9803928</v>
      </c>
      <c r="F24" s="51">
        <v>14175000</v>
      </c>
      <c r="G24" s="51"/>
      <c r="H24" s="51"/>
      <c r="I24" s="51"/>
      <c r="J24" s="51"/>
      <c r="K24" s="51"/>
      <c r="L24" s="51"/>
      <c r="M24" s="51"/>
      <c r="N24" s="51"/>
      <c r="O24" s="46">
        <f t="shared" si="0"/>
        <v>224665526</v>
      </c>
      <c r="P24" s="52"/>
      <c r="Q24" s="309"/>
      <c r="R24" s="306">
        <v>13926297</v>
      </c>
      <c r="S24" s="306">
        <v>32504200</v>
      </c>
      <c r="T24" s="306">
        <v>35879200</v>
      </c>
      <c r="U24" s="306">
        <v>34724254</v>
      </c>
      <c r="V24" s="306">
        <v>41640923</v>
      </c>
      <c r="W24" s="306">
        <v>52324256</v>
      </c>
      <c r="X24" s="306">
        <v>70160922</v>
      </c>
      <c r="Y24" s="306">
        <v>35890922</v>
      </c>
      <c r="Z24" s="306">
        <v>39760922</v>
      </c>
      <c r="AA24" s="306">
        <v>66765922</v>
      </c>
      <c r="AB24" s="306">
        <f>55660922+67995589</f>
        <v>123656511</v>
      </c>
      <c r="AC24" s="46">
        <f>SUM(R24:AB24)</f>
        <v>547234329</v>
      </c>
      <c r="AD24" s="49"/>
      <c r="AE24" s="34"/>
      <c r="AF24" s="34"/>
      <c r="AG24" s="1"/>
      <c r="AH24" s="1"/>
      <c r="AI24" s="1"/>
      <c r="AJ24" s="1"/>
      <c r="AK24" s="1"/>
      <c r="AL24" s="1"/>
      <c r="AM24" s="1"/>
      <c r="AN24" s="1"/>
      <c r="AO24" s="1"/>
    </row>
    <row r="25" spans="1:41" ht="31.5" customHeight="1">
      <c r="A25" s="482" t="s">
        <v>45</v>
      </c>
      <c r="B25" s="483"/>
      <c r="C25" s="53"/>
      <c r="D25" s="54"/>
      <c r="E25" s="54"/>
      <c r="F25" s="54"/>
      <c r="G25" s="55"/>
      <c r="H25" s="55"/>
      <c r="I25" s="55"/>
      <c r="J25" s="55"/>
      <c r="K25" s="55"/>
      <c r="L25" s="55"/>
      <c r="M25" s="55"/>
      <c r="N25" s="55"/>
      <c r="O25" s="56">
        <f t="shared" si="0"/>
        <v>0</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70.5" customHeight="1">
      <c r="A30" s="61" t="s">
        <v>123</v>
      </c>
      <c r="B30" s="533" t="s">
        <v>166</v>
      </c>
      <c r="C30" s="518"/>
      <c r="D30" s="63"/>
      <c r="E30" s="63"/>
      <c r="F30" s="114"/>
      <c r="G30" s="63"/>
      <c r="H30" s="63"/>
      <c r="I30" s="63"/>
      <c r="J30" s="63"/>
      <c r="K30" s="63"/>
      <c r="L30" s="63"/>
      <c r="M30" s="63"/>
      <c r="N30" s="63"/>
      <c r="O30" s="63"/>
      <c r="P30" s="64">
        <f>SUM(D30:O30)</f>
        <v>0</v>
      </c>
      <c r="Q30" s="579"/>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89.45" customHeight="1">
      <c r="A34" s="529" t="s">
        <v>123</v>
      </c>
      <c r="B34" s="531">
        <f>SUM(B38,B40,B42,B44)</f>
        <v>0.2</v>
      </c>
      <c r="C34" s="66" t="s">
        <v>62</v>
      </c>
      <c r="D34" s="131">
        <f t="shared" ref="D34:O34" si="2">+D50</f>
        <v>0.72499999999999998</v>
      </c>
      <c r="E34" s="131">
        <f t="shared" si="2"/>
        <v>0.75</v>
      </c>
      <c r="F34" s="131">
        <f t="shared" si="2"/>
        <v>0.77500000000000002</v>
      </c>
      <c r="G34" s="131">
        <f t="shared" si="2"/>
        <v>0.8</v>
      </c>
      <c r="H34" s="131">
        <f t="shared" si="2"/>
        <v>0.82500000000000007</v>
      </c>
      <c r="I34" s="131">
        <f t="shared" si="2"/>
        <v>0.85000000000000009</v>
      </c>
      <c r="J34" s="131">
        <f t="shared" si="2"/>
        <v>0.87500000000000011</v>
      </c>
      <c r="K34" s="131">
        <f t="shared" si="2"/>
        <v>0.90000000000000013</v>
      </c>
      <c r="L34" s="131">
        <f t="shared" si="2"/>
        <v>0.92500000000000016</v>
      </c>
      <c r="M34" s="131">
        <f t="shared" si="2"/>
        <v>0.95000000000000018</v>
      </c>
      <c r="N34" s="131">
        <f t="shared" si="2"/>
        <v>0.9750000000000002</v>
      </c>
      <c r="O34" s="131">
        <f t="shared" si="2"/>
        <v>1.0000000000000002</v>
      </c>
      <c r="P34" s="123">
        <f>+O34</f>
        <v>1.0000000000000002</v>
      </c>
      <c r="Q34" s="494" t="s">
        <v>605</v>
      </c>
      <c r="R34" s="614"/>
      <c r="S34" s="614"/>
      <c r="T34" s="614"/>
      <c r="U34" s="614"/>
      <c r="V34" s="615"/>
      <c r="W34" s="494" t="s">
        <v>609</v>
      </c>
      <c r="X34" s="614"/>
      <c r="Y34" s="614"/>
      <c r="Z34" s="615"/>
      <c r="AA34" s="547"/>
      <c r="AB34" s="509"/>
      <c r="AC34" s="509"/>
      <c r="AD34" s="510"/>
      <c r="AE34" s="1"/>
      <c r="AF34" s="1"/>
      <c r="AG34" s="65"/>
      <c r="AH34" s="65"/>
      <c r="AI34" s="65"/>
      <c r="AJ34" s="65"/>
      <c r="AK34" s="65"/>
      <c r="AL34" s="65"/>
      <c r="AM34" s="65"/>
      <c r="AN34" s="65"/>
      <c r="AO34" s="65"/>
    </row>
    <row r="35" spans="1:41" ht="89.45" customHeight="1">
      <c r="A35" s="530"/>
      <c r="B35" s="532"/>
      <c r="C35" s="69" t="s">
        <v>66</v>
      </c>
      <c r="D35" s="368">
        <f t="shared" ref="D35:O35" si="3">+D51</f>
        <v>0.71841999999999995</v>
      </c>
      <c r="E35" s="255">
        <f t="shared" si="3"/>
        <v>0.71841999999999995</v>
      </c>
      <c r="F35" s="255">
        <f t="shared" si="3"/>
        <v>0.71841999999999995</v>
      </c>
      <c r="G35" s="255">
        <f t="shared" si="3"/>
        <v>0.71841999999999995</v>
      </c>
      <c r="H35" s="255">
        <f t="shared" si="3"/>
        <v>0.71841999999999995</v>
      </c>
      <c r="I35" s="255">
        <f t="shared" si="3"/>
        <v>0.71841999999999995</v>
      </c>
      <c r="J35" s="255">
        <f t="shared" si="3"/>
        <v>0.71841999999999995</v>
      </c>
      <c r="K35" s="255">
        <f t="shared" si="3"/>
        <v>0.71841999999999995</v>
      </c>
      <c r="L35" s="255">
        <f t="shared" si="3"/>
        <v>0.71841999999999995</v>
      </c>
      <c r="M35" s="255">
        <f t="shared" si="3"/>
        <v>0.71841999999999995</v>
      </c>
      <c r="N35" s="255">
        <f t="shared" si="3"/>
        <v>0.71841999999999995</v>
      </c>
      <c r="O35" s="255">
        <f t="shared" si="3"/>
        <v>0.71841999999999995</v>
      </c>
      <c r="P35" s="369">
        <f>+D35</f>
        <v>0.71841999999999995</v>
      </c>
      <c r="Q35" s="497"/>
      <c r="R35" s="616"/>
      <c r="S35" s="616"/>
      <c r="T35" s="616"/>
      <c r="U35" s="616"/>
      <c r="V35" s="499"/>
      <c r="W35" s="497"/>
      <c r="X35" s="616"/>
      <c r="Y35" s="616"/>
      <c r="Z35" s="499"/>
      <c r="AA35" s="548"/>
      <c r="AB35" s="443"/>
      <c r="AC35" s="443"/>
      <c r="AD35" s="444"/>
      <c r="AE35" s="70"/>
      <c r="AF35" s="1"/>
      <c r="AG35" s="65"/>
      <c r="AH35" s="65"/>
      <c r="AI35" s="65"/>
      <c r="AJ35" s="65"/>
      <c r="AK35" s="65"/>
      <c r="AL35" s="65"/>
      <c r="AM35" s="65"/>
      <c r="AN35" s="65"/>
      <c r="AO35" s="65"/>
    </row>
    <row r="36" spans="1:41" ht="39.6"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36.75"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22.5" customHeight="1">
      <c r="A38" s="604" t="s">
        <v>560</v>
      </c>
      <c r="B38" s="539">
        <v>0.05</v>
      </c>
      <c r="C38" s="66" t="s">
        <v>62</v>
      </c>
      <c r="D38" s="72">
        <v>8.3333333333333343E-2</v>
      </c>
      <c r="E38" s="72">
        <v>8.3333333333333343E-2</v>
      </c>
      <c r="F38" s="72">
        <v>8.3333333333333343E-2</v>
      </c>
      <c r="G38" s="72">
        <v>8.3333333333333343E-2</v>
      </c>
      <c r="H38" s="72">
        <v>8.3333333333333343E-2</v>
      </c>
      <c r="I38" s="72">
        <v>8.3333333333333343E-2</v>
      </c>
      <c r="J38" s="72">
        <v>8.3333333333333343E-2</v>
      </c>
      <c r="K38" s="72">
        <v>8.3333333333333343E-2</v>
      </c>
      <c r="L38" s="72">
        <v>8.3333333333333343E-2</v>
      </c>
      <c r="M38" s="72">
        <v>8.3333333333333343E-2</v>
      </c>
      <c r="N38" s="72">
        <v>8.3333333333333343E-2</v>
      </c>
      <c r="O38" s="72">
        <v>8.3333333333333343E-2</v>
      </c>
      <c r="P38" s="73">
        <f t="shared" ref="P38:P45" si="4">SUM(D38:O38)</f>
        <v>1.0000000000000002</v>
      </c>
      <c r="Q38" s="494" t="s">
        <v>604</v>
      </c>
      <c r="R38" s="509"/>
      <c r="S38" s="509"/>
      <c r="T38" s="509"/>
      <c r="U38" s="509"/>
      <c r="V38" s="509"/>
      <c r="W38" s="509"/>
      <c r="X38" s="509"/>
      <c r="Y38" s="509"/>
      <c r="Z38" s="509"/>
      <c r="AA38" s="509"/>
      <c r="AB38" s="509"/>
      <c r="AC38" s="509"/>
      <c r="AD38" s="510"/>
      <c r="AE38" s="74"/>
      <c r="AF38" s="1"/>
      <c r="AG38" s="75"/>
      <c r="AH38" s="75"/>
      <c r="AI38" s="75"/>
      <c r="AJ38" s="75"/>
      <c r="AK38" s="75"/>
      <c r="AL38" s="75"/>
      <c r="AM38" s="75"/>
      <c r="AN38" s="75"/>
      <c r="AO38" s="75"/>
    </row>
    <row r="39" spans="1:41" ht="22.5" customHeight="1">
      <c r="A39" s="528"/>
      <c r="B39" s="507"/>
      <c r="C39" s="76" t="s">
        <v>66</v>
      </c>
      <c r="D39" s="322">
        <v>0.08</v>
      </c>
      <c r="E39" s="77"/>
      <c r="F39" s="77"/>
      <c r="G39" s="77"/>
      <c r="H39" s="77"/>
      <c r="I39" s="77"/>
      <c r="J39" s="77"/>
      <c r="K39" s="77"/>
      <c r="L39" s="77"/>
      <c r="M39" s="77"/>
      <c r="N39" s="77"/>
      <c r="O39" s="77"/>
      <c r="P39" s="78">
        <f t="shared" si="4"/>
        <v>0.08</v>
      </c>
      <c r="Q39" s="543"/>
      <c r="R39" s="611"/>
      <c r="S39" s="611"/>
      <c r="T39" s="611"/>
      <c r="U39" s="611"/>
      <c r="V39" s="611"/>
      <c r="W39" s="611"/>
      <c r="X39" s="611"/>
      <c r="Y39" s="611"/>
      <c r="Z39" s="611"/>
      <c r="AA39" s="611"/>
      <c r="AB39" s="611"/>
      <c r="AC39" s="611"/>
      <c r="AD39" s="441"/>
      <c r="AE39" s="74"/>
      <c r="AF39" s="1"/>
      <c r="AG39" s="1"/>
      <c r="AH39" s="1"/>
      <c r="AI39" s="1"/>
      <c r="AJ39" s="1"/>
      <c r="AK39" s="1"/>
      <c r="AL39" s="1"/>
      <c r="AM39" s="1"/>
      <c r="AN39" s="1"/>
      <c r="AO39" s="1"/>
    </row>
    <row r="40" spans="1:41" ht="22.5" customHeight="1">
      <c r="A40" s="535" t="s">
        <v>561</v>
      </c>
      <c r="B40" s="539">
        <v>0.05</v>
      </c>
      <c r="C40" s="79" t="s">
        <v>62</v>
      </c>
      <c r="D40" s="72">
        <v>8.3333333333333343E-2</v>
      </c>
      <c r="E40" s="72">
        <v>8.3333333333333343E-2</v>
      </c>
      <c r="F40" s="72">
        <v>8.3333333333333343E-2</v>
      </c>
      <c r="G40" s="72">
        <v>8.3333333333333343E-2</v>
      </c>
      <c r="H40" s="72">
        <v>8.3333333333333343E-2</v>
      </c>
      <c r="I40" s="72">
        <v>8.3333333333333343E-2</v>
      </c>
      <c r="J40" s="72">
        <v>8.3333333333333343E-2</v>
      </c>
      <c r="K40" s="72">
        <v>8.3333333333333343E-2</v>
      </c>
      <c r="L40" s="72">
        <v>8.3333333333333343E-2</v>
      </c>
      <c r="M40" s="72">
        <v>8.3333333333333343E-2</v>
      </c>
      <c r="N40" s="72">
        <v>8.3333333333333343E-2</v>
      </c>
      <c r="O40" s="72">
        <v>8.3333333333333343E-2</v>
      </c>
      <c r="P40" s="78">
        <f t="shared" si="4"/>
        <v>1.0000000000000002</v>
      </c>
      <c r="Q40" s="628" t="s">
        <v>592</v>
      </c>
      <c r="R40" s="629"/>
      <c r="S40" s="629"/>
      <c r="T40" s="629"/>
      <c r="U40" s="629"/>
      <c r="V40" s="629"/>
      <c r="W40" s="629"/>
      <c r="X40" s="629"/>
      <c r="Y40" s="629"/>
      <c r="Z40" s="629"/>
      <c r="AA40" s="629"/>
      <c r="AB40" s="629"/>
      <c r="AC40" s="629"/>
      <c r="AD40" s="630"/>
      <c r="AE40" s="74"/>
      <c r="AF40" s="1"/>
      <c r="AG40" s="1"/>
      <c r="AH40" s="1"/>
      <c r="AI40" s="1"/>
      <c r="AJ40" s="1"/>
      <c r="AK40" s="1"/>
      <c r="AL40" s="1"/>
      <c r="AM40" s="1"/>
      <c r="AN40" s="1"/>
      <c r="AO40" s="1"/>
    </row>
    <row r="41" spans="1:41" ht="22.5" customHeight="1">
      <c r="A41" s="528"/>
      <c r="B41" s="507"/>
      <c r="C41" s="76" t="s">
        <v>66</v>
      </c>
      <c r="D41" s="322">
        <v>0.08</v>
      </c>
      <c r="E41" s="77"/>
      <c r="F41" s="77"/>
      <c r="G41" s="77"/>
      <c r="H41" s="77"/>
      <c r="I41" s="77"/>
      <c r="J41" s="77"/>
      <c r="K41" s="77"/>
      <c r="L41" s="80"/>
      <c r="M41" s="80"/>
      <c r="N41" s="80"/>
      <c r="O41" s="80"/>
      <c r="P41" s="78">
        <f t="shared" si="4"/>
        <v>0.08</v>
      </c>
      <c r="Q41" s="631"/>
      <c r="R41" s="632"/>
      <c r="S41" s="632"/>
      <c r="T41" s="632"/>
      <c r="U41" s="632"/>
      <c r="V41" s="632"/>
      <c r="W41" s="632"/>
      <c r="X41" s="632"/>
      <c r="Y41" s="632"/>
      <c r="Z41" s="632"/>
      <c r="AA41" s="632"/>
      <c r="AB41" s="632"/>
      <c r="AC41" s="632"/>
      <c r="AD41" s="633"/>
      <c r="AE41" s="74"/>
      <c r="AF41" s="1"/>
      <c r="AG41" s="1"/>
      <c r="AH41" s="1"/>
      <c r="AI41" s="1"/>
      <c r="AJ41" s="1"/>
      <c r="AK41" s="1"/>
      <c r="AL41" s="1"/>
      <c r="AM41" s="1"/>
      <c r="AN41" s="1"/>
      <c r="AO41" s="1"/>
    </row>
    <row r="42" spans="1:41" ht="22.5" customHeight="1">
      <c r="A42" s="535" t="s">
        <v>562</v>
      </c>
      <c r="B42" s="539">
        <v>0.05</v>
      </c>
      <c r="C42" s="79" t="s">
        <v>62</v>
      </c>
      <c r="D42" s="72">
        <v>8.3333333333333343E-2</v>
      </c>
      <c r="E42" s="72">
        <v>8.3333333333333343E-2</v>
      </c>
      <c r="F42" s="72">
        <v>8.3333333333333343E-2</v>
      </c>
      <c r="G42" s="72">
        <v>8.3333333333333343E-2</v>
      </c>
      <c r="H42" s="72">
        <v>8.3333333333333343E-2</v>
      </c>
      <c r="I42" s="72">
        <v>8.3333333333333343E-2</v>
      </c>
      <c r="J42" s="72">
        <v>8.3333333333333343E-2</v>
      </c>
      <c r="K42" s="72">
        <v>8.3333333333333343E-2</v>
      </c>
      <c r="L42" s="72">
        <v>8.3333333333333343E-2</v>
      </c>
      <c r="M42" s="72">
        <v>8.3333333333333343E-2</v>
      </c>
      <c r="N42" s="72">
        <v>8.3333333333333343E-2</v>
      </c>
      <c r="O42" s="72">
        <v>8.3333333333333343E-2</v>
      </c>
      <c r="P42" s="78">
        <f t="shared" si="4"/>
        <v>1.0000000000000002</v>
      </c>
      <c r="Q42" s="494" t="s">
        <v>615</v>
      </c>
      <c r="R42" s="509"/>
      <c r="S42" s="509"/>
      <c r="T42" s="509"/>
      <c r="U42" s="509"/>
      <c r="V42" s="509"/>
      <c r="W42" s="509"/>
      <c r="X42" s="509"/>
      <c r="Y42" s="509"/>
      <c r="Z42" s="509"/>
      <c r="AA42" s="509"/>
      <c r="AB42" s="509"/>
      <c r="AC42" s="509"/>
      <c r="AD42" s="510"/>
      <c r="AE42" s="74"/>
      <c r="AF42" s="1"/>
      <c r="AG42" s="1"/>
      <c r="AH42" s="1"/>
      <c r="AI42" s="1"/>
      <c r="AJ42" s="1"/>
      <c r="AK42" s="1"/>
      <c r="AL42" s="1"/>
      <c r="AM42" s="1"/>
      <c r="AN42" s="1"/>
      <c r="AO42" s="1"/>
    </row>
    <row r="43" spans="1:41" ht="22.5" customHeight="1">
      <c r="A43" s="528"/>
      <c r="B43" s="507"/>
      <c r="C43" s="76" t="s">
        <v>66</v>
      </c>
      <c r="D43" s="322">
        <v>0.08</v>
      </c>
      <c r="E43" s="77"/>
      <c r="F43" s="77"/>
      <c r="G43" s="77"/>
      <c r="H43" s="77"/>
      <c r="I43" s="77"/>
      <c r="J43" s="77"/>
      <c r="K43" s="77"/>
      <c r="L43" s="80"/>
      <c r="M43" s="80"/>
      <c r="N43" s="80"/>
      <c r="O43" s="80"/>
      <c r="P43" s="78">
        <f t="shared" si="4"/>
        <v>0.08</v>
      </c>
      <c r="Q43" s="543"/>
      <c r="R43" s="611"/>
      <c r="S43" s="611"/>
      <c r="T43" s="611"/>
      <c r="U43" s="611"/>
      <c r="V43" s="611"/>
      <c r="W43" s="611"/>
      <c r="X43" s="611"/>
      <c r="Y43" s="611"/>
      <c r="Z43" s="611"/>
      <c r="AA43" s="611"/>
      <c r="AB43" s="611"/>
      <c r="AC43" s="611"/>
      <c r="AD43" s="441"/>
      <c r="AE43" s="74"/>
      <c r="AF43" s="1"/>
      <c r="AG43" s="1"/>
      <c r="AH43" s="1"/>
      <c r="AI43" s="1"/>
      <c r="AJ43" s="1"/>
      <c r="AK43" s="1"/>
      <c r="AL43" s="1"/>
      <c r="AM43" s="1"/>
      <c r="AN43" s="1"/>
      <c r="AO43" s="1"/>
    </row>
    <row r="44" spans="1:41" ht="22.5" customHeight="1">
      <c r="A44" s="535" t="s">
        <v>563</v>
      </c>
      <c r="B44" s="539">
        <v>0.05</v>
      </c>
      <c r="C44" s="79" t="s">
        <v>62</v>
      </c>
      <c r="D44" s="72">
        <v>8.3333333333333343E-2</v>
      </c>
      <c r="E44" s="72">
        <v>8.3333333333333343E-2</v>
      </c>
      <c r="F44" s="72">
        <v>8.3333333333333343E-2</v>
      </c>
      <c r="G44" s="72">
        <v>8.3333333333333343E-2</v>
      </c>
      <c r="H44" s="72">
        <v>8.3333333333333343E-2</v>
      </c>
      <c r="I44" s="72">
        <v>8.3333333333333343E-2</v>
      </c>
      <c r="J44" s="72">
        <v>8.3333333333333343E-2</v>
      </c>
      <c r="K44" s="72">
        <v>8.3333333333333343E-2</v>
      </c>
      <c r="L44" s="72">
        <v>8.3333333333333343E-2</v>
      </c>
      <c r="M44" s="72">
        <v>8.3333333333333343E-2</v>
      </c>
      <c r="N44" s="72">
        <v>8.3333333333333343E-2</v>
      </c>
      <c r="O44" s="72">
        <v>8.3333333333333343E-2</v>
      </c>
      <c r="P44" s="78">
        <f t="shared" si="4"/>
        <v>1.0000000000000002</v>
      </c>
      <c r="Q44" s="494" t="s">
        <v>609</v>
      </c>
      <c r="R44" s="542"/>
      <c r="S44" s="542"/>
      <c r="T44" s="542"/>
      <c r="U44" s="542"/>
      <c r="V44" s="542"/>
      <c r="W44" s="542"/>
      <c r="X44" s="542"/>
      <c r="Y44" s="542"/>
      <c r="Z44" s="542"/>
      <c r="AA44" s="542"/>
      <c r="AB44" s="542"/>
      <c r="AC44" s="542"/>
      <c r="AD44" s="510"/>
      <c r="AE44" s="74"/>
      <c r="AF44" s="1"/>
      <c r="AG44" s="1"/>
      <c r="AH44" s="1"/>
      <c r="AI44" s="1"/>
      <c r="AJ44" s="1"/>
      <c r="AK44" s="1"/>
      <c r="AL44" s="1"/>
      <c r="AM44" s="1"/>
      <c r="AN44" s="1"/>
      <c r="AO44" s="1"/>
    </row>
    <row r="45" spans="1:41" ht="22.5" customHeight="1" thickBot="1">
      <c r="A45" s="528"/>
      <c r="B45" s="507"/>
      <c r="C45" s="69" t="s">
        <v>66</v>
      </c>
      <c r="D45" s="328">
        <v>0</v>
      </c>
      <c r="E45" s="108"/>
      <c r="F45" s="108"/>
      <c r="G45" s="108"/>
      <c r="H45" s="108"/>
      <c r="I45" s="108"/>
      <c r="J45" s="108"/>
      <c r="K45" s="108"/>
      <c r="L45" s="109"/>
      <c r="M45" s="109"/>
      <c r="N45" s="109"/>
      <c r="O45" s="109"/>
      <c r="P45" s="110">
        <f t="shared" si="4"/>
        <v>0</v>
      </c>
      <c r="Q45" s="625"/>
      <c r="R45" s="626"/>
      <c r="S45" s="626"/>
      <c r="T45" s="626"/>
      <c r="U45" s="626"/>
      <c r="V45" s="626"/>
      <c r="W45" s="626"/>
      <c r="X45" s="626"/>
      <c r="Y45" s="626"/>
      <c r="Z45" s="626"/>
      <c r="AA45" s="626"/>
      <c r="AB45" s="626"/>
      <c r="AC45" s="626"/>
      <c r="AD45" s="627"/>
      <c r="AE45" s="74"/>
      <c r="AF45" s="1"/>
      <c r="AG45" s="1"/>
      <c r="AH45" s="1"/>
      <c r="AI45" s="1"/>
      <c r="AJ45" s="1"/>
      <c r="AK45" s="1"/>
      <c r="AL45" s="1"/>
      <c r="AM45" s="1"/>
      <c r="AN45" s="1"/>
      <c r="AO45" s="1"/>
    </row>
    <row r="46" spans="1:41" ht="14.25" customHeight="1">
      <c r="A46" s="1" t="s">
        <v>87</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34">
        <v>0.7</v>
      </c>
      <c r="D49" s="370">
        <f>+D51/D50</f>
        <v>0.9909241379310344</v>
      </c>
      <c r="E49" s="370">
        <f t="shared" ref="E49:O49" si="5">+E51/E50</f>
        <v>0.95789333333333326</v>
      </c>
      <c r="F49" s="370">
        <f t="shared" si="5"/>
        <v>0.92699354838709669</v>
      </c>
      <c r="G49" s="370">
        <f t="shared" si="5"/>
        <v>0.89802499999999985</v>
      </c>
      <c r="H49" s="370">
        <f t="shared" si="5"/>
        <v>0.87081212121212104</v>
      </c>
      <c r="I49" s="370">
        <f t="shared" si="5"/>
        <v>0.84519999999999984</v>
      </c>
      <c r="J49" s="370">
        <f t="shared" si="5"/>
        <v>0.82105142857142843</v>
      </c>
      <c r="K49" s="370">
        <f t="shared" si="5"/>
        <v>0.79824444444444431</v>
      </c>
      <c r="L49" s="370">
        <f t="shared" si="5"/>
        <v>0.77667027027027014</v>
      </c>
      <c r="M49" s="370">
        <f t="shared" si="5"/>
        <v>0.75623157894736825</v>
      </c>
      <c r="N49" s="370">
        <f t="shared" si="5"/>
        <v>0.73684102564102538</v>
      </c>
      <c r="O49" s="370">
        <f t="shared" si="5"/>
        <v>0.71841999999999984</v>
      </c>
      <c r="P49" s="1"/>
      <c r="Q49" s="371">
        <f>+LEN(Q34)</f>
        <v>1465</v>
      </c>
      <c r="R49" s="371">
        <f>+LEN(Q52)</f>
        <v>300</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83" t="s">
        <v>88</v>
      </c>
      <c r="D50" s="116">
        <f>((((D38+D40+D42+D44)/4)*0.3)+C49)</f>
        <v>0.72499999999999998</v>
      </c>
      <c r="E50" s="84">
        <f t="shared" ref="E50:O50" si="6">((((E38+E40+E42+E44)/4)*0.3)+D50)</f>
        <v>0.75</v>
      </c>
      <c r="F50" s="84">
        <f t="shared" si="6"/>
        <v>0.77500000000000002</v>
      </c>
      <c r="G50" s="84">
        <f t="shared" si="6"/>
        <v>0.8</v>
      </c>
      <c r="H50" s="84">
        <f t="shared" si="6"/>
        <v>0.82500000000000007</v>
      </c>
      <c r="I50" s="84">
        <f t="shared" si="6"/>
        <v>0.85000000000000009</v>
      </c>
      <c r="J50" s="84">
        <f t="shared" si="6"/>
        <v>0.87500000000000011</v>
      </c>
      <c r="K50" s="84">
        <f t="shared" si="6"/>
        <v>0.90000000000000013</v>
      </c>
      <c r="L50" s="84">
        <f t="shared" si="6"/>
        <v>0.92500000000000016</v>
      </c>
      <c r="M50" s="84">
        <f t="shared" si="6"/>
        <v>0.95000000000000018</v>
      </c>
      <c r="N50" s="84">
        <f t="shared" si="6"/>
        <v>0.9750000000000002</v>
      </c>
      <c r="O50" s="84">
        <f t="shared" si="6"/>
        <v>1.0000000000000002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86" t="s">
        <v>89</v>
      </c>
      <c r="D51" s="117">
        <f>((((D39+D41+D43+D45)/4)*0.307)+C49)</f>
        <v>0.71841999999999995</v>
      </c>
      <c r="E51" s="87">
        <f t="shared" ref="E51:O51" si="7">((((E39+E41+E43+E45)/4)*0.307)+D51)</f>
        <v>0.71841999999999995</v>
      </c>
      <c r="F51" s="87">
        <f t="shared" si="7"/>
        <v>0.71841999999999995</v>
      </c>
      <c r="G51" s="87">
        <f t="shared" si="7"/>
        <v>0.71841999999999995</v>
      </c>
      <c r="H51" s="87">
        <f t="shared" si="7"/>
        <v>0.71841999999999995</v>
      </c>
      <c r="I51" s="87">
        <f t="shared" si="7"/>
        <v>0.71841999999999995</v>
      </c>
      <c r="J51" s="87">
        <f t="shared" si="7"/>
        <v>0.71841999999999995</v>
      </c>
      <c r="K51" s="87">
        <f t="shared" si="7"/>
        <v>0.71841999999999995</v>
      </c>
      <c r="L51" s="87">
        <f t="shared" si="7"/>
        <v>0.71841999999999995</v>
      </c>
      <c r="M51" s="87">
        <f t="shared" si="7"/>
        <v>0.71841999999999995</v>
      </c>
      <c r="N51" s="87">
        <f t="shared" si="7"/>
        <v>0.71841999999999995</v>
      </c>
      <c r="O51" s="87">
        <f t="shared" si="7"/>
        <v>0.71841999999999995</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590" t="s">
        <v>606</v>
      </c>
      <c r="R52" s="590"/>
      <c r="S52" s="590"/>
      <c r="T52" s="590"/>
      <c r="U52" s="590"/>
      <c r="V52" s="590"/>
      <c r="W52" s="590"/>
      <c r="X52" s="590"/>
      <c r="Y52" s="590"/>
      <c r="Z52" s="590"/>
      <c r="AA52" s="590"/>
      <c r="AB52" s="590"/>
      <c r="AC52" s="590"/>
      <c r="AD52" s="590"/>
      <c r="AE52" s="1"/>
      <c r="AF52" s="1"/>
      <c r="AG52" s="1"/>
      <c r="AH52" s="1"/>
      <c r="AI52" s="1"/>
      <c r="AJ52" s="1"/>
      <c r="AK52" s="1"/>
      <c r="AL52" s="1"/>
      <c r="AM52" s="1"/>
      <c r="AN52" s="1"/>
      <c r="AO52" s="1"/>
    </row>
    <row r="53" spans="1:41" ht="28.5" customHeight="1">
      <c r="A53" s="1"/>
      <c r="B53" s="1"/>
      <c r="C53" s="118" t="s">
        <v>124</v>
      </c>
      <c r="D53" s="329"/>
      <c r="E53" s="135"/>
      <c r="F53" s="135"/>
      <c r="G53" s="119"/>
      <c r="H53" s="119"/>
      <c r="I53" s="119"/>
      <c r="J53" s="119"/>
      <c r="K53" s="119"/>
      <c r="L53" s="119"/>
      <c r="M53" s="119"/>
      <c r="N53" s="119"/>
      <c r="O53" s="119"/>
      <c r="P53" s="1"/>
      <c r="Q53" s="590"/>
      <c r="R53" s="590"/>
      <c r="S53" s="590"/>
      <c r="T53" s="590"/>
      <c r="U53" s="590"/>
      <c r="V53" s="590"/>
      <c r="W53" s="590"/>
      <c r="X53" s="590"/>
      <c r="Y53" s="590"/>
      <c r="Z53" s="590"/>
      <c r="AA53" s="590"/>
      <c r="AB53" s="590"/>
      <c r="AC53" s="590"/>
      <c r="AD53" s="590"/>
      <c r="AE53" s="1"/>
      <c r="AF53" s="1"/>
      <c r="AG53" s="1"/>
      <c r="AH53" s="1"/>
      <c r="AI53" s="1"/>
      <c r="AJ53" s="1"/>
      <c r="AK53" s="1"/>
      <c r="AL53" s="1"/>
      <c r="AM53" s="1"/>
      <c r="AN53" s="1"/>
      <c r="AO53" s="1"/>
    </row>
    <row r="54" spans="1:41" ht="36.950000000000003" customHeight="1">
      <c r="A54" s="1"/>
      <c r="B54" s="1"/>
      <c r="C54" s="120" t="s">
        <v>125</v>
      </c>
      <c r="D54" s="330"/>
      <c r="E54" s="136"/>
      <c r="F54" s="136"/>
      <c r="G54" s="121"/>
      <c r="H54" s="121"/>
      <c r="I54" s="121"/>
      <c r="J54" s="121"/>
      <c r="K54" s="121"/>
      <c r="L54" s="121"/>
      <c r="M54" s="121"/>
      <c r="N54" s="121"/>
      <c r="O54" s="12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118" t="s">
        <v>126</v>
      </c>
      <c r="D55" s="329"/>
      <c r="E55" s="135"/>
      <c r="F55" s="135"/>
      <c r="G55" s="119"/>
      <c r="H55" s="119"/>
      <c r="I55" s="119"/>
      <c r="J55" s="119"/>
      <c r="K55" s="119"/>
      <c r="L55" s="119"/>
      <c r="M55" s="119"/>
      <c r="N55" s="119"/>
      <c r="O55" s="119"/>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120" t="s">
        <v>127</v>
      </c>
      <c r="D56" s="330"/>
      <c r="E56" s="136"/>
      <c r="F56" s="136"/>
      <c r="G56" s="121"/>
      <c r="H56" s="121"/>
      <c r="I56" s="121"/>
      <c r="J56" s="121"/>
      <c r="K56" s="121"/>
      <c r="L56" s="121"/>
      <c r="M56" s="121"/>
      <c r="N56" s="121"/>
      <c r="O56" s="12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81">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24:B24"/>
    <mergeCell ref="Q20:AD20"/>
    <mergeCell ref="C16:AB16"/>
    <mergeCell ref="C17:Q17"/>
    <mergeCell ref="R17:V17"/>
    <mergeCell ref="W17:X17"/>
    <mergeCell ref="Y17:AB17"/>
    <mergeCell ref="AC17:AD17"/>
    <mergeCell ref="C20:P20"/>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W33:Z33"/>
    <mergeCell ref="Q44:AD45"/>
    <mergeCell ref="A40:A41"/>
    <mergeCell ref="B40:B41"/>
    <mergeCell ref="A42:A43"/>
    <mergeCell ref="B42:B43"/>
    <mergeCell ref="Q40:AD41"/>
    <mergeCell ref="Q42:AD43"/>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AA34 Q52 Q42 Q38 Q40 Q44" xr:uid="{00000000-0002-0000-0600-000001000000}">
      <formula1>LTE(LEN(Q34),(2000))</formula1>
    </dataValidation>
    <dataValidation type="list" allowBlank="1" showInputMessage="1" showErrorMessage="1" prompt=" - " sqref="C7" xr:uid="{00000000-0002-0000-0600-000002000000}">
      <formula1>$C$21:$N$21</formula1>
    </dataValidation>
  </dataValidations>
  <pageMargins left="0.7" right="0.7" top="0.75" bottom="0.75" header="0" footer="0"/>
  <pageSetup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100"/>
  <sheetViews>
    <sheetView showGridLines="0" topLeftCell="A31" zoomScale="55" zoomScaleNormal="55" workbookViewId="0">
      <selection activeCell="W34" sqref="W34:Z35"/>
    </sheetView>
  </sheetViews>
  <sheetFormatPr baseColWidth="10" defaultColWidth="14.42578125" defaultRowHeight="15" customHeight="1"/>
  <cols>
    <col min="1" max="1" width="38.42578125" customWidth="1"/>
    <col min="2" max="2" width="15.42578125" customWidth="1"/>
    <col min="3" max="3" width="16.28515625" customWidth="1"/>
    <col min="4" max="14" width="12.85546875" customWidth="1"/>
    <col min="15" max="15" width="13.5703125" bestFit="1" customWidth="1"/>
    <col min="16" max="16" width="14.5703125" customWidth="1"/>
    <col min="17" max="17" width="16.7109375" bestFit="1" customWidth="1"/>
    <col min="18" max="18" width="14.5703125" customWidth="1"/>
    <col min="19" max="20" width="16.7109375" bestFit="1" customWidth="1"/>
    <col min="21" max="21" width="14.5703125" customWidth="1"/>
    <col min="22" max="22" width="15.28515625" bestFit="1" customWidth="1"/>
    <col min="23" max="28" width="16.42578125" customWidth="1"/>
    <col min="29" max="29" width="18.28515625" bestFit="1" customWidth="1"/>
    <col min="30" max="30" width="16.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68"/>
      <c r="B1" s="469" t="s">
        <v>0</v>
      </c>
      <c r="C1" s="437"/>
      <c r="D1" s="437"/>
      <c r="E1" s="437"/>
      <c r="F1" s="437"/>
      <c r="G1" s="437"/>
      <c r="H1" s="437"/>
      <c r="I1" s="437"/>
      <c r="J1" s="437"/>
      <c r="K1" s="437"/>
      <c r="L1" s="437"/>
      <c r="M1" s="437"/>
      <c r="N1" s="437"/>
      <c r="O1" s="437"/>
      <c r="P1" s="437"/>
      <c r="Q1" s="437"/>
      <c r="R1" s="437"/>
      <c r="S1" s="437"/>
      <c r="T1" s="437"/>
      <c r="U1" s="437"/>
      <c r="V1" s="437"/>
      <c r="W1" s="437"/>
      <c r="X1" s="437"/>
      <c r="Y1" s="437"/>
      <c r="Z1" s="437"/>
      <c r="AA1" s="438"/>
      <c r="AB1" s="456" t="s">
        <v>1</v>
      </c>
      <c r="AC1" s="457"/>
      <c r="AD1" s="447"/>
      <c r="AE1" s="1"/>
      <c r="AF1" s="1"/>
      <c r="AG1" s="1"/>
      <c r="AH1" s="1"/>
      <c r="AI1" s="1"/>
      <c r="AJ1" s="1"/>
      <c r="AK1" s="1"/>
      <c r="AL1" s="1"/>
      <c r="AM1" s="1"/>
      <c r="AN1" s="1"/>
      <c r="AO1" s="1"/>
    </row>
    <row r="2" spans="1:41" ht="30.75" customHeight="1">
      <c r="A2" s="434"/>
      <c r="B2" s="458" t="s">
        <v>2</v>
      </c>
      <c r="C2" s="440"/>
      <c r="D2" s="440"/>
      <c r="E2" s="440"/>
      <c r="F2" s="440"/>
      <c r="G2" s="440"/>
      <c r="H2" s="440"/>
      <c r="I2" s="440"/>
      <c r="J2" s="440"/>
      <c r="K2" s="440"/>
      <c r="L2" s="440"/>
      <c r="M2" s="440"/>
      <c r="N2" s="440"/>
      <c r="O2" s="440"/>
      <c r="P2" s="440"/>
      <c r="Q2" s="440"/>
      <c r="R2" s="440"/>
      <c r="S2" s="440"/>
      <c r="T2" s="440"/>
      <c r="U2" s="440"/>
      <c r="V2" s="440"/>
      <c r="W2" s="440"/>
      <c r="X2" s="440"/>
      <c r="Y2" s="440"/>
      <c r="Z2" s="440"/>
      <c r="AA2" s="441"/>
      <c r="AB2" s="463" t="s">
        <v>3</v>
      </c>
      <c r="AC2" s="464"/>
      <c r="AD2" s="449"/>
      <c r="AE2" s="1"/>
      <c r="AF2" s="1"/>
      <c r="AG2" s="1"/>
      <c r="AH2" s="1"/>
      <c r="AI2" s="1"/>
      <c r="AJ2" s="1"/>
      <c r="AK2" s="1"/>
      <c r="AL2" s="1"/>
      <c r="AM2" s="1"/>
      <c r="AN2" s="1"/>
      <c r="AO2" s="1"/>
    </row>
    <row r="3" spans="1:41" ht="24" customHeight="1">
      <c r="A3" s="434"/>
      <c r="B3" s="459" t="s">
        <v>4</v>
      </c>
      <c r="C3" s="440"/>
      <c r="D3" s="440"/>
      <c r="E3" s="440"/>
      <c r="F3" s="440"/>
      <c r="G3" s="440"/>
      <c r="H3" s="440"/>
      <c r="I3" s="440"/>
      <c r="J3" s="440"/>
      <c r="K3" s="440"/>
      <c r="L3" s="440"/>
      <c r="M3" s="440"/>
      <c r="N3" s="440"/>
      <c r="O3" s="440"/>
      <c r="P3" s="440"/>
      <c r="Q3" s="440"/>
      <c r="R3" s="440"/>
      <c r="S3" s="440"/>
      <c r="T3" s="440"/>
      <c r="U3" s="440"/>
      <c r="V3" s="440"/>
      <c r="W3" s="440"/>
      <c r="X3" s="440"/>
      <c r="Y3" s="440"/>
      <c r="Z3" s="440"/>
      <c r="AA3" s="441"/>
      <c r="AB3" s="463" t="s">
        <v>5</v>
      </c>
      <c r="AC3" s="464"/>
      <c r="AD3" s="449"/>
      <c r="AE3" s="1"/>
      <c r="AF3" s="1"/>
      <c r="AG3" s="1"/>
      <c r="AH3" s="1"/>
      <c r="AI3" s="1"/>
      <c r="AJ3" s="1"/>
      <c r="AK3" s="1"/>
      <c r="AL3" s="1"/>
      <c r="AM3" s="1"/>
      <c r="AN3" s="1"/>
      <c r="AO3" s="1"/>
    </row>
    <row r="4" spans="1:41" ht="21.75" customHeight="1">
      <c r="A4" s="435"/>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4"/>
      <c r="AB4" s="460" t="s">
        <v>6</v>
      </c>
      <c r="AC4" s="461"/>
      <c r="AD4" s="462"/>
      <c r="AE4" s="1"/>
      <c r="AF4" s="1"/>
      <c r="AG4" s="1"/>
      <c r="AH4" s="1"/>
      <c r="AI4" s="1"/>
      <c r="AJ4" s="1"/>
      <c r="AK4" s="1"/>
      <c r="AL4" s="1"/>
      <c r="AM4" s="1"/>
      <c r="AN4" s="1"/>
      <c r="AO4" s="1"/>
    </row>
    <row r="5" spans="1:41" ht="9" customHeight="1">
      <c r="A5" s="2"/>
      <c r="B5" s="3"/>
      <c r="C5" s="4"/>
      <c r="D5" s="5"/>
      <c r="E5" s="5"/>
      <c r="F5" s="5"/>
      <c r="G5" s="5"/>
      <c r="H5" s="5"/>
      <c r="I5" s="5"/>
      <c r="J5" s="5"/>
      <c r="K5" s="5"/>
      <c r="L5" s="5"/>
      <c r="M5" s="5"/>
      <c r="N5" s="5"/>
      <c r="O5" s="5"/>
      <c r="P5" s="5"/>
      <c r="Q5" s="5"/>
      <c r="R5" s="5"/>
      <c r="S5" s="5"/>
      <c r="T5" s="5"/>
      <c r="U5" s="5"/>
      <c r="V5" s="5"/>
      <c r="W5" s="5"/>
      <c r="X5" s="5"/>
      <c r="Y5" s="5"/>
      <c r="Z5" s="6"/>
      <c r="AA5" s="5"/>
      <c r="AB5" s="7"/>
      <c r="AC5" s="8"/>
      <c r="AD5" s="9"/>
      <c r="AE5" s="1"/>
      <c r="AF5" s="1"/>
      <c r="AG5" s="1"/>
      <c r="AH5" s="1"/>
      <c r="AI5" s="1"/>
      <c r="AJ5" s="1"/>
      <c r="AK5" s="1"/>
      <c r="AL5" s="1"/>
      <c r="AM5" s="1"/>
      <c r="AN5" s="1"/>
      <c r="AO5" s="1"/>
    </row>
    <row r="6" spans="1:41" ht="9" customHeight="1">
      <c r="A6" s="10"/>
      <c r="B6" s="5"/>
      <c r="C6" s="5"/>
      <c r="D6" s="5"/>
      <c r="E6" s="5"/>
      <c r="F6" s="5"/>
      <c r="G6" s="5"/>
      <c r="H6" s="5"/>
      <c r="I6" s="5"/>
      <c r="J6" s="5"/>
      <c r="K6" s="5"/>
      <c r="L6" s="5"/>
      <c r="M6" s="5"/>
      <c r="N6" s="5"/>
      <c r="O6" s="5"/>
      <c r="P6" s="5"/>
      <c r="Q6" s="5"/>
      <c r="R6" s="5"/>
      <c r="S6" s="5"/>
      <c r="T6" s="5"/>
      <c r="U6" s="5"/>
      <c r="V6" s="5"/>
      <c r="W6" s="5"/>
      <c r="X6" s="5"/>
      <c r="Y6" s="5"/>
      <c r="Z6" s="6"/>
      <c r="AA6" s="5"/>
      <c r="AB6" s="5"/>
      <c r="AC6" s="11"/>
      <c r="AD6" s="12"/>
      <c r="AE6" s="1"/>
      <c r="AF6" s="1"/>
      <c r="AG6" s="1"/>
      <c r="AH6" s="1"/>
      <c r="AI6" s="1"/>
      <c r="AJ6" s="1"/>
      <c r="AK6" s="1"/>
      <c r="AL6" s="1"/>
      <c r="AM6" s="1"/>
      <c r="AN6" s="1"/>
      <c r="AO6" s="1"/>
    </row>
    <row r="7" spans="1:41" ht="14.25" customHeight="1">
      <c r="A7" s="436" t="s">
        <v>7</v>
      </c>
      <c r="B7" s="438"/>
      <c r="C7" s="433"/>
      <c r="D7" s="436" t="s">
        <v>8</v>
      </c>
      <c r="E7" s="437"/>
      <c r="F7" s="437"/>
      <c r="G7" s="437"/>
      <c r="H7" s="438"/>
      <c r="I7" s="445">
        <v>44575</v>
      </c>
      <c r="J7" s="438"/>
      <c r="K7" s="436" t="s">
        <v>10</v>
      </c>
      <c r="L7" s="438"/>
      <c r="M7" s="465" t="s">
        <v>11</v>
      </c>
      <c r="N7" s="447"/>
      <c r="O7" s="446" t="s">
        <v>477</v>
      </c>
      <c r="P7" s="447"/>
      <c r="Q7" s="5"/>
      <c r="R7" s="5"/>
      <c r="S7" s="5"/>
      <c r="T7" s="5"/>
      <c r="U7" s="5"/>
      <c r="V7" s="5"/>
      <c r="W7" s="5"/>
      <c r="X7" s="5"/>
      <c r="Y7" s="5"/>
      <c r="Z7" s="6"/>
      <c r="AA7" s="5"/>
      <c r="AB7" s="5"/>
      <c r="AC7" s="11"/>
      <c r="AD7" s="12"/>
      <c r="AE7" s="1"/>
      <c r="AF7" s="1"/>
      <c r="AG7" s="1"/>
      <c r="AH7" s="1"/>
      <c r="AI7" s="1"/>
      <c r="AJ7" s="1"/>
      <c r="AK7" s="1"/>
      <c r="AL7" s="1"/>
      <c r="AM7" s="1"/>
      <c r="AN7" s="1"/>
      <c r="AO7" s="1"/>
    </row>
    <row r="8" spans="1:41" ht="14.25" customHeight="1">
      <c r="A8" s="439"/>
      <c r="B8" s="441"/>
      <c r="C8" s="434"/>
      <c r="D8" s="439"/>
      <c r="E8" s="440"/>
      <c r="F8" s="440"/>
      <c r="G8" s="440"/>
      <c r="H8" s="441"/>
      <c r="I8" s="439"/>
      <c r="J8" s="441"/>
      <c r="K8" s="439"/>
      <c r="L8" s="441"/>
      <c r="M8" s="448" t="s">
        <v>12</v>
      </c>
      <c r="N8" s="449"/>
      <c r="O8" s="450"/>
      <c r="P8" s="449"/>
      <c r="Q8" s="5"/>
      <c r="R8" s="5"/>
      <c r="S8" s="5"/>
      <c r="T8" s="5"/>
      <c r="U8" s="5"/>
      <c r="V8" s="5"/>
      <c r="W8" s="5"/>
      <c r="X8" s="5"/>
      <c r="Y8" s="5"/>
      <c r="Z8" s="6"/>
      <c r="AA8" s="5"/>
      <c r="AB8" s="5"/>
      <c r="AC8" s="11"/>
      <c r="AD8" s="12"/>
      <c r="AE8" s="1"/>
      <c r="AF8" s="1"/>
      <c r="AG8" s="1"/>
      <c r="AH8" s="1"/>
      <c r="AI8" s="1"/>
      <c r="AJ8" s="1"/>
      <c r="AK8" s="1"/>
      <c r="AL8" s="1"/>
      <c r="AM8" s="1"/>
      <c r="AN8" s="1"/>
      <c r="AO8" s="1"/>
    </row>
    <row r="9" spans="1:41" ht="15" customHeight="1">
      <c r="A9" s="442"/>
      <c r="B9" s="444"/>
      <c r="C9" s="435"/>
      <c r="D9" s="442"/>
      <c r="E9" s="443"/>
      <c r="F9" s="443"/>
      <c r="G9" s="443"/>
      <c r="H9" s="444"/>
      <c r="I9" s="442"/>
      <c r="J9" s="444"/>
      <c r="K9" s="442"/>
      <c r="L9" s="444"/>
      <c r="M9" s="466" t="s">
        <v>13</v>
      </c>
      <c r="N9" s="462"/>
      <c r="O9" s="467"/>
      <c r="P9" s="462"/>
      <c r="Q9" s="5"/>
      <c r="R9" s="5"/>
      <c r="S9" s="5"/>
      <c r="T9" s="5"/>
      <c r="U9" s="5"/>
      <c r="V9" s="5"/>
      <c r="W9" s="5"/>
      <c r="X9" s="5"/>
      <c r="Y9" s="5"/>
      <c r="Z9" s="6"/>
      <c r="AA9" s="5"/>
      <c r="AB9" s="5"/>
      <c r="AC9" s="11"/>
      <c r="AD9" s="12"/>
      <c r="AE9" s="1"/>
      <c r="AF9" s="1"/>
      <c r="AG9" s="1"/>
      <c r="AH9" s="1"/>
      <c r="AI9" s="1"/>
      <c r="AJ9" s="1"/>
      <c r="AK9" s="1"/>
      <c r="AL9" s="1"/>
      <c r="AM9" s="1"/>
      <c r="AN9" s="1"/>
      <c r="AO9" s="1"/>
    </row>
    <row r="10" spans="1:41" ht="15" customHeight="1">
      <c r="A10" s="13"/>
      <c r="B10" s="14"/>
      <c r="C10" s="14"/>
      <c r="D10" s="15"/>
      <c r="E10" s="15"/>
      <c r="F10" s="15"/>
      <c r="G10" s="15"/>
      <c r="H10" s="15"/>
      <c r="I10" s="16"/>
      <c r="J10" s="16"/>
      <c r="K10" s="15"/>
      <c r="L10" s="15"/>
      <c r="M10" s="17"/>
      <c r="N10" s="17"/>
      <c r="O10" s="18"/>
      <c r="P10" s="18"/>
      <c r="Q10" s="14"/>
      <c r="R10" s="14"/>
      <c r="S10" s="14"/>
      <c r="T10" s="14"/>
      <c r="U10" s="14"/>
      <c r="V10" s="14"/>
      <c r="W10" s="14"/>
      <c r="X10" s="14"/>
      <c r="Y10" s="14"/>
      <c r="Z10" s="19"/>
      <c r="AA10" s="14"/>
      <c r="AB10" s="14"/>
      <c r="AC10" s="20"/>
      <c r="AD10" s="21"/>
      <c r="AE10" s="1"/>
      <c r="AF10" s="1"/>
      <c r="AG10" s="1"/>
      <c r="AH10" s="1"/>
      <c r="AI10" s="1"/>
      <c r="AJ10" s="1"/>
      <c r="AK10" s="1"/>
      <c r="AL10" s="1"/>
      <c r="AM10" s="1"/>
      <c r="AN10" s="1"/>
      <c r="AO10" s="1"/>
    </row>
    <row r="11" spans="1:41" ht="15" customHeight="1">
      <c r="A11" s="436" t="s">
        <v>14</v>
      </c>
      <c r="B11" s="438"/>
      <c r="C11" s="451" t="s">
        <v>15</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c r="AE11" s="1"/>
      <c r="AF11" s="1"/>
      <c r="AG11" s="1"/>
      <c r="AH11" s="1"/>
      <c r="AI11" s="1"/>
      <c r="AJ11" s="1"/>
      <c r="AK11" s="1"/>
      <c r="AL11" s="1"/>
      <c r="AM11" s="1"/>
      <c r="AN11" s="1"/>
      <c r="AO11" s="1"/>
    </row>
    <row r="12" spans="1:41" ht="15" customHeight="1">
      <c r="A12" s="439"/>
      <c r="B12" s="441"/>
      <c r="C12" s="439"/>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1"/>
      <c r="AE12" s="1"/>
      <c r="AF12" s="1"/>
      <c r="AG12" s="1"/>
      <c r="AH12" s="1"/>
      <c r="AI12" s="1"/>
      <c r="AJ12" s="1"/>
      <c r="AK12" s="1"/>
      <c r="AL12" s="1"/>
      <c r="AM12" s="1"/>
      <c r="AN12" s="1"/>
      <c r="AO12" s="1"/>
    </row>
    <row r="13" spans="1:41" ht="15" customHeight="1">
      <c r="A13" s="442"/>
      <c r="B13" s="444"/>
      <c r="C13" s="442"/>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1"/>
      <c r="AF13" s="1"/>
      <c r="AG13" s="1"/>
      <c r="AH13" s="1"/>
      <c r="AI13" s="1"/>
      <c r="AJ13" s="1"/>
      <c r="AK13" s="1"/>
      <c r="AL13" s="1"/>
      <c r="AM13" s="1"/>
      <c r="AN13" s="1"/>
      <c r="AO13" s="1"/>
    </row>
    <row r="14" spans="1:41" ht="9" customHeight="1">
      <c r="A14" s="22"/>
      <c r="B14" s="23"/>
      <c r="C14" s="24"/>
      <c r="D14" s="24"/>
      <c r="E14" s="24"/>
      <c r="F14" s="24"/>
      <c r="G14" s="24"/>
      <c r="H14" s="24"/>
      <c r="I14" s="24"/>
      <c r="J14" s="24"/>
      <c r="K14" s="24"/>
      <c r="L14" s="24"/>
      <c r="M14" s="25"/>
      <c r="N14" s="25"/>
      <c r="O14" s="25"/>
      <c r="P14" s="25"/>
      <c r="Q14" s="25"/>
      <c r="R14" s="26"/>
      <c r="S14" s="26"/>
      <c r="T14" s="26"/>
      <c r="U14" s="26"/>
      <c r="V14" s="26"/>
      <c r="W14" s="26"/>
      <c r="X14" s="26"/>
      <c r="Y14" s="15"/>
      <c r="Z14" s="15"/>
      <c r="AA14" s="15"/>
      <c r="AB14" s="15"/>
      <c r="AC14" s="15"/>
      <c r="AD14" s="27"/>
      <c r="AE14" s="1"/>
      <c r="AF14" s="1"/>
      <c r="AG14" s="1"/>
      <c r="AH14" s="1"/>
      <c r="AI14" s="1"/>
      <c r="AJ14" s="1"/>
      <c r="AK14" s="1"/>
      <c r="AL14" s="1"/>
      <c r="AM14" s="1"/>
      <c r="AN14" s="1"/>
      <c r="AO14" s="1"/>
    </row>
    <row r="15" spans="1:41" ht="39" customHeight="1">
      <c r="A15" s="475" t="s">
        <v>16</v>
      </c>
      <c r="B15" s="454"/>
      <c r="C15" s="474" t="s">
        <v>476</v>
      </c>
      <c r="D15" s="453"/>
      <c r="E15" s="453"/>
      <c r="F15" s="453"/>
      <c r="G15" s="453"/>
      <c r="H15" s="453"/>
      <c r="I15" s="453"/>
      <c r="J15" s="453"/>
      <c r="K15" s="454"/>
      <c r="L15" s="452" t="s">
        <v>17</v>
      </c>
      <c r="M15" s="453"/>
      <c r="N15" s="453"/>
      <c r="O15" s="453"/>
      <c r="P15" s="453"/>
      <c r="Q15" s="454"/>
      <c r="R15" s="455" t="s">
        <v>18</v>
      </c>
      <c r="S15" s="453"/>
      <c r="T15" s="453"/>
      <c r="U15" s="453"/>
      <c r="V15" s="453"/>
      <c r="W15" s="453"/>
      <c r="X15" s="454"/>
      <c r="Y15" s="452" t="s">
        <v>19</v>
      </c>
      <c r="Z15" s="454"/>
      <c r="AA15" s="455" t="s">
        <v>20</v>
      </c>
      <c r="AB15" s="453"/>
      <c r="AC15" s="453"/>
      <c r="AD15" s="454"/>
      <c r="AE15" s="1"/>
      <c r="AF15" s="1"/>
      <c r="AG15" s="1"/>
      <c r="AH15" s="1"/>
      <c r="AI15" s="1"/>
      <c r="AJ15" s="1"/>
      <c r="AK15" s="1"/>
      <c r="AL15" s="1"/>
      <c r="AM15" s="1"/>
      <c r="AN15" s="1"/>
      <c r="AO15" s="1"/>
    </row>
    <row r="16" spans="1:41" ht="9" customHeight="1">
      <c r="A16" s="10"/>
      <c r="B16" s="5"/>
      <c r="C16" s="480"/>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81"/>
      <c r="AC16" s="28"/>
      <c r="AD16" s="29"/>
      <c r="AE16" s="1"/>
      <c r="AF16" s="1"/>
      <c r="AG16" s="1"/>
      <c r="AH16" s="1"/>
      <c r="AI16" s="1"/>
      <c r="AJ16" s="1"/>
      <c r="AK16" s="1"/>
      <c r="AL16" s="1"/>
      <c r="AM16" s="1"/>
      <c r="AN16" s="1"/>
      <c r="AO16" s="1"/>
    </row>
    <row r="17" spans="1:41" ht="37.5" customHeight="1">
      <c r="A17" s="475" t="s">
        <v>21</v>
      </c>
      <c r="B17" s="454"/>
      <c r="C17" s="474" t="s">
        <v>128</v>
      </c>
      <c r="D17" s="453"/>
      <c r="E17" s="453"/>
      <c r="F17" s="453"/>
      <c r="G17" s="453"/>
      <c r="H17" s="453"/>
      <c r="I17" s="453"/>
      <c r="J17" s="453"/>
      <c r="K17" s="453"/>
      <c r="L17" s="453"/>
      <c r="M17" s="453"/>
      <c r="N17" s="453"/>
      <c r="O17" s="453"/>
      <c r="P17" s="453"/>
      <c r="Q17" s="454"/>
      <c r="R17" s="452" t="s">
        <v>23</v>
      </c>
      <c r="S17" s="453"/>
      <c r="T17" s="453"/>
      <c r="U17" s="453"/>
      <c r="V17" s="454"/>
      <c r="W17" s="603">
        <v>0.25</v>
      </c>
      <c r="X17" s="454"/>
      <c r="Y17" s="523" t="s">
        <v>24</v>
      </c>
      <c r="Z17" s="453"/>
      <c r="AA17" s="453"/>
      <c r="AB17" s="454"/>
      <c r="AC17" s="479">
        <f>+B34</f>
        <v>0.15000000000000002</v>
      </c>
      <c r="AD17" s="454"/>
      <c r="AE17" s="30"/>
      <c r="AF17" s="30"/>
      <c r="AG17" s="30"/>
      <c r="AH17" s="30"/>
      <c r="AI17" s="30"/>
      <c r="AJ17" s="30"/>
      <c r="AK17" s="30"/>
      <c r="AL17" s="30"/>
      <c r="AM17" s="30"/>
      <c r="AN17" s="30"/>
      <c r="AO17" s="30"/>
    </row>
    <row r="18" spans="1:41" ht="16.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c r="AE18" s="1"/>
      <c r="AF18" s="1"/>
      <c r="AG18" s="1"/>
      <c r="AH18" s="1"/>
      <c r="AI18" s="1"/>
      <c r="AJ18" s="1"/>
      <c r="AK18" s="1"/>
      <c r="AL18" s="1"/>
      <c r="AM18" s="1"/>
      <c r="AN18" s="1"/>
      <c r="AO18" s="1"/>
    </row>
    <row r="19" spans="1:41" ht="31.5" customHeight="1">
      <c r="A19" s="452" t="s">
        <v>25</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4"/>
      <c r="AE19" s="34"/>
      <c r="AF19" s="34"/>
      <c r="AG19" s="1"/>
      <c r="AH19" s="1"/>
      <c r="AI19" s="1"/>
      <c r="AJ19" s="1"/>
      <c r="AK19" s="1"/>
      <c r="AL19" s="1"/>
      <c r="AM19" s="1"/>
      <c r="AN19" s="1"/>
      <c r="AO19" s="1"/>
    </row>
    <row r="20" spans="1:41" ht="31.5" customHeight="1">
      <c r="A20" s="35"/>
      <c r="B20" s="11"/>
      <c r="C20" s="476" t="s">
        <v>26</v>
      </c>
      <c r="D20" s="477"/>
      <c r="E20" s="477"/>
      <c r="F20" s="477"/>
      <c r="G20" s="477"/>
      <c r="H20" s="477"/>
      <c r="I20" s="477"/>
      <c r="J20" s="477"/>
      <c r="K20" s="477"/>
      <c r="L20" s="477"/>
      <c r="M20" s="477"/>
      <c r="N20" s="477"/>
      <c r="O20" s="477"/>
      <c r="P20" s="478"/>
      <c r="Q20" s="524" t="s">
        <v>27</v>
      </c>
      <c r="R20" s="525"/>
      <c r="S20" s="525"/>
      <c r="T20" s="525"/>
      <c r="U20" s="525"/>
      <c r="V20" s="525"/>
      <c r="W20" s="525"/>
      <c r="X20" s="525"/>
      <c r="Y20" s="525"/>
      <c r="Z20" s="525"/>
      <c r="AA20" s="525"/>
      <c r="AB20" s="525"/>
      <c r="AC20" s="525"/>
      <c r="AD20" s="526"/>
      <c r="AE20" s="34"/>
      <c r="AF20" s="34"/>
      <c r="AG20" s="1"/>
      <c r="AH20" s="1"/>
      <c r="AI20" s="1"/>
      <c r="AJ20" s="1"/>
      <c r="AK20" s="1"/>
      <c r="AL20" s="1"/>
      <c r="AM20" s="1"/>
      <c r="AN20" s="1"/>
      <c r="AO20" s="1"/>
    </row>
    <row r="21" spans="1:41" ht="31.5" customHeight="1">
      <c r="A21" s="10"/>
      <c r="B21" s="5"/>
      <c r="C21" s="36" t="s">
        <v>28</v>
      </c>
      <c r="D21" s="37" t="s">
        <v>29</v>
      </c>
      <c r="E21" s="37" t="s">
        <v>30</v>
      </c>
      <c r="F21" s="37" t="s">
        <v>31</v>
      </c>
      <c r="G21" s="37" t="s">
        <v>32</v>
      </c>
      <c r="H21" s="37" t="s">
        <v>33</v>
      </c>
      <c r="I21" s="37" t="s">
        <v>34</v>
      </c>
      <c r="J21" s="37" t="s">
        <v>35</v>
      </c>
      <c r="K21" s="37" t="s">
        <v>36</v>
      </c>
      <c r="L21" s="37" t="s">
        <v>37</v>
      </c>
      <c r="M21" s="37" t="s">
        <v>38</v>
      </c>
      <c r="N21" s="37" t="s">
        <v>39</v>
      </c>
      <c r="O21" s="37" t="s">
        <v>40</v>
      </c>
      <c r="P21" s="38" t="s">
        <v>41</v>
      </c>
      <c r="Q21" s="36" t="s">
        <v>28</v>
      </c>
      <c r="R21" s="37" t="s">
        <v>29</v>
      </c>
      <c r="S21" s="37" t="s">
        <v>30</v>
      </c>
      <c r="T21" s="37" t="s">
        <v>31</v>
      </c>
      <c r="U21" s="37" t="s">
        <v>32</v>
      </c>
      <c r="V21" s="37" t="s">
        <v>33</v>
      </c>
      <c r="W21" s="37" t="s">
        <v>34</v>
      </c>
      <c r="X21" s="37" t="s">
        <v>35</v>
      </c>
      <c r="Y21" s="37" t="s">
        <v>36</v>
      </c>
      <c r="Z21" s="37" t="s">
        <v>37</v>
      </c>
      <c r="AA21" s="37" t="s">
        <v>38</v>
      </c>
      <c r="AB21" s="37" t="s">
        <v>39</v>
      </c>
      <c r="AC21" s="37" t="s">
        <v>40</v>
      </c>
      <c r="AD21" s="38" t="s">
        <v>41</v>
      </c>
      <c r="AE21" s="34"/>
      <c r="AF21" s="34"/>
      <c r="AG21" s="1"/>
      <c r="AH21" s="1"/>
      <c r="AI21" s="1"/>
      <c r="AJ21" s="1"/>
      <c r="AK21" s="1"/>
      <c r="AL21" s="1"/>
      <c r="AM21" s="1"/>
      <c r="AN21" s="1"/>
      <c r="AO21" s="1"/>
    </row>
    <row r="22" spans="1:41" ht="31.5" customHeight="1" thickBot="1">
      <c r="A22" s="520" t="s">
        <v>42</v>
      </c>
      <c r="B22" s="521"/>
      <c r="C22" s="39"/>
      <c r="D22" s="40"/>
      <c r="E22" s="40"/>
      <c r="F22" s="40"/>
      <c r="G22" s="40"/>
      <c r="H22" s="40"/>
      <c r="I22" s="40"/>
      <c r="J22" s="40"/>
      <c r="K22" s="40"/>
      <c r="L22" s="40"/>
      <c r="M22" s="40"/>
      <c r="N22" s="40"/>
      <c r="O22" s="41">
        <f t="shared" ref="O22:O25" si="0">SUM(C22:N22)</f>
        <v>0</v>
      </c>
      <c r="P22" s="42"/>
      <c r="Q22" s="300">
        <v>1087452842</v>
      </c>
      <c r="R22" s="301">
        <v>22500000</v>
      </c>
      <c r="S22" s="301">
        <f>1862603187+400000000</f>
        <v>2262603187</v>
      </c>
      <c r="T22" s="301">
        <v>19980500</v>
      </c>
      <c r="U22" s="301">
        <f>2000000+14000000</f>
        <v>16000000</v>
      </c>
      <c r="V22" s="301">
        <v>1000000</v>
      </c>
      <c r="W22" s="301"/>
      <c r="X22" s="301">
        <f>35000000+37500000</f>
        <v>72500000</v>
      </c>
      <c r="Y22" s="301"/>
      <c r="Z22" s="301"/>
      <c r="AA22" s="301"/>
      <c r="AB22" s="301"/>
      <c r="AC22" s="41">
        <f t="shared" ref="AC22:AC23" si="1">SUM(Q22:AB22)</f>
        <v>3482036529</v>
      </c>
      <c r="AD22" s="43"/>
      <c r="AE22" s="34"/>
      <c r="AF22" s="34"/>
      <c r="AG22" s="1"/>
      <c r="AH22" s="1"/>
      <c r="AI22" s="1"/>
      <c r="AJ22" s="1"/>
      <c r="AK22" s="1"/>
      <c r="AL22" s="1"/>
      <c r="AM22" s="1"/>
      <c r="AN22" s="1"/>
      <c r="AO22" s="1"/>
    </row>
    <row r="23" spans="1:41" ht="31.5" customHeight="1">
      <c r="A23" s="514" t="s">
        <v>43</v>
      </c>
      <c r="B23" s="515"/>
      <c r="C23" s="44"/>
      <c r="D23" s="45"/>
      <c r="E23" s="45"/>
      <c r="F23" s="45"/>
      <c r="G23" s="45"/>
      <c r="H23" s="45"/>
      <c r="I23" s="45"/>
      <c r="J23" s="45"/>
      <c r="K23" s="45"/>
      <c r="L23" s="45"/>
      <c r="M23" s="45"/>
      <c r="N23" s="45"/>
      <c r="O23" s="46">
        <f t="shared" si="0"/>
        <v>0</v>
      </c>
      <c r="P23" s="47" t="str">
        <f>IFERROR(O23/(SUMIF(C23:N23,"&gt;0",C22:N22))," ")</f>
        <v xml:space="preserve"> </v>
      </c>
      <c r="Q23" s="300">
        <v>1087452840</v>
      </c>
      <c r="R23" s="306"/>
      <c r="S23" s="306"/>
      <c r="T23" s="306"/>
      <c r="U23" s="306"/>
      <c r="V23" s="306"/>
      <c r="W23" s="306"/>
      <c r="X23" s="306"/>
      <c r="Y23" s="306"/>
      <c r="Z23" s="306"/>
      <c r="AA23" s="306"/>
      <c r="AB23" s="306"/>
      <c r="AC23" s="46">
        <f t="shared" si="1"/>
        <v>1087452840</v>
      </c>
      <c r="AD23" s="49">
        <f>IFERROR(AC23/(SUMIF(Q23:AB23,"&gt;0",Q22:AB22))," ")</f>
        <v>0.99999999816083984</v>
      </c>
      <c r="AE23" s="34"/>
      <c r="AF23" s="34"/>
      <c r="AG23" s="1"/>
      <c r="AH23" s="1"/>
      <c r="AI23" s="1"/>
      <c r="AJ23" s="1"/>
      <c r="AK23" s="1"/>
      <c r="AL23" s="1"/>
      <c r="AM23" s="1"/>
      <c r="AN23" s="1"/>
      <c r="AO23" s="1"/>
    </row>
    <row r="24" spans="1:41" ht="31.5" customHeight="1">
      <c r="A24" s="514" t="s">
        <v>44</v>
      </c>
      <c r="B24" s="515"/>
      <c r="C24" s="50"/>
      <c r="D24" s="51">
        <v>4211667</v>
      </c>
      <c r="E24" s="51">
        <v>1354378</v>
      </c>
      <c r="F24" s="51">
        <v>1175000</v>
      </c>
      <c r="G24" s="46"/>
      <c r="H24" s="46"/>
      <c r="I24" s="46"/>
      <c r="J24" s="46"/>
      <c r="K24" s="46"/>
      <c r="L24" s="46"/>
      <c r="M24" s="46"/>
      <c r="N24" s="46"/>
      <c r="O24" s="46">
        <f t="shared" si="0"/>
        <v>6741045</v>
      </c>
      <c r="P24" s="52"/>
      <c r="Q24" s="311"/>
      <c r="R24" s="306">
        <v>37420042</v>
      </c>
      <c r="S24" s="306">
        <v>95526800</v>
      </c>
      <c r="T24" s="306">
        <v>98901800</v>
      </c>
      <c r="U24" s="306">
        <v>609658160</v>
      </c>
      <c r="V24" s="306">
        <v>576489980</v>
      </c>
      <c r="W24" s="306">
        <v>271584201</v>
      </c>
      <c r="X24" s="306">
        <v>258250867</v>
      </c>
      <c r="Y24" s="306">
        <v>258584201</v>
      </c>
      <c r="Z24" s="306">
        <v>258250867</v>
      </c>
      <c r="AA24" s="306">
        <v>289459201</v>
      </c>
      <c r="AB24" s="306">
        <f>277750867+450159543</f>
        <v>727910410</v>
      </c>
      <c r="AC24" s="46">
        <f>SUM(R24:AB24)</f>
        <v>3482036529</v>
      </c>
      <c r="AD24" s="49"/>
      <c r="AE24" s="34"/>
      <c r="AF24" s="34"/>
      <c r="AG24" s="1"/>
      <c r="AH24" s="1"/>
      <c r="AI24" s="1"/>
      <c r="AJ24" s="1"/>
      <c r="AK24" s="1"/>
      <c r="AL24" s="1"/>
      <c r="AM24" s="1"/>
      <c r="AN24" s="1"/>
      <c r="AO24" s="1"/>
    </row>
    <row r="25" spans="1:41" ht="31.5" customHeight="1">
      <c r="A25" s="482" t="s">
        <v>45</v>
      </c>
      <c r="B25" s="483"/>
      <c r="C25" s="53"/>
      <c r="D25" s="54"/>
      <c r="E25" s="54"/>
      <c r="F25" s="54"/>
      <c r="G25" s="55"/>
      <c r="H25" s="55"/>
      <c r="I25" s="55"/>
      <c r="J25" s="55"/>
      <c r="K25" s="55"/>
      <c r="L25" s="55"/>
      <c r="M25" s="55"/>
      <c r="N25" s="55"/>
      <c r="O25" s="56">
        <f t="shared" si="0"/>
        <v>0</v>
      </c>
      <c r="P25" s="57" t="str">
        <f>IFERROR(O25/(SUMIF(C25:N25,"&gt;0",C24:N24))," ")</f>
        <v xml:space="preserve"> </v>
      </c>
      <c r="Q25" s="53"/>
      <c r="R25" s="55"/>
      <c r="S25" s="55"/>
      <c r="T25" s="55"/>
      <c r="U25" s="55"/>
      <c r="V25" s="55"/>
      <c r="W25" s="55"/>
      <c r="X25" s="55"/>
      <c r="Y25" s="55"/>
      <c r="Z25" s="55"/>
      <c r="AA25" s="55"/>
      <c r="AB25" s="55"/>
      <c r="AC25" s="56">
        <f>SUM(Q25:AB25)</f>
        <v>0</v>
      </c>
      <c r="AD25" s="58" t="str">
        <f ca="1">IFERROR(AC25/(SUMIF(Q25:AB25,"&gt;0",R24:AB24))," ")</f>
        <v xml:space="preserve"> </v>
      </c>
      <c r="AE25" s="34"/>
      <c r="AF25" s="34"/>
      <c r="AG25" s="1"/>
      <c r="AH25" s="1"/>
      <c r="AI25" s="1"/>
      <c r="AJ25" s="1"/>
      <c r="AK25" s="1"/>
      <c r="AL25" s="1"/>
      <c r="AM25" s="1"/>
      <c r="AN25" s="1"/>
      <c r="AO25" s="1"/>
    </row>
    <row r="26" spans="1:41" ht="31.5" customHeight="1">
      <c r="A26" s="10"/>
      <c r="B26" s="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1"/>
      <c r="AD26" s="21"/>
      <c r="AE26" s="1"/>
      <c r="AF26" s="1"/>
      <c r="AG26" s="1"/>
      <c r="AH26" s="1"/>
      <c r="AI26" s="1"/>
      <c r="AJ26" s="1"/>
      <c r="AK26" s="1"/>
      <c r="AL26" s="1"/>
      <c r="AM26" s="1"/>
      <c r="AN26" s="1"/>
      <c r="AO26" s="1"/>
    </row>
    <row r="27" spans="1:41" ht="33.75" customHeight="1">
      <c r="A27" s="471" t="s">
        <v>46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47"/>
      <c r="AE27" s="1"/>
      <c r="AF27" s="1"/>
      <c r="AG27" s="1"/>
      <c r="AH27" s="1"/>
      <c r="AI27" s="1"/>
      <c r="AJ27" s="1"/>
      <c r="AK27" s="1"/>
      <c r="AL27" s="1"/>
      <c r="AM27" s="1"/>
      <c r="AN27" s="1"/>
      <c r="AO27" s="1"/>
    </row>
    <row r="28" spans="1:41" ht="15" customHeight="1">
      <c r="A28" s="516" t="s">
        <v>47</v>
      </c>
      <c r="B28" s="508" t="s">
        <v>48</v>
      </c>
      <c r="C28" s="518"/>
      <c r="D28" s="472" t="s">
        <v>49</v>
      </c>
      <c r="E28" s="464"/>
      <c r="F28" s="464"/>
      <c r="G28" s="464"/>
      <c r="H28" s="464"/>
      <c r="I28" s="464"/>
      <c r="J28" s="464"/>
      <c r="K28" s="464"/>
      <c r="L28" s="464"/>
      <c r="M28" s="464"/>
      <c r="N28" s="464"/>
      <c r="O28" s="473"/>
      <c r="P28" s="506" t="s">
        <v>40</v>
      </c>
      <c r="Q28" s="508" t="s">
        <v>50</v>
      </c>
      <c r="R28" s="509"/>
      <c r="S28" s="509"/>
      <c r="T28" s="509"/>
      <c r="U28" s="509"/>
      <c r="V28" s="509"/>
      <c r="W28" s="509"/>
      <c r="X28" s="509"/>
      <c r="Y28" s="509"/>
      <c r="Z28" s="509"/>
      <c r="AA28" s="509"/>
      <c r="AB28" s="509"/>
      <c r="AC28" s="509"/>
      <c r="AD28" s="510"/>
      <c r="AE28" s="1"/>
      <c r="AF28" s="1"/>
      <c r="AG28" s="1"/>
      <c r="AH28" s="1"/>
      <c r="AI28" s="1"/>
      <c r="AJ28" s="1"/>
      <c r="AK28" s="1"/>
      <c r="AL28" s="1"/>
      <c r="AM28" s="1"/>
      <c r="AN28" s="1"/>
      <c r="AO28" s="1"/>
    </row>
    <row r="29" spans="1:41" ht="27" customHeight="1">
      <c r="A29" s="517"/>
      <c r="B29" s="511"/>
      <c r="C29" s="519"/>
      <c r="D29" s="60" t="s">
        <v>28</v>
      </c>
      <c r="E29" s="60" t="s">
        <v>29</v>
      </c>
      <c r="F29" s="60" t="s">
        <v>30</v>
      </c>
      <c r="G29" s="60" t="s">
        <v>31</v>
      </c>
      <c r="H29" s="60" t="s">
        <v>32</v>
      </c>
      <c r="I29" s="60" t="s">
        <v>33</v>
      </c>
      <c r="J29" s="60" t="s">
        <v>34</v>
      </c>
      <c r="K29" s="60" t="s">
        <v>35</v>
      </c>
      <c r="L29" s="60" t="s">
        <v>36</v>
      </c>
      <c r="M29" s="60" t="s">
        <v>37</v>
      </c>
      <c r="N29" s="60" t="s">
        <v>38</v>
      </c>
      <c r="O29" s="60" t="s">
        <v>39</v>
      </c>
      <c r="P29" s="507"/>
      <c r="Q29" s="511"/>
      <c r="R29" s="512"/>
      <c r="S29" s="512"/>
      <c r="T29" s="512"/>
      <c r="U29" s="512"/>
      <c r="V29" s="512"/>
      <c r="W29" s="512"/>
      <c r="X29" s="512"/>
      <c r="Y29" s="512"/>
      <c r="Z29" s="512"/>
      <c r="AA29" s="512"/>
      <c r="AB29" s="512"/>
      <c r="AC29" s="512"/>
      <c r="AD29" s="513"/>
      <c r="AE29" s="1"/>
      <c r="AF29" s="1"/>
      <c r="AG29" s="1"/>
      <c r="AH29" s="1"/>
      <c r="AI29" s="1"/>
      <c r="AJ29" s="1"/>
      <c r="AK29" s="1"/>
      <c r="AL29" s="1"/>
      <c r="AM29" s="1"/>
      <c r="AN29" s="1"/>
      <c r="AO29" s="1"/>
    </row>
    <row r="30" spans="1:41" ht="54" customHeight="1">
      <c r="A30" s="61" t="s">
        <v>129</v>
      </c>
      <c r="B30" s="533" t="s">
        <v>166</v>
      </c>
      <c r="C30" s="518"/>
      <c r="D30" s="63"/>
      <c r="E30" s="63"/>
      <c r="F30" s="114"/>
      <c r="G30" s="63"/>
      <c r="H30" s="63"/>
      <c r="I30" s="63"/>
      <c r="J30" s="63"/>
      <c r="K30" s="63"/>
      <c r="L30" s="63"/>
      <c r="M30" s="63"/>
      <c r="N30" s="63"/>
      <c r="O30" s="63"/>
      <c r="P30" s="64">
        <f>SUM(D30:O30)</f>
        <v>0</v>
      </c>
      <c r="Q30" s="579"/>
      <c r="R30" s="464"/>
      <c r="S30" s="464"/>
      <c r="T30" s="464"/>
      <c r="U30" s="464"/>
      <c r="V30" s="464"/>
      <c r="W30" s="464"/>
      <c r="X30" s="464"/>
      <c r="Y30" s="464"/>
      <c r="Z30" s="464"/>
      <c r="AA30" s="464"/>
      <c r="AB30" s="464"/>
      <c r="AC30" s="464"/>
      <c r="AD30" s="449"/>
      <c r="AE30" s="1"/>
      <c r="AF30" s="1"/>
      <c r="AG30" s="1"/>
      <c r="AH30" s="1"/>
      <c r="AI30" s="1"/>
      <c r="AJ30" s="1"/>
      <c r="AK30" s="1"/>
      <c r="AL30" s="1"/>
      <c r="AM30" s="1"/>
      <c r="AN30" s="1"/>
      <c r="AO30" s="1"/>
    </row>
    <row r="31" spans="1:41" ht="45" customHeight="1">
      <c r="A31" s="471" t="s">
        <v>54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7"/>
      <c r="AE31" s="1"/>
      <c r="AF31" s="1"/>
      <c r="AG31" s="1"/>
      <c r="AH31" s="1"/>
      <c r="AI31" s="1"/>
      <c r="AJ31" s="1"/>
      <c r="AK31" s="1"/>
      <c r="AL31" s="1"/>
      <c r="AM31" s="1"/>
      <c r="AN31" s="1"/>
      <c r="AO31" s="1"/>
    </row>
    <row r="32" spans="1:41" ht="22.5" customHeight="1">
      <c r="A32" s="527" t="s">
        <v>55</v>
      </c>
      <c r="B32" s="506" t="s">
        <v>56</v>
      </c>
      <c r="C32" s="506" t="s">
        <v>48</v>
      </c>
      <c r="D32" s="472" t="s">
        <v>57</v>
      </c>
      <c r="E32" s="464"/>
      <c r="F32" s="464"/>
      <c r="G32" s="464"/>
      <c r="H32" s="464"/>
      <c r="I32" s="464"/>
      <c r="J32" s="464"/>
      <c r="K32" s="464"/>
      <c r="L32" s="464"/>
      <c r="M32" s="464"/>
      <c r="N32" s="464"/>
      <c r="O32" s="464"/>
      <c r="P32" s="473"/>
      <c r="Q32" s="472" t="s">
        <v>58</v>
      </c>
      <c r="R32" s="464"/>
      <c r="S32" s="464"/>
      <c r="T32" s="464"/>
      <c r="U32" s="464"/>
      <c r="V32" s="464"/>
      <c r="W32" s="464"/>
      <c r="X32" s="464"/>
      <c r="Y32" s="464"/>
      <c r="Z32" s="464"/>
      <c r="AA32" s="464"/>
      <c r="AB32" s="464"/>
      <c r="AC32" s="464"/>
      <c r="AD32" s="449"/>
      <c r="AE32" s="1"/>
      <c r="AF32" s="1"/>
      <c r="AG32" s="65"/>
      <c r="AH32" s="65"/>
      <c r="AI32" s="65"/>
      <c r="AJ32" s="65"/>
      <c r="AK32" s="65"/>
      <c r="AL32" s="65"/>
      <c r="AM32" s="65"/>
      <c r="AN32" s="65"/>
      <c r="AO32" s="65"/>
    </row>
    <row r="33" spans="1:41" ht="22.5" customHeight="1">
      <c r="A33" s="528"/>
      <c r="B33" s="507"/>
      <c r="C33" s="507"/>
      <c r="D33" s="60" t="s">
        <v>28</v>
      </c>
      <c r="E33" s="60" t="s">
        <v>29</v>
      </c>
      <c r="F33" s="60" t="s">
        <v>30</v>
      </c>
      <c r="G33" s="60" t="s">
        <v>31</v>
      </c>
      <c r="H33" s="60" t="s">
        <v>32</v>
      </c>
      <c r="I33" s="60" t="s">
        <v>33</v>
      </c>
      <c r="J33" s="60" t="s">
        <v>34</v>
      </c>
      <c r="K33" s="60" t="s">
        <v>35</v>
      </c>
      <c r="L33" s="60" t="s">
        <v>36</v>
      </c>
      <c r="M33" s="60" t="s">
        <v>37</v>
      </c>
      <c r="N33" s="60" t="s">
        <v>38</v>
      </c>
      <c r="O33" s="60" t="s">
        <v>39</v>
      </c>
      <c r="P33" s="60" t="s">
        <v>40</v>
      </c>
      <c r="Q33" s="484" t="s">
        <v>59</v>
      </c>
      <c r="R33" s="485"/>
      <c r="S33" s="485"/>
      <c r="T33" s="485"/>
      <c r="U33" s="485"/>
      <c r="V33" s="486"/>
      <c r="W33" s="484" t="s">
        <v>60</v>
      </c>
      <c r="X33" s="485"/>
      <c r="Y33" s="485"/>
      <c r="Z33" s="486"/>
      <c r="AA33" s="484" t="s">
        <v>61</v>
      </c>
      <c r="AB33" s="485"/>
      <c r="AC33" s="485"/>
      <c r="AD33" s="487"/>
      <c r="AE33" s="1"/>
      <c r="AF33" s="1"/>
      <c r="AG33" s="65"/>
      <c r="AH33" s="65"/>
      <c r="AI33" s="65"/>
      <c r="AJ33" s="65"/>
      <c r="AK33" s="65"/>
      <c r="AL33" s="65"/>
      <c r="AM33" s="65"/>
      <c r="AN33" s="65"/>
      <c r="AO33" s="65"/>
    </row>
    <row r="34" spans="1:41" ht="39.6" customHeight="1">
      <c r="A34" s="529" t="s">
        <v>129</v>
      </c>
      <c r="B34" s="531">
        <f>SUM(B38,B40,B42)</f>
        <v>0.15000000000000002</v>
      </c>
      <c r="C34" s="66" t="s">
        <v>62</v>
      </c>
      <c r="D34" s="131">
        <f t="shared" ref="D34:O35" si="2">+(D47)*$W$17</f>
        <v>2.0825E-2</v>
      </c>
      <c r="E34" s="131">
        <f t="shared" si="2"/>
        <v>2.0825E-2</v>
      </c>
      <c r="F34" s="131">
        <f t="shared" si="2"/>
        <v>2.0825E-2</v>
      </c>
      <c r="G34" s="131">
        <f t="shared" si="2"/>
        <v>2.0825E-2</v>
      </c>
      <c r="H34" s="131">
        <f t="shared" si="2"/>
        <v>2.0825E-2</v>
      </c>
      <c r="I34" s="131">
        <f t="shared" si="2"/>
        <v>2.0825E-2</v>
      </c>
      <c r="J34" s="131">
        <f t="shared" si="2"/>
        <v>2.0825E-2</v>
      </c>
      <c r="K34" s="131">
        <f t="shared" si="2"/>
        <v>2.0825E-2</v>
      </c>
      <c r="L34" s="131">
        <f t="shared" si="2"/>
        <v>2.0825E-2</v>
      </c>
      <c r="M34" s="131">
        <f t="shared" si="2"/>
        <v>2.0825E-2</v>
      </c>
      <c r="N34" s="131">
        <f t="shared" si="2"/>
        <v>2.0825E-2</v>
      </c>
      <c r="O34" s="131">
        <f t="shared" si="2"/>
        <v>2.0825E-2</v>
      </c>
      <c r="P34" s="123">
        <f t="shared" ref="P34:P35" si="3">SUM(D34:O34)</f>
        <v>0.24990000000000004</v>
      </c>
      <c r="Q34" s="494" t="s">
        <v>541</v>
      </c>
      <c r="R34" s="614"/>
      <c r="S34" s="614"/>
      <c r="T34" s="614"/>
      <c r="U34" s="614"/>
      <c r="V34" s="615"/>
      <c r="W34" s="494" t="s">
        <v>593</v>
      </c>
      <c r="X34" s="614"/>
      <c r="Y34" s="614"/>
      <c r="Z34" s="615"/>
      <c r="AA34" s="547"/>
      <c r="AB34" s="509"/>
      <c r="AC34" s="509"/>
      <c r="AD34" s="510"/>
      <c r="AE34" s="1"/>
      <c r="AF34" s="1"/>
      <c r="AG34" s="65"/>
      <c r="AH34" s="65"/>
      <c r="AI34" s="65"/>
      <c r="AJ34" s="65"/>
      <c r="AK34" s="65"/>
      <c r="AL34" s="65"/>
      <c r="AM34" s="65"/>
      <c r="AN34" s="65"/>
      <c r="AO34" s="65"/>
    </row>
    <row r="35" spans="1:41" ht="39.6" customHeight="1" thickBot="1">
      <c r="A35" s="530"/>
      <c r="B35" s="532"/>
      <c r="C35" s="69" t="s">
        <v>66</v>
      </c>
      <c r="D35" s="373">
        <f t="shared" si="2"/>
        <v>3.3333333333333335E-3</v>
      </c>
      <c r="E35" s="261" t="e">
        <f t="shared" ref="E35:O35" si="4">+E48</f>
        <v>#DIV/0!</v>
      </c>
      <c r="F35" s="261" t="e">
        <f t="shared" si="4"/>
        <v>#DIV/0!</v>
      </c>
      <c r="G35" s="261" t="e">
        <f t="shared" si="4"/>
        <v>#DIV/0!</v>
      </c>
      <c r="H35" s="261" t="e">
        <f t="shared" si="4"/>
        <v>#DIV/0!</v>
      </c>
      <c r="I35" s="261" t="e">
        <f t="shared" si="4"/>
        <v>#DIV/0!</v>
      </c>
      <c r="J35" s="261" t="e">
        <f t="shared" si="4"/>
        <v>#DIV/0!</v>
      </c>
      <c r="K35" s="261" t="e">
        <f t="shared" si="4"/>
        <v>#DIV/0!</v>
      </c>
      <c r="L35" s="261" t="e">
        <f t="shared" si="4"/>
        <v>#DIV/0!</v>
      </c>
      <c r="M35" s="261" t="e">
        <f t="shared" si="4"/>
        <v>#DIV/0!</v>
      </c>
      <c r="N35" s="261" t="e">
        <f t="shared" si="4"/>
        <v>#DIV/0!</v>
      </c>
      <c r="O35" s="261" t="e">
        <f t="shared" si="4"/>
        <v>#DIV/0!</v>
      </c>
      <c r="P35" s="260" t="e">
        <f t="shared" si="3"/>
        <v>#DIV/0!</v>
      </c>
      <c r="Q35" s="497"/>
      <c r="R35" s="616"/>
      <c r="S35" s="616"/>
      <c r="T35" s="616"/>
      <c r="U35" s="616"/>
      <c r="V35" s="499"/>
      <c r="W35" s="497"/>
      <c r="X35" s="616"/>
      <c r="Y35" s="616"/>
      <c r="Z35" s="499"/>
      <c r="AA35" s="548"/>
      <c r="AB35" s="443"/>
      <c r="AC35" s="443"/>
      <c r="AD35" s="444"/>
      <c r="AE35" s="70"/>
      <c r="AF35" s="1"/>
      <c r="AG35" s="65"/>
      <c r="AH35" s="65"/>
      <c r="AI35" s="65"/>
      <c r="AJ35" s="65"/>
      <c r="AK35" s="65"/>
      <c r="AL35" s="65"/>
      <c r="AM35" s="65"/>
      <c r="AN35" s="65"/>
      <c r="AO35" s="65"/>
    </row>
    <row r="36" spans="1:41" ht="33.75" customHeight="1">
      <c r="A36" s="537" t="s">
        <v>67</v>
      </c>
      <c r="B36" s="538" t="s">
        <v>68</v>
      </c>
      <c r="C36" s="540" t="s">
        <v>69</v>
      </c>
      <c r="D36" s="457"/>
      <c r="E36" s="457"/>
      <c r="F36" s="457"/>
      <c r="G36" s="457"/>
      <c r="H36" s="457"/>
      <c r="I36" s="457"/>
      <c r="J36" s="457"/>
      <c r="K36" s="457"/>
      <c r="L36" s="457"/>
      <c r="M36" s="457"/>
      <c r="N36" s="457"/>
      <c r="O36" s="457"/>
      <c r="P36" s="541"/>
      <c r="Q36" s="540" t="s">
        <v>70</v>
      </c>
      <c r="R36" s="457"/>
      <c r="S36" s="457"/>
      <c r="T36" s="457"/>
      <c r="U36" s="457"/>
      <c r="V36" s="457"/>
      <c r="W36" s="457"/>
      <c r="X36" s="457"/>
      <c r="Y36" s="457"/>
      <c r="Z36" s="457"/>
      <c r="AA36" s="457"/>
      <c r="AB36" s="457"/>
      <c r="AC36" s="457"/>
      <c r="AD36" s="447"/>
      <c r="AE36" s="1"/>
      <c r="AF36" s="1"/>
      <c r="AG36" s="65"/>
      <c r="AH36" s="65"/>
      <c r="AI36" s="65"/>
      <c r="AJ36" s="65"/>
      <c r="AK36" s="65"/>
      <c r="AL36" s="65"/>
      <c r="AM36" s="65"/>
      <c r="AN36" s="65"/>
      <c r="AO36" s="65"/>
    </row>
    <row r="37" spans="1:41" ht="38.450000000000003" customHeight="1">
      <c r="A37" s="528"/>
      <c r="B37" s="507"/>
      <c r="C37" s="60" t="s">
        <v>71</v>
      </c>
      <c r="D37" s="60" t="s">
        <v>72</v>
      </c>
      <c r="E37" s="60" t="s">
        <v>73</v>
      </c>
      <c r="F37" s="60" t="s">
        <v>74</v>
      </c>
      <c r="G37" s="60" t="s">
        <v>75</v>
      </c>
      <c r="H37" s="60" t="s">
        <v>76</v>
      </c>
      <c r="I37" s="60" t="s">
        <v>77</v>
      </c>
      <c r="J37" s="60" t="s">
        <v>78</v>
      </c>
      <c r="K37" s="60" t="s">
        <v>79</v>
      </c>
      <c r="L37" s="60" t="s">
        <v>80</v>
      </c>
      <c r="M37" s="60" t="s">
        <v>81</v>
      </c>
      <c r="N37" s="60" t="s">
        <v>82</v>
      </c>
      <c r="O37" s="60" t="s">
        <v>83</v>
      </c>
      <c r="P37" s="60" t="s">
        <v>84</v>
      </c>
      <c r="Q37" s="472" t="s">
        <v>85</v>
      </c>
      <c r="R37" s="464"/>
      <c r="S37" s="464"/>
      <c r="T37" s="464"/>
      <c r="U37" s="464"/>
      <c r="V37" s="464"/>
      <c r="W37" s="464"/>
      <c r="X37" s="464"/>
      <c r="Y37" s="464"/>
      <c r="Z37" s="464"/>
      <c r="AA37" s="464"/>
      <c r="AB37" s="464"/>
      <c r="AC37" s="464"/>
      <c r="AD37" s="449"/>
      <c r="AE37" s="1"/>
      <c r="AF37" s="1"/>
      <c r="AG37" s="71"/>
      <c r="AH37" s="71"/>
      <c r="AI37" s="71"/>
      <c r="AJ37" s="71"/>
      <c r="AK37" s="71"/>
      <c r="AL37" s="71"/>
      <c r="AM37" s="71"/>
      <c r="AN37" s="71"/>
      <c r="AO37" s="71"/>
    </row>
    <row r="38" spans="1:41" ht="31.5" customHeight="1">
      <c r="A38" s="604" t="s">
        <v>564</v>
      </c>
      <c r="B38" s="539">
        <v>0.05</v>
      </c>
      <c r="C38" s="66" t="s">
        <v>62</v>
      </c>
      <c r="D38" s="72">
        <v>8.3299999999999999E-2</v>
      </c>
      <c r="E38" s="72">
        <v>8.3299999999999999E-2</v>
      </c>
      <c r="F38" s="72">
        <v>8.3299999999999999E-2</v>
      </c>
      <c r="G38" s="72">
        <v>8.3299999999999999E-2</v>
      </c>
      <c r="H38" s="72">
        <v>8.3299999999999999E-2</v>
      </c>
      <c r="I38" s="72">
        <v>8.3299999999999999E-2</v>
      </c>
      <c r="J38" s="72">
        <v>8.3299999999999999E-2</v>
      </c>
      <c r="K38" s="72">
        <v>8.3299999999999999E-2</v>
      </c>
      <c r="L38" s="72">
        <v>8.3299999999999999E-2</v>
      </c>
      <c r="M38" s="72">
        <v>8.3299999999999999E-2</v>
      </c>
      <c r="N38" s="72">
        <v>8.3299999999999999E-2</v>
      </c>
      <c r="O38" s="72">
        <v>8.3299999999999999E-2</v>
      </c>
      <c r="P38" s="73">
        <f t="shared" ref="P38:P43" si="5">SUM(D38:O38)</f>
        <v>0.99960000000000016</v>
      </c>
      <c r="Q38" s="494" t="s">
        <v>546</v>
      </c>
      <c r="R38" s="542"/>
      <c r="S38" s="542"/>
      <c r="T38" s="542"/>
      <c r="U38" s="542"/>
      <c r="V38" s="542"/>
      <c r="W38" s="542"/>
      <c r="X38" s="542"/>
      <c r="Y38" s="542"/>
      <c r="Z38" s="542"/>
      <c r="AA38" s="542"/>
      <c r="AB38" s="542"/>
      <c r="AC38" s="542"/>
      <c r="AD38" s="510"/>
      <c r="AE38" s="74"/>
      <c r="AF38" s="1"/>
      <c r="AG38" s="75"/>
      <c r="AH38" s="75"/>
      <c r="AI38" s="75"/>
      <c r="AJ38" s="75"/>
      <c r="AK38" s="75"/>
      <c r="AL38" s="75"/>
      <c r="AM38" s="75"/>
      <c r="AN38" s="75"/>
      <c r="AO38" s="75"/>
    </row>
    <row r="39" spans="1:41" ht="31.5" customHeight="1">
      <c r="A39" s="528"/>
      <c r="B39" s="507"/>
      <c r="C39" s="76" t="s">
        <v>66</v>
      </c>
      <c r="D39" s="322">
        <v>0.04</v>
      </c>
      <c r="E39" s="77"/>
      <c r="F39" s="77"/>
      <c r="G39" s="77"/>
      <c r="H39" s="77"/>
      <c r="I39" s="77"/>
      <c r="J39" s="77"/>
      <c r="K39" s="77"/>
      <c r="L39" s="77"/>
      <c r="M39" s="77"/>
      <c r="N39" s="77"/>
      <c r="O39" s="77"/>
      <c r="P39" s="78">
        <f t="shared" si="5"/>
        <v>0.04</v>
      </c>
      <c r="Q39" s="543"/>
      <c r="R39" s="544"/>
      <c r="S39" s="544"/>
      <c r="T39" s="544"/>
      <c r="U39" s="544"/>
      <c r="V39" s="544"/>
      <c r="W39" s="544"/>
      <c r="X39" s="544"/>
      <c r="Y39" s="544"/>
      <c r="Z39" s="544"/>
      <c r="AA39" s="544"/>
      <c r="AB39" s="544"/>
      <c r="AC39" s="544"/>
      <c r="AD39" s="526"/>
      <c r="AE39" s="74"/>
      <c r="AF39" s="1"/>
      <c r="AG39" s="1"/>
      <c r="AH39" s="1"/>
      <c r="AI39" s="1"/>
      <c r="AJ39" s="1"/>
      <c r="AK39" s="1"/>
      <c r="AL39" s="1"/>
      <c r="AM39" s="1"/>
      <c r="AN39" s="1"/>
      <c r="AO39" s="1"/>
    </row>
    <row r="40" spans="1:41" ht="31.5" customHeight="1">
      <c r="A40" s="535" t="s">
        <v>565</v>
      </c>
      <c r="B40" s="536">
        <v>0.05</v>
      </c>
      <c r="C40" s="79" t="s">
        <v>62</v>
      </c>
      <c r="D40" s="72">
        <v>8.3299999999999999E-2</v>
      </c>
      <c r="E40" s="72">
        <v>8.3299999999999999E-2</v>
      </c>
      <c r="F40" s="72">
        <v>8.3299999999999999E-2</v>
      </c>
      <c r="G40" s="72">
        <v>8.3299999999999999E-2</v>
      </c>
      <c r="H40" s="72">
        <v>8.3299999999999999E-2</v>
      </c>
      <c r="I40" s="72">
        <v>8.3299999999999999E-2</v>
      </c>
      <c r="J40" s="72">
        <v>8.3299999999999999E-2</v>
      </c>
      <c r="K40" s="72">
        <v>8.3299999999999999E-2</v>
      </c>
      <c r="L40" s="72">
        <v>8.3299999999999999E-2</v>
      </c>
      <c r="M40" s="72">
        <v>8.3299999999999999E-2</v>
      </c>
      <c r="N40" s="72">
        <v>8.3299999999999999E-2</v>
      </c>
      <c r="O40" s="72">
        <v>8.3299999999999999E-2</v>
      </c>
      <c r="P40" s="78">
        <f t="shared" si="5"/>
        <v>0.99960000000000016</v>
      </c>
      <c r="Q40" s="494" t="s">
        <v>568</v>
      </c>
      <c r="R40" s="495"/>
      <c r="S40" s="495"/>
      <c r="T40" s="495"/>
      <c r="U40" s="495"/>
      <c r="V40" s="495"/>
      <c r="W40" s="495"/>
      <c r="X40" s="495"/>
      <c r="Y40" s="495"/>
      <c r="Z40" s="495"/>
      <c r="AA40" s="495"/>
      <c r="AB40" s="495"/>
      <c r="AC40" s="495"/>
      <c r="AD40" s="586"/>
      <c r="AE40" s="74"/>
      <c r="AF40" s="1"/>
      <c r="AG40" s="1"/>
      <c r="AH40" s="1"/>
      <c r="AI40" s="1"/>
      <c r="AJ40" s="1"/>
      <c r="AK40" s="1"/>
      <c r="AL40" s="1"/>
      <c r="AM40" s="1"/>
      <c r="AN40" s="1"/>
      <c r="AO40" s="1"/>
    </row>
    <row r="41" spans="1:41" ht="31.5" customHeight="1">
      <c r="A41" s="528"/>
      <c r="B41" s="507"/>
      <c r="C41" s="76" t="s">
        <v>66</v>
      </c>
      <c r="D41" s="322">
        <v>0</v>
      </c>
      <c r="E41" s="77"/>
      <c r="F41" s="77"/>
      <c r="G41" s="77"/>
      <c r="H41" s="77"/>
      <c r="I41" s="77"/>
      <c r="J41" s="77"/>
      <c r="K41" s="77"/>
      <c r="L41" s="80"/>
      <c r="M41" s="80"/>
      <c r="N41" s="80"/>
      <c r="O41" s="80"/>
      <c r="P41" s="78">
        <f t="shared" si="5"/>
        <v>0</v>
      </c>
      <c r="Q41" s="587"/>
      <c r="R41" s="588"/>
      <c r="S41" s="588"/>
      <c r="T41" s="588"/>
      <c r="U41" s="588"/>
      <c r="V41" s="588"/>
      <c r="W41" s="588"/>
      <c r="X41" s="588"/>
      <c r="Y41" s="588"/>
      <c r="Z41" s="588"/>
      <c r="AA41" s="588"/>
      <c r="AB41" s="588"/>
      <c r="AC41" s="588"/>
      <c r="AD41" s="589"/>
      <c r="AE41" s="74"/>
      <c r="AF41" s="1"/>
      <c r="AG41" s="1"/>
      <c r="AH41" s="1"/>
      <c r="AI41" s="1"/>
      <c r="AJ41" s="1"/>
      <c r="AK41" s="1"/>
      <c r="AL41" s="1"/>
      <c r="AM41" s="1"/>
      <c r="AN41" s="1"/>
      <c r="AO41" s="1"/>
    </row>
    <row r="42" spans="1:41" ht="31.5" customHeight="1">
      <c r="A42" s="604" t="s">
        <v>566</v>
      </c>
      <c r="B42" s="539">
        <v>0.05</v>
      </c>
      <c r="C42" s="79" t="s">
        <v>62</v>
      </c>
      <c r="D42" s="72">
        <v>8.3299999999999999E-2</v>
      </c>
      <c r="E42" s="72">
        <v>8.3299999999999999E-2</v>
      </c>
      <c r="F42" s="72">
        <v>8.3299999999999999E-2</v>
      </c>
      <c r="G42" s="72">
        <v>8.3299999999999999E-2</v>
      </c>
      <c r="H42" s="72">
        <v>8.3299999999999999E-2</v>
      </c>
      <c r="I42" s="72">
        <v>8.3299999999999999E-2</v>
      </c>
      <c r="J42" s="72">
        <v>8.3299999999999999E-2</v>
      </c>
      <c r="K42" s="72">
        <v>8.3299999999999999E-2</v>
      </c>
      <c r="L42" s="72">
        <v>8.3299999999999999E-2</v>
      </c>
      <c r="M42" s="72">
        <v>8.3299999999999999E-2</v>
      </c>
      <c r="N42" s="72">
        <v>8.3299999999999999E-2</v>
      </c>
      <c r="O42" s="72">
        <v>8.3299999999999999E-2</v>
      </c>
      <c r="P42" s="78">
        <f t="shared" si="5"/>
        <v>0.99960000000000016</v>
      </c>
      <c r="Q42" s="545" t="s">
        <v>594</v>
      </c>
      <c r="R42" s="546"/>
      <c r="S42" s="546"/>
      <c r="T42" s="546"/>
      <c r="U42" s="546"/>
      <c r="V42" s="546"/>
      <c r="W42" s="546"/>
      <c r="X42" s="546"/>
      <c r="Y42" s="546"/>
      <c r="Z42" s="546"/>
      <c r="AA42" s="546"/>
      <c r="AB42" s="546"/>
      <c r="AC42" s="546"/>
      <c r="AD42" s="546"/>
      <c r="AE42" s="74"/>
      <c r="AF42" s="1"/>
      <c r="AG42" s="1"/>
      <c r="AH42" s="1"/>
      <c r="AI42" s="1"/>
      <c r="AJ42" s="1"/>
      <c r="AK42" s="1"/>
      <c r="AL42" s="1"/>
      <c r="AM42" s="1"/>
      <c r="AN42" s="1"/>
      <c r="AO42" s="1"/>
    </row>
    <row r="43" spans="1:41" ht="31.5" customHeight="1">
      <c r="A43" s="528"/>
      <c r="B43" s="507"/>
      <c r="C43" s="76" t="s">
        <v>66</v>
      </c>
      <c r="D43" s="322">
        <v>0</v>
      </c>
      <c r="E43" s="77"/>
      <c r="F43" s="77"/>
      <c r="G43" s="77"/>
      <c r="H43" s="77"/>
      <c r="I43" s="77"/>
      <c r="J43" s="77"/>
      <c r="K43" s="77"/>
      <c r="L43" s="80"/>
      <c r="M43" s="80"/>
      <c r="N43" s="80"/>
      <c r="O43" s="80"/>
      <c r="P43" s="78">
        <f t="shared" si="5"/>
        <v>0</v>
      </c>
      <c r="Q43" s="546"/>
      <c r="R43" s="546"/>
      <c r="S43" s="546"/>
      <c r="T43" s="546"/>
      <c r="U43" s="546"/>
      <c r="V43" s="546"/>
      <c r="W43" s="546"/>
      <c r="X43" s="546"/>
      <c r="Y43" s="546"/>
      <c r="Z43" s="546"/>
      <c r="AA43" s="546"/>
      <c r="AB43" s="546"/>
      <c r="AC43" s="546"/>
      <c r="AD43" s="546"/>
      <c r="AE43" s="74"/>
      <c r="AF43" s="1"/>
      <c r="AG43" s="1"/>
      <c r="AH43" s="1"/>
      <c r="AI43" s="1"/>
      <c r="AJ43" s="1"/>
      <c r="AK43" s="1"/>
      <c r="AL43" s="1"/>
      <c r="AM43" s="1"/>
      <c r="AN43" s="1"/>
      <c r="AO43" s="1"/>
    </row>
    <row r="44" spans="1:41" ht="14.25" customHeight="1">
      <c r="A44" s="1" t="s">
        <v>87</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371">
        <f>+LEN(Q34)</f>
        <v>510</v>
      </c>
      <c r="R46" s="371">
        <f>+LEN(Q49)</f>
        <v>296</v>
      </c>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83" t="s">
        <v>88</v>
      </c>
      <c r="D47" s="116">
        <f t="shared" ref="D47:O47" si="6">AVERAGE(D38,D40,D42)</f>
        <v>8.3299999999999999E-2</v>
      </c>
      <c r="E47" s="116">
        <f t="shared" si="6"/>
        <v>8.3299999999999999E-2</v>
      </c>
      <c r="F47" s="116">
        <f t="shared" si="6"/>
        <v>8.3299999999999999E-2</v>
      </c>
      <c r="G47" s="116">
        <f t="shared" si="6"/>
        <v>8.3299999999999999E-2</v>
      </c>
      <c r="H47" s="116">
        <f t="shared" si="6"/>
        <v>8.3299999999999999E-2</v>
      </c>
      <c r="I47" s="116">
        <f t="shared" si="6"/>
        <v>8.3299999999999999E-2</v>
      </c>
      <c r="J47" s="116">
        <f t="shared" si="6"/>
        <v>8.3299999999999999E-2</v>
      </c>
      <c r="K47" s="116">
        <f t="shared" si="6"/>
        <v>8.3299999999999999E-2</v>
      </c>
      <c r="L47" s="116">
        <f t="shared" si="6"/>
        <v>8.3299999999999999E-2</v>
      </c>
      <c r="M47" s="116">
        <f t="shared" si="6"/>
        <v>8.3299999999999999E-2</v>
      </c>
      <c r="N47" s="116">
        <f t="shared" si="6"/>
        <v>8.3299999999999999E-2</v>
      </c>
      <c r="O47" s="116">
        <f t="shared" si="6"/>
        <v>8.3299999999999999E-2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86" t="s">
        <v>89</v>
      </c>
      <c r="D48" s="117">
        <f t="shared" ref="D48:O48" si="7">AVERAGE(D39,D41,D43)</f>
        <v>1.3333333333333334E-2</v>
      </c>
      <c r="E48" s="117" t="e">
        <f t="shared" si="7"/>
        <v>#DIV/0!</v>
      </c>
      <c r="F48" s="117" t="e">
        <f t="shared" si="7"/>
        <v>#DIV/0!</v>
      </c>
      <c r="G48" s="117" t="e">
        <f t="shared" si="7"/>
        <v>#DIV/0!</v>
      </c>
      <c r="H48" s="117" t="e">
        <f t="shared" si="7"/>
        <v>#DIV/0!</v>
      </c>
      <c r="I48" s="117" t="e">
        <f t="shared" si="7"/>
        <v>#DIV/0!</v>
      </c>
      <c r="J48" s="117" t="e">
        <f t="shared" si="7"/>
        <v>#DIV/0!</v>
      </c>
      <c r="K48" s="117" t="e">
        <f t="shared" si="7"/>
        <v>#DIV/0!</v>
      </c>
      <c r="L48" s="117" t="e">
        <f t="shared" si="7"/>
        <v>#DIV/0!</v>
      </c>
      <c r="M48" s="117" t="e">
        <f t="shared" si="7"/>
        <v>#DIV/0!</v>
      </c>
      <c r="N48" s="117" t="e">
        <f t="shared" si="7"/>
        <v>#DIV/0!</v>
      </c>
      <c r="O48" s="117" t="e">
        <f t="shared" si="7"/>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90" t="s">
        <v>569</v>
      </c>
      <c r="R49" s="590"/>
      <c r="S49" s="590"/>
      <c r="T49" s="590"/>
      <c r="U49" s="590"/>
      <c r="V49" s="590"/>
      <c r="W49" s="590"/>
      <c r="X49" s="590"/>
      <c r="Y49" s="590"/>
      <c r="Z49" s="590"/>
      <c r="AA49" s="590"/>
      <c r="AB49" s="590"/>
      <c r="AC49" s="590"/>
      <c r="AD49" s="590"/>
      <c r="AE49" s="1"/>
      <c r="AF49" s="1"/>
      <c r="AG49" s="1"/>
      <c r="AH49" s="1"/>
      <c r="AI49" s="1"/>
      <c r="AJ49" s="1"/>
      <c r="AK49" s="1"/>
      <c r="AL49" s="1"/>
      <c r="AM49" s="1"/>
      <c r="AN49" s="1"/>
      <c r="AO49" s="1"/>
    </row>
    <row r="50" spans="1:41" ht="28.5" customHeight="1">
      <c r="A50" s="1"/>
      <c r="B50" s="1"/>
      <c r="C50" s="137" t="s">
        <v>130</v>
      </c>
      <c r="D50" s="329"/>
      <c r="E50" s="135"/>
      <c r="F50" s="135"/>
      <c r="G50" s="119"/>
      <c r="H50" s="119"/>
      <c r="I50" s="119"/>
      <c r="J50" s="119"/>
      <c r="K50" s="119"/>
      <c r="L50" s="119"/>
      <c r="M50" s="119"/>
      <c r="N50" s="119"/>
      <c r="O50" s="119"/>
      <c r="P50" s="1"/>
      <c r="Q50" s="590"/>
      <c r="R50" s="590"/>
      <c r="S50" s="590"/>
      <c r="T50" s="590"/>
      <c r="U50" s="590"/>
      <c r="V50" s="590"/>
      <c r="W50" s="590"/>
      <c r="X50" s="590"/>
      <c r="Y50" s="590"/>
      <c r="Z50" s="590"/>
      <c r="AA50" s="590"/>
      <c r="AB50" s="590"/>
      <c r="AC50" s="590"/>
      <c r="AD50" s="590"/>
      <c r="AE50" s="1"/>
      <c r="AF50" s="1"/>
      <c r="AG50" s="1"/>
      <c r="AH50" s="1"/>
      <c r="AI50" s="1"/>
      <c r="AJ50" s="1"/>
      <c r="AK50" s="1"/>
      <c r="AL50" s="1"/>
      <c r="AM50" s="1"/>
      <c r="AN50" s="1"/>
      <c r="AO50" s="1"/>
    </row>
    <row r="51" spans="1:41" ht="28.5" customHeight="1">
      <c r="A51" s="1"/>
      <c r="B51" s="1"/>
      <c r="C51" s="138" t="s">
        <v>131</v>
      </c>
      <c r="D51" s="330"/>
      <c r="E51" s="136"/>
      <c r="F51" s="136"/>
      <c r="G51" s="121"/>
      <c r="H51" s="121"/>
      <c r="I51" s="121"/>
      <c r="J51" s="121"/>
      <c r="K51" s="121"/>
      <c r="L51" s="121"/>
      <c r="M51" s="121"/>
      <c r="N51" s="121"/>
      <c r="O51" s="12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137" t="s">
        <v>132</v>
      </c>
      <c r="D52" s="329"/>
      <c r="E52" s="135"/>
      <c r="F52" s="135"/>
      <c r="G52" s="119"/>
      <c r="H52" s="119"/>
      <c r="I52" s="119"/>
      <c r="J52" s="119"/>
      <c r="K52" s="119"/>
      <c r="L52" s="119"/>
      <c r="M52" s="119"/>
      <c r="N52" s="119"/>
      <c r="O52" s="11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W34 AA34 Q38 Q40 Q42 Q49" xr:uid="{00000000-0002-0000-0700-000001000000}">
      <formula1>LTE(LEN(Q34),(2000))</formula1>
    </dataValidation>
    <dataValidation type="list" allowBlank="1" showInputMessage="1" showErrorMessage="1" prompt=" - " sqref="C7" xr:uid="{00000000-0002-0000-0700-000002000000}">
      <formula1>$C$21:$N$21</formula1>
    </dataValidation>
  </dataValidation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VALIDACION</vt:lpstr>
      <vt:lpstr>Metas 1</vt:lpstr>
      <vt:lpstr>Meta 1..n</vt:lpstr>
      <vt:lpstr>Metas 2</vt:lpstr>
      <vt:lpstr>Metas 3</vt:lpstr>
      <vt:lpstr>Metas 4 (Contrato relevos)</vt:lpstr>
      <vt:lpstr>Metas 5</vt:lpstr>
      <vt:lpstr>Metas 6 (ONU Mujeres)</vt:lpstr>
      <vt:lpstr>Metas 7 (Unidades Moviles)</vt:lpstr>
      <vt:lpstr>Ptto2022</vt:lpstr>
      <vt:lpstr>Indicadores PA</vt:lpstr>
      <vt:lpstr>Indic Gestión SPI</vt:lpstr>
      <vt:lpstr>Territorialización PA</vt:lpstr>
      <vt:lpstr>Instructivo</vt:lpstr>
      <vt:lpstr>Generalidades</vt:lpstr>
      <vt:lpstr>Hoja13</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Sonia Yaneth Orjuela Perilla</cp:lastModifiedBy>
  <cp:lastPrinted>2020-07-22T23:36:30Z</cp:lastPrinted>
  <dcterms:created xsi:type="dcterms:W3CDTF">2011-04-26T22:16:52Z</dcterms:created>
  <dcterms:modified xsi:type="dcterms:W3CDTF">2022-02-11T20:02:57Z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